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<sst xmlns="http://schemas.openxmlformats.org/spreadsheetml/2006/main" count="309" uniqueCount="309">
  <si>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</si>
  <si>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</si>
  <si>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</si>
  <si>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</si>
  <si>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</si>
  <si>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</si>
  <si>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</si>
  <si>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12/11/2024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</si>
  <si>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</si>
  <si>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</si>
  <si>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</si>
  <si>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</si>
  <si>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</si>
  <si>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</si>
  <si>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</si>
  <si>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</si>
  <si>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</si>
  <si>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</si>
  <si>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OVERSTOCK01</t>
  </si>
  <si>
    <t>OLLIIX</t>
  </si>
  <si>
    <t>JCPENNEY01</t>
  </si>
  <si>
    <t>NRTPORT</t>
  </si>
  <si>
    <t>MACY</t>
  </si>
  <si>
    <t>KIRKLANDDS</t>
  </si>
  <si>
    <t>ASHFURNDS</t>
  </si>
  <si>
    <t>BLK01</t>
  </si>
  <si>
    <t>HDDS</t>
  </si>
  <si>
    <t>COSTCO01</t>
  </si>
  <si>
    <t>DESINC</t>
  </si>
  <si>
    <t>WALMARTDS</t>
  </si>
  <si>
    <t>FINGERHUTDS</t>
  </si>
  <si>
    <t>ZOLA</t>
  </si>
  <si>
    <t>ROOMECOM</t>
  </si>
  <si>
    <t>AMERSIGNDS</t>
  </si>
  <si>
    <t>LAMPDS</t>
  </si>
  <si>
    <t>HOUZZ</t>
  </si>
  <si>
    <t>HSNDS</t>
  </si>
  <si>
    <t>BIGLOTSDS</t>
  </si>
  <si>
    <t>NORDSTRACKDS</t>
  </si>
  <si>
    <t>AAFESDS</t>
  </si>
  <si>
    <t>CHEWYDS</t>
  </si>
  <si>
    <t>DLCROSCILL</t>
  </si>
  <si>
    <t>BEALLSDS</t>
  </si>
  <si>
    <t>LOWESDS</t>
  </si>
  <si>
    <t>BLOOM02</t>
  </si>
  <si>
    <t>HHGLOBALTTS</t>
  </si>
  <si>
    <t>WM.COM</t>
  </si>
  <si>
    <t>DLBRAND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</si>
  <si>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</si>
  <si>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</si>
  <si>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</si>
  <si>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</si>
  <si>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</si>
  <si>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</si>
  <si>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</si>
  <si>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</si>
  <si>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</si>
  <si>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</si>
  <si>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</si>
  <si>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</si>
  <si>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</si>
  <si>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</si>
  <si>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</si>
  <si>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</si>
  <si>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</si>
  <si>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</si>
  <si>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</si>
  <si>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</si>
  <si>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</si>
  <si>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</si>
  <si>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</si>
  <si>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</si>
  <si>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</si>
  <si>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</si>
  <si>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</si>
  <si>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</si>
  <si>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</si>
  <si>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</si>
  <si>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 xml:space="preserve">Addison Lane </t>
  </si>
  <si>
    <t xml:space="preserve">Addison Lane  Total</t>
  </si>
  <si>
    <t>Addison Park</t>
  </si>
  <si>
    <t>Addison Park Total</t>
  </si>
  <si>
    <t>Beautyrest</t>
  </si>
  <si>
    <t>DUVET&amp;DUVET SET</t>
  </si>
  <si>
    <t>Beautyrest Total</t>
  </si>
  <si>
    <t xml:space="preserve">Chapel Hill </t>
  </si>
  <si>
    <t xml:space="preserve">Chapel Hill  Total</t>
  </si>
  <si>
    <t>Clean Spaces</t>
  </si>
  <si>
    <t>Clean Spaces Total</t>
  </si>
  <si>
    <t>Comfort Spaces</t>
  </si>
  <si>
    <t>Comfort Spaces Total</t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</si>
  <si>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</si>
  <si>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</si>
  <si>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</si>
  <si>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</si>
  <si>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</si>
  <si>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</si>
  <si>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</si>
  <si>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</si>
  <si>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</si>
  <si>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</si>
  <si>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</si>
  <si>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</si>
  <si>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</si>
  <si>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</si>
  <si>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Hyde lane</t>
  </si>
  <si>
    <t>Hyde lane Total</t>
  </si>
  <si>
    <t>INK+IVY</t>
  </si>
  <si>
    <t>INK+IVY Total</t>
  </si>
  <si>
    <t>Inspire by Intelligent Design</t>
  </si>
  <si>
    <t>Inspire by Intelligent Design Total</t>
  </si>
  <si>
    <t xml:space="preserve">Intelligent Design </t>
  </si>
  <si>
    <t xml:space="preserve">Intelligent Design  Total</t>
  </si>
  <si>
    <t>Madison Park</t>
  </si>
  <si>
    <t>SHOWER CURTAIN</t>
  </si>
  <si>
    <t>THROW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</si>
  <si>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</si>
  <si>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</si>
  <si>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</si>
  <si>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</si>
  <si>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</si>
  <si>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</si>
  <si>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</si>
  <si>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</si>
  <si>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</si>
  <si>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</si>
  <si>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</si>
  <si>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</si>
  <si>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</si>
  <si>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</si>
  <si>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Premier Comfort</t>
  </si>
  <si>
    <t>Premier Comfort Total</t>
  </si>
  <si>
    <t>Regency Heights</t>
  </si>
  <si>
    <t>Regency Heights Total</t>
  </si>
  <si>
    <t>Super Listing</t>
  </si>
  <si>
    <t>Super Listing Total</t>
  </si>
  <si>
    <t>Woolrich</t>
  </si>
  <si>
    <t>Woolrich Total</t>
  </si>
  <si>
    <t>ADUL Total</t>
  </si>
  <si>
    <t>APL</t>
  </si>
  <si>
    <t>DRESS</t>
  </si>
  <si>
    <t>PAJAMA (SET)</t>
  </si>
  <si>
    <t>ROBE</t>
  </si>
  <si>
    <t xml:space="preserve">C Wonder </t>
  </si>
  <si>
    <t xml:space="preserve">C Wonder  Total</t>
  </si>
  <si>
    <t>Echo Design</t>
  </si>
  <si>
    <t>Echo Design Total</t>
  </si>
  <si>
    <t>APL BOTTOM</t>
  </si>
  <si>
    <t>APL TOP</t>
  </si>
  <si>
    <t>Jammies by Hipstyle</t>
  </si>
  <si>
    <t>Jammies by Hipstyle Total</t>
  </si>
  <si>
    <t>Lori Goldstein</t>
  </si>
  <si>
    <t>Lori Goldstein Total</t>
  </si>
  <si>
    <t>APL Total</t>
  </si>
  <si>
    <t>ART</t>
  </si>
  <si>
    <t>AWD</t>
  </si>
  <si>
    <t>CANVAS</t>
  </si>
  <si>
    <t>DEC. MIRROR</t>
  </si>
  <si>
    <t>FRAMED GRAPHICS</t>
  </si>
  <si>
    <t>ALT. GRAPHICS</t>
  </si>
  <si>
    <t>CLOCKS</t>
  </si>
  <si>
    <t>DECO ACCENTS</t>
  </si>
  <si>
    <t>VASES &amp; BOWLS</t>
  </si>
  <si>
    <t>Martha Stewart</t>
  </si>
  <si>
    <t>Martha Stewart Total</t>
  </si>
  <si>
    <t>Urban Habitat</t>
  </si>
  <si>
    <t>Urban Habitat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</si>
  <si>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</si>
  <si>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</si>
  <si>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</si>
  <si>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</si>
  <si>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</si>
  <si>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</si>
  <si>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</si>
  <si>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Sharper Image</t>
  </si>
  <si>
    <t>Sharper Image Total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</si>
  <si>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</si>
  <si>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</si>
  <si>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</si>
  <si>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</si>
  <si>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</si>
  <si>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</si>
  <si>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BATH RUG</t>
  </si>
  <si>
    <t>BATH ACCESSORIES</t>
  </si>
  <si>
    <t>HipStyle</t>
  </si>
  <si>
    <t>HipStyle Total</t>
  </si>
  <si>
    <t>FASHION TOWEL</t>
  </si>
  <si>
    <t>JLA Home</t>
  </si>
  <si>
    <t>JLA Home Total</t>
  </si>
  <si>
    <t>BATH TOWEL</t>
  </si>
  <si>
    <t>Mi Zone</t>
  </si>
  <si>
    <t>Mi Zone Total</t>
  </si>
  <si>
    <t>BATH Total</t>
  </si>
  <si>
    <t>BLK</t>
  </si>
  <si>
    <t>Alpine Valley</t>
  </si>
  <si>
    <t>THROW WRAP</t>
  </si>
  <si>
    <t>Alpine Valley Total</t>
  </si>
  <si>
    <t>ELEC MATT PAD</t>
  </si>
  <si>
    <t>ELECT BLANKET</t>
  </si>
  <si>
    <t>ELECTRIC QUILT</t>
  </si>
  <si>
    <t>Better Home and Gardens</t>
  </si>
  <si>
    <t>Better Home and Gardens Total</t>
  </si>
  <si>
    <t>Cozy Max</t>
  </si>
  <si>
    <t>Cozy Max Total</t>
  </si>
  <si>
    <t>Designlab</t>
  </si>
  <si>
    <t>Designlab Total</t>
  </si>
  <si>
    <t>Serta</t>
  </si>
  <si>
    <t>Serta Total</t>
  </si>
  <si>
    <t>HEATING PAD</t>
  </si>
  <si>
    <t>TrueNorth</t>
  </si>
  <si>
    <t>TrueNorth Total</t>
  </si>
  <si>
    <t>BLK Total</t>
  </si>
  <si>
    <t>FUO</t>
  </si>
  <si>
    <t>ACCENT CHAIR</t>
  </si>
  <si>
    <t>ACCENT CHEST</t>
  </si>
  <si>
    <t>ACCENT TABLE</t>
  </si>
  <si>
    <t>BAR STOOL</t>
  </si>
  <si>
    <t>BUFFET</t>
  </si>
  <si>
    <t>DINING CHAIR</t>
  </si>
  <si>
    <t>DINING TABLE</t>
  </si>
  <si>
    <t>HEADBOARD</t>
  </si>
  <si>
    <t>LOVESEAT &amp; SOFA</t>
  </si>
  <si>
    <t>MOTION</t>
  </si>
  <si>
    <t>NIGHTSTAND</t>
  </si>
  <si>
    <t>OCCASIONL TABLE</t>
  </si>
  <si>
    <t>OTTOMAN</t>
  </si>
  <si>
    <t>FUO Total</t>
  </si>
  <si>
    <t>FUR</t>
  </si>
  <si>
    <t>ACCENT BENCH</t>
  </si>
  <si>
    <t>BED</t>
  </si>
  <si>
    <t>DESK</t>
  </si>
  <si>
    <t>Hearth &amp; Hand</t>
  </si>
  <si>
    <t>Hearth &amp; Hand Total</t>
  </si>
  <si>
    <t>DINING BENCH</t>
  </si>
  <si>
    <t>DRESSER/CHEST</t>
  </si>
  <si>
    <t>SECTIONAL SOFA</t>
  </si>
  <si>
    <t>Joseph Sadony</t>
  </si>
  <si>
    <t>Joseph Sadony Total</t>
  </si>
  <si>
    <t>BOOKCASE/SHELF</t>
  </si>
  <si>
    <t>CHAISE</t>
  </si>
  <si>
    <t>FABRIC</t>
  </si>
  <si>
    <t>BAR CART</t>
  </si>
  <si>
    <t>Opalhouse designed with Jungalow</t>
  </si>
  <si>
    <t>Opalhouse designed with Jungalow Total</t>
  </si>
  <si>
    <t xml:space="preserve">Threshold  </t>
  </si>
  <si>
    <t xml:space="preserve">Threshold   Total</t>
  </si>
  <si>
    <t>Threshold designed with Studio McGee</t>
  </si>
  <si>
    <t>Threshold designed with Studio McGee Total</t>
  </si>
  <si>
    <t>FUR Total</t>
  </si>
  <si>
    <t>LGT</t>
  </si>
  <si>
    <t>LGT-CHANDELIERS</t>
  </si>
  <si>
    <t>LGT-FLOOR LAMPS</t>
  </si>
  <si>
    <t>LGT-SCONCES</t>
  </si>
  <si>
    <t>LGT-TABLE LAMPS</t>
  </si>
  <si>
    <t>LGT-PENDANTS</t>
  </si>
  <si>
    <t>LGT-FLUSHMOUNTS</t>
  </si>
  <si>
    <t>LGT Total</t>
  </si>
  <si>
    <t>MIS</t>
  </si>
  <si>
    <t>Cloud Ergonomic Couch</t>
  </si>
  <si>
    <t>INFLATABLES</t>
  </si>
  <si>
    <t>Cloud Ergonomic Couch Total</t>
  </si>
  <si>
    <t>MIS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</si>
  <si>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</si>
  <si>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</si>
  <si>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</si>
  <si>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</si>
  <si>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</si>
  <si>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</si>
  <si>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</si>
  <si>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</si>
  <si>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</si>
  <si>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Bazaar</t>
  </si>
  <si>
    <t>Bazaar Total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</si>
  <si>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</si>
  <si>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</si>
  <si>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</si>
  <si>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</si>
  <si>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</si>
  <si>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</si>
  <si>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</si>
  <si>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</si>
  <si>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</si>
  <si>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 xml:space="preserve">Beautyrest Platinum </t>
  </si>
  <si>
    <t xml:space="preserve">Beautyrest Platinum  Total</t>
  </si>
  <si>
    <t>Peak Performance</t>
  </si>
  <si>
    <t>Peak Performance Total</t>
  </si>
  <si>
    <t>SHET Total</t>
  </si>
  <si>
    <t>TOWL</t>
  </si>
  <si>
    <t>TOWL Total</t>
  </si>
  <si>
    <t>WIN</t>
  </si>
  <si>
    <t>Home Essence</t>
  </si>
  <si>
    <t>Home Essence Total</t>
  </si>
  <si>
    <t>CUSHION/POUF</t>
  </si>
  <si>
    <t>Mi Zone Kids</t>
  </si>
  <si>
    <t>Mi Zone Kids Total</t>
  </si>
  <si>
    <t>SunSmart</t>
  </si>
  <si>
    <t>SunSmart Total</t>
  </si>
  <si>
    <t>Wild Sage</t>
  </si>
  <si>
    <t>Wild Sage Total</t>
  </si>
  <si>
    <t>WIN Total</t>
  </si>
  <si>
    <t>YOUT</t>
  </si>
  <si>
    <t xml:space="preserve">HE Kids   </t>
  </si>
  <si>
    <t xml:space="preserve">HE Kids    Total</t>
  </si>
  <si>
    <t>How To Train Your Dragon</t>
  </si>
  <si>
    <t>How To Train Your Dragon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</si>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</sst>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W63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  <c r="LH2" s="7" t="s">
        <v>50</v>
      </c>
      <c r="LI2" s="8" t="s">
        <v>50</v>
      </c>
      <c r="LJ2" s="8" t="s">
        <v>50</v>
      </c>
      <c r="LK2" s="8" t="s">
        <v>50</v>
      </c>
      <c r="LL2" s="8" t="s">
        <v>50</v>
      </c>
      <c r="LM2" s="8" t="s">
        <v>50</v>
      </c>
      <c r="LN2" s="8" t="s">
        <v>50</v>
      </c>
      <c r="LO2" s="9" t="s">
        <v>50</v>
      </c>
      <c r="LP2" s="7" t="s">
        <v>51</v>
      </c>
      <c r="LQ2" s="8" t="s">
        <v>51</v>
      </c>
      <c r="LR2" s="8" t="s">
        <v>51</v>
      </c>
      <c r="LS2" s="8" t="s">
        <v>51</v>
      </c>
      <c r="LT2" s="8" t="s">
        <v>51</v>
      </c>
      <c r="LU2" s="8" t="s">
        <v>51</v>
      </c>
      <c r="LV2" s="8" t="s">
        <v>51</v>
      </c>
      <c r="LW2" s="9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52</v>
      </c>
      <c r="LA3" s="4" t="s">
        <v>52</v>
      </c>
      <c r="LB3" s="4" t="s">
        <v>52</v>
      </c>
      <c r="LC3" s="4" t="s">
        <v>53</v>
      </c>
      <c r="LD3" s="4" t="s">
        <v>53</v>
      </c>
      <c r="LE3" s="4" t="s">
        <v>53</v>
      </c>
      <c r="LF3" s="4" t="s">
        <v>54</v>
      </c>
      <c r="LG3" s="4" t="s">
        <v>55</v>
      </c>
      <c r="LH3" s="4" t="s">
        <v>52</v>
      </c>
      <c r="LI3" s="4" t="s">
        <v>52</v>
      </c>
      <c r="LJ3" s="4" t="s">
        <v>52</v>
      </c>
      <c r="LK3" s="4" t="s">
        <v>53</v>
      </c>
      <c r="LL3" s="4" t="s">
        <v>53</v>
      </c>
      <c r="LM3" s="4" t="s">
        <v>53</v>
      </c>
      <c r="LN3" s="4" t="s">
        <v>54</v>
      </c>
      <c r="LO3" s="4" t="s">
        <v>55</v>
      </c>
      <c r="LP3" s="4" t="s">
        <v>52</v>
      </c>
      <c r="LQ3" s="4" t="s">
        <v>52</v>
      </c>
      <c r="LR3" s="4" t="s">
        <v>52</v>
      </c>
      <c r="LS3" s="4" t="s">
        <v>53</v>
      </c>
      <c r="LT3" s="4" t="s">
        <v>53</v>
      </c>
      <c r="LU3" s="4" t="s">
        <v>53</v>
      </c>
      <c r="LV3" s="4" t="s">
        <v>54</v>
      </c>
      <c r="LW3" s="4" t="s">
        <v>55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70</v>
      </c>
      <c r="LA4" s="4" t="s">
        <v>71</v>
      </c>
      <c r="LB4" s="4" t="s">
        <v>68</v>
      </c>
      <c r="LC4" s="4" t="s">
        <v>70</v>
      </c>
      <c r="LD4" s="4" t="s">
        <v>71</v>
      </c>
      <c r="LE4" s="4" t="s">
        <v>68</v>
      </c>
      <c r="LF4" s="4" t="s">
        <v>54</v>
      </c>
      <c r="LG4" s="4" t="s">
        <v>55</v>
      </c>
      <c r="LH4" s="4" t="s">
        <v>70</v>
      </c>
      <c r="LI4" s="4" t="s">
        <v>71</v>
      </c>
      <c r="LJ4" s="4" t="s">
        <v>68</v>
      </c>
      <c r="LK4" s="4" t="s">
        <v>70</v>
      </c>
      <c r="LL4" s="4" t="s">
        <v>71</v>
      </c>
      <c r="LM4" s="4" t="s">
        <v>68</v>
      </c>
      <c r="LN4" s="4" t="s">
        <v>54</v>
      </c>
      <c r="LO4" s="4" t="s">
        <v>55</v>
      </c>
      <c r="LP4" s="4" t="s">
        <v>70</v>
      </c>
      <c r="LQ4" s="4" t="s">
        <v>71</v>
      </c>
      <c r="LR4" s="4" t="s">
        <v>68</v>
      </c>
      <c r="LS4" s="4" t="s">
        <v>70</v>
      </c>
      <c r="LT4" s="4" t="s">
        <v>71</v>
      </c>
      <c r="LU4" s="4" t="s">
        <v>68</v>
      </c>
      <c r="LV4" s="4" t="s">
        <v>54</v>
      </c>
      <c r="LW4" s="4" t="s">
        <v>55</v>
      </c>
    </row>
    <row r="5">
      <c r="A5" s="10" t="s">
        <v>72</v>
      </c>
      <c r="B5" s="10" t="s">
        <v>73</v>
      </c>
      <c r="C5" s="10" t="s">
        <v>74</v>
      </c>
      <c r="D5" s="11">
        <v>17729</v>
      </c>
      <c r="E5" s="11">
        <f>=ROUNDDOWN(28.1860095389507,0)</f>
      </c>
      <c r="F5" s="11">
        <v>6530</v>
      </c>
      <c r="G5" s="12">
        <v>0.9946</v>
      </c>
      <c r="H5" s="11"/>
      <c r="I5" s="11">
        <f>=ROUNDDOWN({0},0)</f>
      </c>
      <c r="J5" s="11"/>
      <c r="K5" s="12"/>
      <c r="L5" s="11">
        <v>7455</v>
      </c>
      <c r="M5" s="13">
        <v>391118.07</v>
      </c>
      <c r="N5" s="11">
        <v>35</v>
      </c>
      <c r="O5" s="14">
        <v>11174.8</v>
      </c>
      <c r="P5" s="11"/>
      <c r="Q5" s="13"/>
      <c r="R5" s="11"/>
      <c r="S5" s="14"/>
      <c r="T5" s="12"/>
      <c r="U5" s="12"/>
      <c r="V5" s="12"/>
      <c r="W5" s="12"/>
      <c r="X5" s="11">
        <v>718</v>
      </c>
      <c r="Y5" s="13">
        <v>38776.29</v>
      </c>
      <c r="Z5" s="11">
        <v>33</v>
      </c>
      <c r="AA5" s="11"/>
      <c r="AB5" s="13"/>
      <c r="AC5" s="11"/>
      <c r="AD5" s="12"/>
      <c r="AE5" s="12"/>
      <c r="AF5" s="11">
        <v>2087</v>
      </c>
      <c r="AG5" s="13">
        <v>96504.32</v>
      </c>
      <c r="AH5" s="11">
        <v>35</v>
      </c>
      <c r="AI5" s="11"/>
      <c r="AJ5" s="13"/>
      <c r="AK5" s="11"/>
      <c r="AL5" s="12"/>
      <c r="AM5" s="12"/>
      <c r="AN5" s="11">
        <v>740</v>
      </c>
      <c r="AO5" s="13">
        <v>40737.36</v>
      </c>
      <c r="AP5" s="11">
        <v>35</v>
      </c>
      <c r="AQ5" s="11"/>
      <c r="AR5" s="13"/>
      <c r="AS5" s="11"/>
      <c r="AT5" s="12"/>
      <c r="AU5" s="12"/>
      <c r="AV5" s="11">
        <v>205</v>
      </c>
      <c r="AW5" s="13">
        <v>11878.86</v>
      </c>
      <c r="AX5" s="11">
        <v>29</v>
      </c>
      <c r="AY5" s="11"/>
      <c r="AZ5" s="13"/>
      <c r="BA5" s="11"/>
      <c r="BB5" s="12"/>
      <c r="BC5" s="12"/>
      <c r="BD5" s="11">
        <v>904</v>
      </c>
      <c r="BE5" s="13">
        <v>48437.54</v>
      </c>
      <c r="BF5" s="11">
        <v>35</v>
      </c>
      <c r="BG5" s="11"/>
      <c r="BH5" s="13"/>
      <c r="BI5" s="11"/>
      <c r="BJ5" s="12"/>
      <c r="BK5" s="12"/>
      <c r="BL5" s="11">
        <v>345</v>
      </c>
      <c r="BM5" s="13">
        <v>20536.34</v>
      </c>
      <c r="BN5" s="11">
        <v>35</v>
      </c>
      <c r="BO5" s="11"/>
      <c r="BP5" s="13"/>
      <c r="BQ5" s="11"/>
      <c r="BR5" s="12"/>
      <c r="BS5" s="12"/>
      <c r="BT5" s="11">
        <v>277</v>
      </c>
      <c r="BU5" s="13">
        <v>15021.83</v>
      </c>
      <c r="BV5" s="11">
        <v>35</v>
      </c>
      <c r="BW5" s="11"/>
      <c r="BX5" s="13"/>
      <c r="BY5" s="11"/>
      <c r="BZ5" s="12"/>
      <c r="CA5" s="12"/>
      <c r="CB5" s="11">
        <v>783</v>
      </c>
      <c r="CC5" s="13">
        <v>43904.77</v>
      </c>
      <c r="CD5" s="11">
        <v>32</v>
      </c>
      <c r="CE5" s="11"/>
      <c r="CF5" s="13"/>
      <c r="CG5" s="11"/>
      <c r="CH5" s="12"/>
      <c r="CI5" s="12"/>
      <c r="CJ5" s="11">
        <v>496</v>
      </c>
      <c r="CK5" s="13">
        <v>26906.95</v>
      </c>
      <c r="CL5" s="11">
        <v>35</v>
      </c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>
        <v>52</v>
      </c>
      <c r="DI5" s="13">
        <v>2437.63</v>
      </c>
      <c r="DJ5" s="11">
        <v>11</v>
      </c>
      <c r="DK5" s="11"/>
      <c r="DL5" s="13"/>
      <c r="DM5" s="11"/>
      <c r="DN5" s="12"/>
      <c r="DO5" s="12"/>
      <c r="DP5" s="11">
        <v>63</v>
      </c>
      <c r="DQ5" s="13">
        <v>3582.65</v>
      </c>
      <c r="DR5" s="11">
        <v>32</v>
      </c>
      <c r="DS5" s="11"/>
      <c r="DT5" s="13"/>
      <c r="DU5" s="11"/>
      <c r="DV5" s="12"/>
      <c r="DW5" s="12"/>
      <c r="DX5" s="11">
        <v>139</v>
      </c>
      <c r="DY5" s="13">
        <v>6162.04</v>
      </c>
      <c r="DZ5" s="11">
        <v>29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>
        <v>11</v>
      </c>
      <c r="EO5" s="13">
        <v>1208.35</v>
      </c>
      <c r="EP5" s="11">
        <v>35</v>
      </c>
      <c r="EQ5" s="11"/>
      <c r="ER5" s="13"/>
      <c r="ES5" s="11"/>
      <c r="ET5" s="12"/>
      <c r="EU5" s="12"/>
      <c r="EV5" s="11">
        <v>6</v>
      </c>
      <c r="EW5" s="13">
        <v>266.74</v>
      </c>
      <c r="EX5" s="11"/>
      <c r="EY5" s="11"/>
      <c r="EZ5" s="13"/>
      <c r="FA5" s="11"/>
      <c r="FB5" s="12"/>
      <c r="FC5" s="12"/>
      <c r="FD5" s="11">
        <v>68</v>
      </c>
      <c r="FE5" s="13">
        <v>3799.66</v>
      </c>
      <c r="FF5" s="11">
        <v>10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>
        <v>46</v>
      </c>
      <c r="FU5" s="13">
        <v>2399.51</v>
      </c>
      <c r="FV5" s="11">
        <v>17</v>
      </c>
      <c r="FW5" s="11"/>
      <c r="FX5" s="13"/>
      <c r="FY5" s="11"/>
      <c r="FZ5" s="12"/>
      <c r="GA5" s="12"/>
      <c r="GB5" s="11">
        <v>9</v>
      </c>
      <c r="GC5" s="13">
        <v>503.53</v>
      </c>
      <c r="GD5" s="11">
        <v>9</v>
      </c>
      <c r="GE5" s="11"/>
      <c r="GF5" s="13"/>
      <c r="GG5" s="11"/>
      <c r="GH5" s="12"/>
      <c r="GI5" s="12"/>
      <c r="GJ5" s="11">
        <v>1</v>
      </c>
      <c r="GK5" s="13">
        <v>49.73</v>
      </c>
      <c r="GL5" s="11">
        <v>3</v>
      </c>
      <c r="GM5" s="11"/>
      <c r="GN5" s="13"/>
      <c r="GO5" s="11"/>
      <c r="GP5" s="12"/>
      <c r="GQ5" s="12"/>
      <c r="GR5" s="11"/>
      <c r="GS5" s="13"/>
      <c r="GT5" s="11">
        <v>26</v>
      </c>
      <c r="GU5" s="11"/>
      <c r="GV5" s="13"/>
      <c r="GW5" s="11"/>
      <c r="GX5" s="12"/>
      <c r="GY5" s="12"/>
      <c r="GZ5" s="11">
        <v>11</v>
      </c>
      <c r="HA5" s="13">
        <v>629.02</v>
      </c>
      <c r="HB5" s="11">
        <v>9</v>
      </c>
      <c r="HC5" s="11"/>
      <c r="HD5" s="13"/>
      <c r="HE5" s="11"/>
      <c r="HF5" s="12"/>
      <c r="HG5" s="12"/>
      <c r="HH5" s="11">
        <v>482</v>
      </c>
      <c r="HI5" s="13">
        <v>26737.32</v>
      </c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6</v>
      </c>
      <c r="HY5" s="13">
        <v>333.02</v>
      </c>
      <c r="HZ5" s="11">
        <v>12</v>
      </c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>
        <v>6</v>
      </c>
      <c r="IW5" s="13">
        <v>304.61</v>
      </c>
      <c r="IX5" s="11">
        <v>26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>
        <v>19</v>
      </c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  <c r="LH5" s="11"/>
      <c r="LI5" s="13"/>
      <c r="LJ5" s="11"/>
      <c r="LK5" s="11"/>
      <c r="LL5" s="13"/>
      <c r="LM5" s="11"/>
      <c r="LN5" s="12"/>
      <c r="LO5" s="12"/>
      <c r="LP5" s="11"/>
      <c r="LQ5" s="13"/>
      <c r="LR5" s="11"/>
      <c r="LS5" s="11"/>
      <c r="LT5" s="13"/>
      <c r="LU5" s="11"/>
      <c r="LV5" s="12"/>
      <c r="LW5" s="12"/>
    </row>
    <row r="6">
      <c r="A6" s="10" t="s">
        <v>72</v>
      </c>
      <c r="B6" s="10" t="s">
        <v>73</v>
      </c>
      <c r="C6" s="10" t="s">
        <v>75</v>
      </c>
      <c r="D6" s="11">
        <v>9018</v>
      </c>
      <c r="E6" s="11">
        <f>=ROUNDDOWN(38.2118644067797,0)</f>
      </c>
      <c r="F6" s="11">
        <v>1930</v>
      </c>
      <c r="G6" s="12">
        <v>1</v>
      </c>
      <c r="H6" s="11"/>
      <c r="I6" s="11">
        <f>=ROUNDDOWN({0},0)</f>
      </c>
      <c r="J6" s="11"/>
      <c r="K6" s="12"/>
      <c r="L6" s="11">
        <v>3041</v>
      </c>
      <c r="M6" s="13">
        <v>104804.67</v>
      </c>
      <c r="N6" s="11">
        <v>16</v>
      </c>
      <c r="O6" s="14">
        <v>6550.29</v>
      </c>
      <c r="P6" s="11"/>
      <c r="Q6" s="13"/>
      <c r="R6" s="11"/>
      <c r="S6" s="14"/>
      <c r="T6" s="12"/>
      <c r="U6" s="12"/>
      <c r="V6" s="12"/>
      <c r="W6" s="12"/>
      <c r="X6" s="11">
        <v>73</v>
      </c>
      <c r="Y6" s="13">
        <v>2795.58</v>
      </c>
      <c r="Z6" s="11">
        <v>10</v>
      </c>
      <c r="AA6" s="11"/>
      <c r="AB6" s="13"/>
      <c r="AC6" s="11"/>
      <c r="AD6" s="12"/>
      <c r="AE6" s="12"/>
      <c r="AF6" s="11">
        <v>144</v>
      </c>
      <c r="AG6" s="13">
        <v>4949.09</v>
      </c>
      <c r="AH6" s="11">
        <v>16</v>
      </c>
      <c r="AI6" s="11"/>
      <c r="AJ6" s="13"/>
      <c r="AK6" s="11"/>
      <c r="AL6" s="12"/>
      <c r="AM6" s="12"/>
      <c r="AN6" s="11">
        <v>498</v>
      </c>
      <c r="AO6" s="13">
        <v>17608.42</v>
      </c>
      <c r="AP6" s="11">
        <v>16</v>
      </c>
      <c r="AQ6" s="11"/>
      <c r="AR6" s="13"/>
      <c r="AS6" s="11"/>
      <c r="AT6" s="12"/>
      <c r="AU6" s="12"/>
      <c r="AV6" s="11">
        <v>189</v>
      </c>
      <c r="AW6" s="13">
        <v>6872.04</v>
      </c>
      <c r="AX6" s="11">
        <v>9</v>
      </c>
      <c r="AY6" s="11"/>
      <c r="AZ6" s="13"/>
      <c r="BA6" s="11"/>
      <c r="BB6" s="12"/>
      <c r="BC6" s="12"/>
      <c r="BD6" s="11">
        <v>601</v>
      </c>
      <c r="BE6" s="13">
        <v>20154.8</v>
      </c>
      <c r="BF6" s="11">
        <v>16</v>
      </c>
      <c r="BG6" s="11"/>
      <c r="BH6" s="13"/>
      <c r="BI6" s="11"/>
      <c r="BJ6" s="12"/>
      <c r="BK6" s="12"/>
      <c r="BL6" s="11">
        <v>90</v>
      </c>
      <c r="BM6" s="13">
        <v>2834.91</v>
      </c>
      <c r="BN6" s="11">
        <v>16</v>
      </c>
      <c r="BO6" s="11"/>
      <c r="BP6" s="13"/>
      <c r="BQ6" s="11"/>
      <c r="BR6" s="12"/>
      <c r="BS6" s="12"/>
      <c r="BT6" s="11">
        <v>291</v>
      </c>
      <c r="BU6" s="13">
        <v>7855.19</v>
      </c>
      <c r="BV6" s="11">
        <v>16</v>
      </c>
      <c r="BW6" s="11"/>
      <c r="BX6" s="13"/>
      <c r="BY6" s="11"/>
      <c r="BZ6" s="12"/>
      <c r="CA6" s="12"/>
      <c r="CB6" s="11">
        <v>666</v>
      </c>
      <c r="CC6" s="13">
        <v>24605.66</v>
      </c>
      <c r="CD6" s="11">
        <v>16</v>
      </c>
      <c r="CE6" s="11"/>
      <c r="CF6" s="13"/>
      <c r="CG6" s="11"/>
      <c r="CH6" s="12"/>
      <c r="CI6" s="12"/>
      <c r="CJ6" s="11">
        <v>5</v>
      </c>
      <c r="CK6" s="13">
        <v>386.04</v>
      </c>
      <c r="CL6" s="11">
        <v>16</v>
      </c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>
        <v>54</v>
      </c>
      <c r="DA6" s="13">
        <v>1358.45</v>
      </c>
      <c r="DB6" s="11">
        <v>4</v>
      </c>
      <c r="DC6" s="11"/>
      <c r="DD6" s="13"/>
      <c r="DE6" s="11"/>
      <c r="DF6" s="12"/>
      <c r="DG6" s="12"/>
      <c r="DH6" s="11">
        <v>34</v>
      </c>
      <c r="DI6" s="13">
        <v>1147.65</v>
      </c>
      <c r="DJ6" s="11">
        <v>12</v>
      </c>
      <c r="DK6" s="11"/>
      <c r="DL6" s="13"/>
      <c r="DM6" s="11"/>
      <c r="DN6" s="12"/>
      <c r="DO6" s="12"/>
      <c r="DP6" s="11">
        <v>256</v>
      </c>
      <c r="DQ6" s="13">
        <v>9091.21</v>
      </c>
      <c r="DR6" s="11">
        <v>16</v>
      </c>
      <c r="DS6" s="11"/>
      <c r="DT6" s="13"/>
      <c r="DU6" s="11"/>
      <c r="DV6" s="12"/>
      <c r="DW6" s="12"/>
      <c r="DX6" s="11">
        <v>14</v>
      </c>
      <c r="DY6" s="13">
        <v>510.15</v>
      </c>
      <c r="DZ6" s="11">
        <v>16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>
        <v>16</v>
      </c>
      <c r="EQ6" s="11"/>
      <c r="ER6" s="13"/>
      <c r="ES6" s="11"/>
      <c r="ET6" s="12"/>
      <c r="EU6" s="12"/>
      <c r="EV6" s="11">
        <v>26</v>
      </c>
      <c r="EW6" s="13">
        <v>908.99</v>
      </c>
      <c r="EX6" s="11">
        <v>5</v>
      </c>
      <c r="EY6" s="11"/>
      <c r="EZ6" s="13"/>
      <c r="FA6" s="11"/>
      <c r="FB6" s="12"/>
      <c r="FC6" s="12"/>
      <c r="FD6" s="11">
        <v>52</v>
      </c>
      <c r="FE6" s="13">
        <v>1927.32</v>
      </c>
      <c r="FF6" s="11">
        <v>6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>
        <v>8</v>
      </c>
      <c r="FU6" s="13">
        <v>260.4</v>
      </c>
      <c r="FV6" s="11">
        <v>8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>
        <v>3</v>
      </c>
      <c r="GS6" s="13">
        <v>110.23</v>
      </c>
      <c r="GT6" s="11">
        <v>16</v>
      </c>
      <c r="GU6" s="11"/>
      <c r="GV6" s="13"/>
      <c r="GW6" s="11"/>
      <c r="GX6" s="12"/>
      <c r="GY6" s="12"/>
      <c r="GZ6" s="11">
        <v>24</v>
      </c>
      <c r="HA6" s="13">
        <v>987.54</v>
      </c>
      <c r="HB6" s="11">
        <v>6</v>
      </c>
      <c r="HC6" s="11"/>
      <c r="HD6" s="13"/>
      <c r="HE6" s="11"/>
      <c r="HF6" s="12"/>
      <c r="HG6" s="12"/>
      <c r="HH6" s="11">
        <v>3</v>
      </c>
      <c r="HI6" s="13">
        <v>68.04</v>
      </c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>
        <v>10</v>
      </c>
      <c r="IW6" s="13">
        <v>372.96</v>
      </c>
      <c r="IX6" s="11">
        <v>10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>
        <v>16</v>
      </c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  <c r="LH6" s="11"/>
      <c r="LI6" s="13"/>
      <c r="LJ6" s="11"/>
      <c r="LK6" s="11"/>
      <c r="LL6" s="13"/>
      <c r="LM6" s="11"/>
      <c r="LN6" s="12"/>
      <c r="LO6" s="12"/>
      <c r="LP6" s="11"/>
      <c r="LQ6" s="13"/>
      <c r="LR6" s="11"/>
      <c r="LS6" s="11"/>
      <c r="LT6" s="13"/>
      <c r="LU6" s="11"/>
      <c r="LV6" s="12"/>
      <c r="LW6" s="12"/>
    </row>
    <row r="7">
      <c r="A7" s="10" t="s">
        <v>72</v>
      </c>
      <c r="B7" s="10" t="s">
        <v>76</v>
      </c>
      <c r="C7" s="10" t="s">
        <v>77</v>
      </c>
      <c r="D7" s="11">
        <v>26747</v>
      </c>
      <c r="E7" s="11">
        <f>=ROUNDDOWN({0},0)</f>
      </c>
      <c r="F7" s="11">
        <v>8460</v>
      </c>
      <c r="G7" s="12"/>
      <c r="H7" s="11"/>
      <c r="I7" s="11">
        <f>=ROUNDDOWN({0},0)</f>
      </c>
      <c r="J7" s="11"/>
      <c r="K7" s="12"/>
      <c r="L7" s="11">
        <v>10496</v>
      </c>
      <c r="M7" s="13">
        <v>495922.74</v>
      </c>
      <c r="N7" s="11">
        <v>51</v>
      </c>
      <c r="O7" s="14">
        <v>9723.98</v>
      </c>
      <c r="P7" s="11"/>
      <c r="Q7" s="13"/>
      <c r="R7" s="11"/>
      <c r="S7" s="14"/>
      <c r="T7" s="12"/>
      <c r="U7" s="12"/>
      <c r="V7" s="12"/>
      <c r="W7" s="12"/>
      <c r="X7" s="11">
        <v>791</v>
      </c>
      <c r="Y7" s="13">
        <v>41571.87</v>
      </c>
      <c r="Z7" s="11">
        <v>43</v>
      </c>
      <c r="AA7" s="11"/>
      <c r="AB7" s="13"/>
      <c r="AC7" s="11"/>
      <c r="AD7" s="12"/>
      <c r="AE7" s="12"/>
      <c r="AF7" s="11">
        <v>2231</v>
      </c>
      <c r="AG7" s="13">
        <v>101453.41</v>
      </c>
      <c r="AH7" s="11">
        <v>51</v>
      </c>
      <c r="AI7" s="11"/>
      <c r="AJ7" s="13"/>
      <c r="AK7" s="11"/>
      <c r="AL7" s="12"/>
      <c r="AM7" s="12"/>
      <c r="AN7" s="11">
        <v>1238</v>
      </c>
      <c r="AO7" s="13">
        <v>58345.78</v>
      </c>
      <c r="AP7" s="11">
        <v>51</v>
      </c>
      <c r="AQ7" s="11"/>
      <c r="AR7" s="13"/>
      <c r="AS7" s="11"/>
      <c r="AT7" s="12"/>
      <c r="AU7" s="12"/>
      <c r="AV7" s="11">
        <v>394</v>
      </c>
      <c r="AW7" s="13">
        <v>18750.9</v>
      </c>
      <c r="AX7" s="11">
        <v>38</v>
      </c>
      <c r="AY7" s="11"/>
      <c r="AZ7" s="13"/>
      <c r="BA7" s="11"/>
      <c r="BB7" s="12"/>
      <c r="BC7" s="12"/>
      <c r="BD7" s="11">
        <v>1505</v>
      </c>
      <c r="BE7" s="13">
        <v>68592.34</v>
      </c>
      <c r="BF7" s="11">
        <v>51</v>
      </c>
      <c r="BG7" s="11"/>
      <c r="BH7" s="13"/>
      <c r="BI7" s="11"/>
      <c r="BJ7" s="12"/>
      <c r="BK7" s="12"/>
      <c r="BL7" s="11">
        <v>435</v>
      </c>
      <c r="BM7" s="13">
        <v>23371.25</v>
      </c>
      <c r="BN7" s="11">
        <v>51</v>
      </c>
      <c r="BO7" s="11"/>
      <c r="BP7" s="13"/>
      <c r="BQ7" s="11"/>
      <c r="BR7" s="12"/>
      <c r="BS7" s="12"/>
      <c r="BT7" s="11">
        <v>568</v>
      </c>
      <c r="BU7" s="13">
        <v>22877.02</v>
      </c>
      <c r="BV7" s="11">
        <v>51</v>
      </c>
      <c r="BW7" s="11"/>
      <c r="BX7" s="13"/>
      <c r="BY7" s="11"/>
      <c r="BZ7" s="12"/>
      <c r="CA7" s="12"/>
      <c r="CB7" s="11">
        <v>1449</v>
      </c>
      <c r="CC7" s="13">
        <v>68510.43</v>
      </c>
      <c r="CD7" s="11">
        <v>48</v>
      </c>
      <c r="CE7" s="11"/>
      <c r="CF7" s="13"/>
      <c r="CG7" s="11"/>
      <c r="CH7" s="12"/>
      <c r="CI7" s="12"/>
      <c r="CJ7" s="11">
        <v>501</v>
      </c>
      <c r="CK7" s="13">
        <v>27292.99</v>
      </c>
      <c r="CL7" s="11">
        <v>51</v>
      </c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>
        <v>54</v>
      </c>
      <c r="DA7" s="13">
        <v>1358.45</v>
      </c>
      <c r="DB7" s="11">
        <v>4</v>
      </c>
      <c r="DC7" s="11"/>
      <c r="DD7" s="13"/>
      <c r="DE7" s="11"/>
      <c r="DF7" s="12"/>
      <c r="DG7" s="12"/>
      <c r="DH7" s="11">
        <v>86</v>
      </c>
      <c r="DI7" s="13">
        <v>3585.28</v>
      </c>
      <c r="DJ7" s="11">
        <v>23</v>
      </c>
      <c r="DK7" s="11"/>
      <c r="DL7" s="13"/>
      <c r="DM7" s="11"/>
      <c r="DN7" s="12"/>
      <c r="DO7" s="12"/>
      <c r="DP7" s="11">
        <v>319</v>
      </c>
      <c r="DQ7" s="13">
        <v>12673.86</v>
      </c>
      <c r="DR7" s="11">
        <v>48</v>
      </c>
      <c r="DS7" s="11"/>
      <c r="DT7" s="13"/>
      <c r="DU7" s="11"/>
      <c r="DV7" s="12"/>
      <c r="DW7" s="12"/>
      <c r="DX7" s="11">
        <v>153</v>
      </c>
      <c r="DY7" s="13">
        <v>6672.19</v>
      </c>
      <c r="DZ7" s="11">
        <v>45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>
        <v>11</v>
      </c>
      <c r="EO7" s="13">
        <v>1208.35</v>
      </c>
      <c r="EP7" s="11">
        <v>51</v>
      </c>
      <c r="EQ7" s="11"/>
      <c r="ER7" s="13"/>
      <c r="ES7" s="11"/>
      <c r="ET7" s="12"/>
      <c r="EU7" s="12"/>
      <c r="EV7" s="11">
        <v>32</v>
      </c>
      <c r="EW7" s="13">
        <v>1175.73</v>
      </c>
      <c r="EX7" s="11">
        <v>5</v>
      </c>
      <c r="EY7" s="11"/>
      <c r="EZ7" s="13"/>
      <c r="FA7" s="11"/>
      <c r="FB7" s="12"/>
      <c r="FC7" s="12"/>
      <c r="FD7" s="11">
        <v>120</v>
      </c>
      <c r="FE7" s="13">
        <v>5726.98</v>
      </c>
      <c r="FF7" s="11">
        <v>16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>
        <v>54</v>
      </c>
      <c r="FU7" s="13">
        <v>2659.91</v>
      </c>
      <c r="FV7" s="11">
        <v>25</v>
      </c>
      <c r="FW7" s="11"/>
      <c r="FX7" s="13"/>
      <c r="FY7" s="11"/>
      <c r="FZ7" s="12"/>
      <c r="GA7" s="12"/>
      <c r="GB7" s="11">
        <v>9</v>
      </c>
      <c r="GC7" s="13">
        <v>503.53</v>
      </c>
      <c r="GD7" s="11">
        <v>9</v>
      </c>
      <c r="GE7" s="11"/>
      <c r="GF7" s="13"/>
      <c r="GG7" s="11"/>
      <c r="GH7" s="12"/>
      <c r="GI7" s="12"/>
      <c r="GJ7" s="11">
        <v>1</v>
      </c>
      <c r="GK7" s="13">
        <v>49.73</v>
      </c>
      <c r="GL7" s="11">
        <v>3</v>
      </c>
      <c r="GM7" s="11"/>
      <c r="GN7" s="13"/>
      <c r="GO7" s="11"/>
      <c r="GP7" s="12"/>
      <c r="GQ7" s="12"/>
      <c r="GR7" s="11">
        <v>3</v>
      </c>
      <c r="GS7" s="13">
        <v>110.23</v>
      </c>
      <c r="GT7" s="11">
        <v>42</v>
      </c>
      <c r="GU7" s="11"/>
      <c r="GV7" s="13"/>
      <c r="GW7" s="11"/>
      <c r="GX7" s="12"/>
      <c r="GY7" s="12"/>
      <c r="GZ7" s="11">
        <v>35</v>
      </c>
      <c r="HA7" s="13">
        <v>1616.56</v>
      </c>
      <c r="HB7" s="11">
        <v>15</v>
      </c>
      <c r="HC7" s="11"/>
      <c r="HD7" s="13"/>
      <c r="HE7" s="11"/>
      <c r="HF7" s="12"/>
      <c r="HG7" s="12"/>
      <c r="HH7" s="11">
        <v>485</v>
      </c>
      <c r="HI7" s="13">
        <v>26805.36</v>
      </c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6</v>
      </c>
      <c r="HY7" s="13">
        <v>333.02</v>
      </c>
      <c r="HZ7" s="11">
        <v>12</v>
      </c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>
        <v>16</v>
      </c>
      <c r="IW7" s="13">
        <v>677.57</v>
      </c>
      <c r="IX7" s="11">
        <v>36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>
        <v>35</v>
      </c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  <c r="LH7" s="11"/>
      <c r="LI7" s="13"/>
      <c r="LJ7" s="11"/>
      <c r="LK7" s="11"/>
      <c r="LL7" s="13"/>
      <c r="LM7" s="11"/>
      <c r="LN7" s="12"/>
      <c r="LO7" s="12"/>
      <c r="LP7" s="11"/>
      <c r="LQ7" s="13"/>
      <c r="LR7" s="11"/>
      <c r="LS7" s="11"/>
      <c r="LT7" s="13"/>
      <c r="LU7" s="11"/>
      <c r="LV7" s="12"/>
      <c r="LW7" s="12"/>
    </row>
    <row r="8">
      <c r="A8" s="10" t="s">
        <v>72</v>
      </c>
      <c r="B8" s="10" t="s">
        <v>78</v>
      </c>
      <c r="C8" s="10" t="s">
        <v>74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3000</v>
      </c>
      <c r="M8" s="13">
        <v>120900</v>
      </c>
      <c r="N8" s="11"/>
      <c r="O8" s="14"/>
      <c r="P8" s="11"/>
      <c r="Q8" s="13"/>
      <c r="R8" s="11"/>
      <c r="S8" s="14"/>
      <c r="T8" s="12"/>
      <c r="U8" s="12"/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/>
      <c r="BE8" s="13"/>
      <c r="BF8" s="11"/>
      <c r="BG8" s="11"/>
      <c r="BH8" s="13"/>
      <c r="BI8" s="11"/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>
        <v>3000</v>
      </c>
      <c r="CS8" s="13">
        <v>120900</v>
      </c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  <c r="LH8" s="11"/>
      <c r="LI8" s="13"/>
      <c r="LJ8" s="11"/>
      <c r="LK8" s="11"/>
      <c r="LL8" s="13"/>
      <c r="LM8" s="11"/>
      <c r="LN8" s="12"/>
      <c r="LO8" s="12"/>
      <c r="LP8" s="11"/>
      <c r="LQ8" s="13"/>
      <c r="LR8" s="11"/>
      <c r="LS8" s="11"/>
      <c r="LT8" s="13"/>
      <c r="LU8" s="11"/>
      <c r="LV8" s="12"/>
      <c r="LW8" s="12"/>
    </row>
    <row r="9">
      <c r="A9" s="10" t="s">
        <v>72</v>
      </c>
      <c r="B9" s="10" t="s">
        <v>79</v>
      </c>
      <c r="C9" s="10" t="s">
        <v>77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3000</v>
      </c>
      <c r="M9" s="13">
        <v>120900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>
        <v>3000</v>
      </c>
      <c r="CS9" s="13">
        <v>120900</v>
      </c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  <c r="LH9" s="11"/>
      <c r="LI9" s="13"/>
      <c r="LJ9" s="11"/>
      <c r="LK9" s="11"/>
      <c r="LL9" s="13"/>
      <c r="LM9" s="11"/>
      <c r="LN9" s="12"/>
      <c r="LO9" s="12"/>
      <c r="LP9" s="11"/>
      <c r="LQ9" s="13"/>
      <c r="LR9" s="11"/>
      <c r="LS9" s="11"/>
      <c r="LT9" s="13"/>
      <c r="LU9" s="11"/>
      <c r="LV9" s="12"/>
      <c r="LW9" s="12"/>
    </row>
    <row r="10">
      <c r="A10" s="10" t="s">
        <v>72</v>
      </c>
      <c r="B10" s="10" t="s">
        <v>80</v>
      </c>
      <c r="C10" s="10" t="s">
        <v>74</v>
      </c>
      <c r="D10" s="11">
        <v>94</v>
      </c>
      <c r="E10" s="11">
        <f>=ROUNDDOWN({0},0)</f>
      </c>
      <c r="F10" s="11"/>
      <c r="G10" s="12">
        <v>0.2857</v>
      </c>
      <c r="H10" s="11"/>
      <c r="I10" s="11">
        <f>=ROUNDDOWN({0},0)</f>
      </c>
      <c r="J10" s="11"/>
      <c r="K10" s="12"/>
      <c r="L10" s="11">
        <v>323</v>
      </c>
      <c r="M10" s="13">
        <v>12819</v>
      </c>
      <c r="N10" s="11"/>
      <c r="O10" s="14"/>
      <c r="P10" s="11"/>
      <c r="Q10" s="13"/>
      <c r="R10" s="11"/>
      <c r="S10" s="14"/>
      <c r="T10" s="12"/>
      <c r="U10" s="12"/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/>
      <c r="AW10" s="13"/>
      <c r="AX10" s="11"/>
      <c r="AY10" s="11"/>
      <c r="AZ10" s="13"/>
      <c r="BA10" s="11"/>
      <c r="BB10" s="12"/>
      <c r="BC10" s="12"/>
      <c r="BD10" s="11">
        <v>11</v>
      </c>
      <c r="BE10" s="13">
        <v>495</v>
      </c>
      <c r="BF10" s="11"/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/>
      <c r="BU10" s="13"/>
      <c r="BV10" s="11"/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>
        <v>312</v>
      </c>
      <c r="CS10" s="13">
        <v>12324</v>
      </c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  <c r="LH10" s="11"/>
      <c r="LI10" s="13"/>
      <c r="LJ10" s="11"/>
      <c r="LK10" s="11"/>
      <c r="LL10" s="13"/>
      <c r="LM10" s="11"/>
      <c r="LN10" s="12"/>
      <c r="LO10" s="12"/>
      <c r="LP10" s="11"/>
      <c r="LQ10" s="13"/>
      <c r="LR10" s="11"/>
      <c r="LS10" s="11"/>
      <c r="LT10" s="13"/>
      <c r="LU10" s="11"/>
      <c r="LV10" s="12"/>
      <c r="LW10" s="12"/>
    </row>
    <row r="11">
      <c r="A11" s="10" t="s">
        <v>72</v>
      </c>
      <c r="B11" s="10" t="s">
        <v>81</v>
      </c>
      <c r="C11" s="10" t="s">
        <v>77</v>
      </c>
      <c r="D11" s="11">
        <v>94</v>
      </c>
      <c r="E11" s="11">
        <f>=ROUNDDOWN({0},0)</f>
      </c>
      <c r="F11" s="11"/>
      <c r="G11" s="12"/>
      <c r="H11" s="11"/>
      <c r="I11" s="11">
        <f>=ROUNDDOWN({0},0)</f>
      </c>
      <c r="J11" s="11"/>
      <c r="K11" s="12"/>
      <c r="L11" s="11">
        <v>323</v>
      </c>
      <c r="M11" s="13">
        <v>12819</v>
      </c>
      <c r="N11" s="11"/>
      <c r="O11" s="14"/>
      <c r="P11" s="11"/>
      <c r="Q11" s="13"/>
      <c r="R11" s="11"/>
      <c r="S11" s="14"/>
      <c r="T11" s="12"/>
      <c r="U11" s="12"/>
      <c r="V11" s="12"/>
      <c r="W11" s="12"/>
      <c r="X11" s="11"/>
      <c r="Y11" s="13"/>
      <c r="Z11" s="11"/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/>
      <c r="AO11" s="13"/>
      <c r="AP11" s="11"/>
      <c r="AQ11" s="11"/>
      <c r="AR11" s="13"/>
      <c r="AS11" s="11"/>
      <c r="AT11" s="12"/>
      <c r="AU11" s="12"/>
      <c r="AV11" s="11"/>
      <c r="AW11" s="13"/>
      <c r="AX11" s="11"/>
      <c r="AY11" s="11"/>
      <c r="AZ11" s="13"/>
      <c r="BA11" s="11"/>
      <c r="BB11" s="12"/>
      <c r="BC11" s="12"/>
      <c r="BD11" s="11">
        <v>11</v>
      </c>
      <c r="BE11" s="13">
        <v>495</v>
      </c>
      <c r="BF11" s="11"/>
      <c r="BG11" s="11"/>
      <c r="BH11" s="13"/>
      <c r="BI11" s="11"/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/>
      <c r="BU11" s="13"/>
      <c r="BV11" s="11"/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>
        <v>312</v>
      </c>
      <c r="CS11" s="13">
        <v>12324</v>
      </c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  <c r="LH11" s="11"/>
      <c r="LI11" s="13"/>
      <c r="LJ11" s="11"/>
      <c r="LK11" s="11"/>
      <c r="LL11" s="13"/>
      <c r="LM11" s="11"/>
      <c r="LN11" s="12"/>
      <c r="LO11" s="12"/>
      <c r="LP11" s="11"/>
      <c r="LQ11" s="13"/>
      <c r="LR11" s="11"/>
      <c r="LS11" s="11"/>
      <c r="LT11" s="13"/>
      <c r="LU11" s="11"/>
      <c r="LV11" s="12"/>
      <c r="LW11" s="12"/>
    </row>
    <row r="12">
      <c r="A12" s="10" t="s">
        <v>72</v>
      </c>
      <c r="B12" s="10" t="s">
        <v>82</v>
      </c>
      <c r="C12" s="10" t="s">
        <v>74</v>
      </c>
      <c r="D12" s="11">
        <v>725</v>
      </c>
      <c r="E12" s="11">
        <f>=ROUNDDOWN(14.3849206349206,0)</f>
      </c>
      <c r="F12" s="11"/>
      <c r="G12" s="12"/>
      <c r="H12" s="11"/>
      <c r="I12" s="11">
        <f>=ROUNDDOWN({0},0)</f>
      </c>
      <c r="J12" s="11"/>
      <c r="K12" s="12"/>
      <c r="L12" s="11">
        <v>633</v>
      </c>
      <c r="M12" s="13">
        <v>24875.43</v>
      </c>
      <c r="N12" s="11">
        <v>9</v>
      </c>
      <c r="O12" s="14">
        <v>2763.94</v>
      </c>
      <c r="P12" s="11"/>
      <c r="Q12" s="13"/>
      <c r="R12" s="11"/>
      <c r="S12" s="14"/>
      <c r="T12" s="12"/>
      <c r="U12" s="12"/>
      <c r="V12" s="12"/>
      <c r="W12" s="12"/>
      <c r="X12" s="11">
        <v>18</v>
      </c>
      <c r="Y12" s="13">
        <v>475.67</v>
      </c>
      <c r="Z12" s="11">
        <v>3</v>
      </c>
      <c r="AA12" s="11"/>
      <c r="AB12" s="13"/>
      <c r="AC12" s="11"/>
      <c r="AD12" s="12"/>
      <c r="AE12" s="12"/>
      <c r="AF12" s="11">
        <v>118</v>
      </c>
      <c r="AG12" s="13">
        <v>2867.84</v>
      </c>
      <c r="AH12" s="11">
        <v>9</v>
      </c>
      <c r="AI12" s="11"/>
      <c r="AJ12" s="13"/>
      <c r="AK12" s="11"/>
      <c r="AL12" s="12"/>
      <c r="AM12" s="12"/>
      <c r="AN12" s="11">
        <v>108</v>
      </c>
      <c r="AO12" s="13">
        <v>3820.02</v>
      </c>
      <c r="AP12" s="11">
        <v>9</v>
      </c>
      <c r="AQ12" s="11"/>
      <c r="AR12" s="13"/>
      <c r="AS12" s="11"/>
      <c r="AT12" s="12"/>
      <c r="AU12" s="12"/>
      <c r="AV12" s="11">
        <v>67</v>
      </c>
      <c r="AW12" s="13">
        <v>3640.77</v>
      </c>
      <c r="AX12" s="11">
        <v>9</v>
      </c>
      <c r="AY12" s="11"/>
      <c r="AZ12" s="13"/>
      <c r="BA12" s="11"/>
      <c r="BB12" s="12"/>
      <c r="BC12" s="12"/>
      <c r="BD12" s="11">
        <v>63</v>
      </c>
      <c r="BE12" s="13">
        <v>1850.64</v>
      </c>
      <c r="BF12" s="11">
        <v>7</v>
      </c>
      <c r="BG12" s="11"/>
      <c r="BH12" s="13"/>
      <c r="BI12" s="11"/>
      <c r="BJ12" s="12"/>
      <c r="BK12" s="12"/>
      <c r="BL12" s="11">
        <v>4</v>
      </c>
      <c r="BM12" s="13">
        <v>182.44</v>
      </c>
      <c r="BN12" s="11">
        <v>9</v>
      </c>
      <c r="BO12" s="11"/>
      <c r="BP12" s="13"/>
      <c r="BQ12" s="11"/>
      <c r="BR12" s="12"/>
      <c r="BS12" s="12"/>
      <c r="BT12" s="11">
        <v>126</v>
      </c>
      <c r="BU12" s="13">
        <v>6463.74</v>
      </c>
      <c r="BV12" s="11">
        <v>9</v>
      </c>
      <c r="BW12" s="11"/>
      <c r="BX12" s="13"/>
      <c r="BY12" s="11"/>
      <c r="BZ12" s="12"/>
      <c r="CA12" s="12"/>
      <c r="CB12" s="11">
        <v>88</v>
      </c>
      <c r="CC12" s="13">
        <v>3407.86</v>
      </c>
      <c r="CD12" s="11">
        <v>9</v>
      </c>
      <c r="CE12" s="11"/>
      <c r="CF12" s="13"/>
      <c r="CG12" s="11"/>
      <c r="CH12" s="12"/>
      <c r="CI12" s="12"/>
      <c r="CJ12" s="11"/>
      <c r="CK12" s="13"/>
      <c r="CL12" s="11">
        <v>1</v>
      </c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>
        <v>3</v>
      </c>
      <c r="DA12" s="13">
        <v>160.7</v>
      </c>
      <c r="DB12" s="11">
        <v>3</v>
      </c>
      <c r="DC12" s="11"/>
      <c r="DD12" s="13"/>
      <c r="DE12" s="11"/>
      <c r="DF12" s="12"/>
      <c r="DG12" s="12"/>
      <c r="DH12" s="11">
        <v>8</v>
      </c>
      <c r="DI12" s="13">
        <v>309.54</v>
      </c>
      <c r="DJ12" s="11">
        <v>6</v>
      </c>
      <c r="DK12" s="11"/>
      <c r="DL12" s="13"/>
      <c r="DM12" s="11"/>
      <c r="DN12" s="12"/>
      <c r="DO12" s="12"/>
      <c r="DP12" s="11"/>
      <c r="DQ12" s="13"/>
      <c r="DR12" s="11">
        <v>1</v>
      </c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>
        <v>1</v>
      </c>
      <c r="EO12" s="13">
        <v>109.02</v>
      </c>
      <c r="EP12" s="11">
        <v>9</v>
      </c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26</v>
      </c>
      <c r="FM12" s="13">
        <v>1420.36</v>
      </c>
      <c r="FN12" s="11">
        <v>7</v>
      </c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2</v>
      </c>
      <c r="GS12" s="13">
        <v>114.04</v>
      </c>
      <c r="GT12" s="11">
        <v>4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>
        <v>1</v>
      </c>
      <c r="HY12" s="13">
        <v>52.79</v>
      </c>
      <c r="HZ12" s="11">
        <v>6</v>
      </c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  <c r="LH12" s="11"/>
      <c r="LI12" s="13"/>
      <c r="LJ12" s="11"/>
      <c r="LK12" s="11"/>
      <c r="LL12" s="13"/>
      <c r="LM12" s="11"/>
      <c r="LN12" s="12"/>
      <c r="LO12" s="12"/>
      <c r="LP12" s="11"/>
      <c r="LQ12" s="13"/>
      <c r="LR12" s="11"/>
      <c r="LS12" s="11"/>
      <c r="LT12" s="13"/>
      <c r="LU12" s="11"/>
      <c r="LV12" s="12"/>
      <c r="LW12" s="12"/>
    </row>
    <row r="13">
      <c r="A13" s="10" t="s">
        <v>72</v>
      </c>
      <c r="B13" s="10" t="s">
        <v>82</v>
      </c>
      <c r="C13" s="10" t="s">
        <v>75</v>
      </c>
      <c r="D13" s="11">
        <v>90</v>
      </c>
      <c r="E13" s="11">
        <f>=ROUNDDOWN(12.5,0)</f>
      </c>
      <c r="F13" s="11"/>
      <c r="G13" s="12"/>
      <c r="H13" s="11"/>
      <c r="I13" s="11">
        <f>=ROUNDDOWN({0},0)</f>
      </c>
      <c r="J13" s="11"/>
      <c r="K13" s="12"/>
      <c r="L13" s="11">
        <v>226</v>
      </c>
      <c r="M13" s="13">
        <v>6215.02</v>
      </c>
      <c r="N13" s="11">
        <v>4</v>
      </c>
      <c r="O13" s="14">
        <v>1553.76</v>
      </c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>
        <v>2</v>
      </c>
      <c r="AG13" s="13">
        <v>45.6</v>
      </c>
      <c r="AH13" s="11">
        <v>4</v>
      </c>
      <c r="AI13" s="11"/>
      <c r="AJ13" s="13"/>
      <c r="AK13" s="11"/>
      <c r="AL13" s="12"/>
      <c r="AM13" s="12"/>
      <c r="AN13" s="11">
        <v>75</v>
      </c>
      <c r="AO13" s="13">
        <v>2169.23</v>
      </c>
      <c r="AP13" s="11">
        <v>4</v>
      </c>
      <c r="AQ13" s="11"/>
      <c r="AR13" s="13"/>
      <c r="AS13" s="11"/>
      <c r="AT13" s="12"/>
      <c r="AU13" s="12"/>
      <c r="AV13" s="11">
        <v>3</v>
      </c>
      <c r="AW13" s="13">
        <v>150.33</v>
      </c>
      <c r="AX13" s="11">
        <v>4</v>
      </c>
      <c r="AY13" s="11"/>
      <c r="AZ13" s="13"/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>
        <v>1</v>
      </c>
      <c r="BM13" s="13">
        <v>32.6</v>
      </c>
      <c r="BN13" s="11">
        <v>4</v>
      </c>
      <c r="BO13" s="11"/>
      <c r="BP13" s="13"/>
      <c r="BQ13" s="11"/>
      <c r="BR13" s="12"/>
      <c r="BS13" s="12"/>
      <c r="BT13" s="11">
        <v>35</v>
      </c>
      <c r="BU13" s="13">
        <v>1553.29</v>
      </c>
      <c r="BV13" s="11">
        <v>4</v>
      </c>
      <c r="BW13" s="11"/>
      <c r="BX13" s="13"/>
      <c r="BY13" s="11"/>
      <c r="BZ13" s="12"/>
      <c r="CA13" s="12"/>
      <c r="CB13" s="11">
        <v>109</v>
      </c>
      <c r="CC13" s="13">
        <v>2164.86</v>
      </c>
      <c r="CD13" s="11">
        <v>4</v>
      </c>
      <c r="CE13" s="11"/>
      <c r="CF13" s="13"/>
      <c r="CG13" s="11"/>
      <c r="CH13" s="12"/>
      <c r="CI13" s="12"/>
      <c r="CJ13" s="11"/>
      <c r="CK13" s="13"/>
      <c r="CL13" s="11">
        <v>1</v>
      </c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>
        <v>1</v>
      </c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1</v>
      </c>
      <c r="EO13" s="13">
        <v>99.11</v>
      </c>
      <c r="EP13" s="11">
        <v>4</v>
      </c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3</v>
      </c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>
        <v>4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>
        <v>3</v>
      </c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  <c r="LH13" s="11"/>
      <c r="LI13" s="13"/>
      <c r="LJ13" s="11"/>
      <c r="LK13" s="11"/>
      <c r="LL13" s="13"/>
      <c r="LM13" s="11"/>
      <c r="LN13" s="12"/>
      <c r="LO13" s="12"/>
      <c r="LP13" s="11"/>
      <c r="LQ13" s="13"/>
      <c r="LR13" s="11"/>
      <c r="LS13" s="11"/>
      <c r="LT13" s="13"/>
      <c r="LU13" s="11"/>
      <c r="LV13" s="12"/>
      <c r="LW13" s="12"/>
    </row>
    <row r="14">
      <c r="A14" s="10" t="s">
        <v>72</v>
      </c>
      <c r="B14" s="10" t="s">
        <v>82</v>
      </c>
      <c r="C14" s="10" t="s">
        <v>83</v>
      </c>
      <c r="D14" s="11">
        <v>278</v>
      </c>
      <c r="E14" s="11">
        <f>=ROUNDDOWN(12.8703703703704,0)</f>
      </c>
      <c r="F14" s="11"/>
      <c r="G14" s="12"/>
      <c r="H14" s="11"/>
      <c r="I14" s="11">
        <f>=ROUNDDOWN({0},0)</f>
      </c>
      <c r="J14" s="11"/>
      <c r="K14" s="12"/>
      <c r="L14" s="11">
        <v>202</v>
      </c>
      <c r="M14" s="13">
        <v>6295.77</v>
      </c>
      <c r="N14" s="11">
        <v>4</v>
      </c>
      <c r="O14" s="14">
        <v>1573.94</v>
      </c>
      <c r="P14" s="11"/>
      <c r="Q14" s="13"/>
      <c r="R14" s="11"/>
      <c r="S14" s="14"/>
      <c r="T14" s="12"/>
      <c r="U14" s="12"/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>
        <v>24</v>
      </c>
      <c r="AG14" s="13">
        <v>436.8</v>
      </c>
      <c r="AH14" s="11">
        <v>4</v>
      </c>
      <c r="AI14" s="11"/>
      <c r="AJ14" s="13"/>
      <c r="AK14" s="11"/>
      <c r="AL14" s="12"/>
      <c r="AM14" s="12"/>
      <c r="AN14" s="11">
        <v>46</v>
      </c>
      <c r="AO14" s="13">
        <v>1258.58</v>
      </c>
      <c r="AP14" s="11">
        <v>4</v>
      </c>
      <c r="AQ14" s="11"/>
      <c r="AR14" s="13"/>
      <c r="AS14" s="11"/>
      <c r="AT14" s="12"/>
      <c r="AU14" s="12"/>
      <c r="AV14" s="11">
        <v>48</v>
      </c>
      <c r="AW14" s="13">
        <v>1866.24</v>
      </c>
      <c r="AX14" s="11">
        <v>4</v>
      </c>
      <c r="AY14" s="11"/>
      <c r="AZ14" s="13"/>
      <c r="BA14" s="11"/>
      <c r="BB14" s="12"/>
      <c r="BC14" s="12"/>
      <c r="BD14" s="11">
        <v>25</v>
      </c>
      <c r="BE14" s="13">
        <v>498.96</v>
      </c>
      <c r="BF14" s="11">
        <v>4</v>
      </c>
      <c r="BG14" s="11"/>
      <c r="BH14" s="13"/>
      <c r="BI14" s="11"/>
      <c r="BJ14" s="12"/>
      <c r="BK14" s="12"/>
      <c r="BL14" s="11">
        <v>4</v>
      </c>
      <c r="BM14" s="13">
        <v>145.16</v>
      </c>
      <c r="BN14" s="11">
        <v>4</v>
      </c>
      <c r="BO14" s="11"/>
      <c r="BP14" s="13"/>
      <c r="BQ14" s="11"/>
      <c r="BR14" s="12"/>
      <c r="BS14" s="12"/>
      <c r="BT14" s="11">
        <v>26</v>
      </c>
      <c r="BU14" s="13">
        <v>965.04</v>
      </c>
      <c r="BV14" s="11">
        <v>4</v>
      </c>
      <c r="BW14" s="11"/>
      <c r="BX14" s="13"/>
      <c r="BY14" s="11"/>
      <c r="BZ14" s="12"/>
      <c r="CA14" s="12"/>
      <c r="CB14" s="11">
        <v>14</v>
      </c>
      <c r="CC14" s="13">
        <v>534.24</v>
      </c>
      <c r="CD14" s="11">
        <v>4</v>
      </c>
      <c r="CE14" s="11"/>
      <c r="CF14" s="13"/>
      <c r="CG14" s="11"/>
      <c r="CH14" s="12"/>
      <c r="CI14" s="12"/>
      <c r="CJ14" s="11"/>
      <c r="CK14" s="13"/>
      <c r="CL14" s="11">
        <v>2</v>
      </c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>
        <v>4</v>
      </c>
      <c r="DI14" s="13">
        <v>111.6</v>
      </c>
      <c r="DJ14" s="11">
        <v>4</v>
      </c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>
        <v>1</v>
      </c>
      <c r="EO14" s="13">
        <v>79.99</v>
      </c>
      <c r="EP14" s="11">
        <v>4</v>
      </c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>
        <v>10</v>
      </c>
      <c r="FM14" s="13">
        <v>399.16</v>
      </c>
      <c r="FN14" s="11">
        <v>4</v>
      </c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>
        <v>2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>
        <v>4</v>
      </c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  <c r="LH14" s="11"/>
      <c r="LI14" s="13"/>
      <c r="LJ14" s="11"/>
      <c r="LK14" s="11"/>
      <c r="LL14" s="13"/>
      <c r="LM14" s="11"/>
      <c r="LN14" s="12"/>
      <c r="LO14" s="12"/>
      <c r="LP14" s="11"/>
      <c r="LQ14" s="13"/>
      <c r="LR14" s="11"/>
      <c r="LS14" s="11"/>
      <c r="LT14" s="13"/>
      <c r="LU14" s="11"/>
      <c r="LV14" s="12"/>
      <c r="LW14" s="12"/>
    </row>
    <row r="15">
      <c r="A15" s="10" t="s">
        <v>72</v>
      </c>
      <c r="B15" s="10" t="s">
        <v>84</v>
      </c>
      <c r="C15" s="10" t="s">
        <v>77</v>
      </c>
      <c r="D15" s="11">
        <v>1093</v>
      </c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>
        <v>1061</v>
      </c>
      <c r="M15" s="13">
        <v>37386.22</v>
      </c>
      <c r="N15" s="11">
        <v>17</v>
      </c>
      <c r="O15" s="14">
        <v>2199.19</v>
      </c>
      <c r="P15" s="11"/>
      <c r="Q15" s="13"/>
      <c r="R15" s="11"/>
      <c r="S15" s="14"/>
      <c r="T15" s="12"/>
      <c r="U15" s="12"/>
      <c r="V15" s="12"/>
      <c r="W15" s="12"/>
      <c r="X15" s="11">
        <v>18</v>
      </c>
      <c r="Y15" s="13">
        <v>475.67</v>
      </c>
      <c r="Z15" s="11">
        <v>3</v>
      </c>
      <c r="AA15" s="11"/>
      <c r="AB15" s="13"/>
      <c r="AC15" s="11"/>
      <c r="AD15" s="12"/>
      <c r="AE15" s="12"/>
      <c r="AF15" s="11">
        <v>144</v>
      </c>
      <c r="AG15" s="13">
        <v>3350.24</v>
      </c>
      <c r="AH15" s="11">
        <v>17</v>
      </c>
      <c r="AI15" s="11"/>
      <c r="AJ15" s="13"/>
      <c r="AK15" s="11"/>
      <c r="AL15" s="12"/>
      <c r="AM15" s="12"/>
      <c r="AN15" s="11">
        <v>229</v>
      </c>
      <c r="AO15" s="13">
        <v>7247.83</v>
      </c>
      <c r="AP15" s="11">
        <v>17</v>
      </c>
      <c r="AQ15" s="11"/>
      <c r="AR15" s="13"/>
      <c r="AS15" s="11"/>
      <c r="AT15" s="12"/>
      <c r="AU15" s="12"/>
      <c r="AV15" s="11">
        <v>118</v>
      </c>
      <c r="AW15" s="13">
        <v>5657.34</v>
      </c>
      <c r="AX15" s="11">
        <v>17</v>
      </c>
      <c r="AY15" s="11"/>
      <c r="AZ15" s="13"/>
      <c r="BA15" s="11"/>
      <c r="BB15" s="12"/>
      <c r="BC15" s="12"/>
      <c r="BD15" s="11">
        <v>88</v>
      </c>
      <c r="BE15" s="13">
        <v>2349.6</v>
      </c>
      <c r="BF15" s="11">
        <v>11</v>
      </c>
      <c r="BG15" s="11"/>
      <c r="BH15" s="13"/>
      <c r="BI15" s="11"/>
      <c r="BJ15" s="12"/>
      <c r="BK15" s="12"/>
      <c r="BL15" s="11">
        <v>9</v>
      </c>
      <c r="BM15" s="13">
        <v>360.2</v>
      </c>
      <c r="BN15" s="11">
        <v>17</v>
      </c>
      <c r="BO15" s="11"/>
      <c r="BP15" s="13"/>
      <c r="BQ15" s="11"/>
      <c r="BR15" s="12"/>
      <c r="BS15" s="12"/>
      <c r="BT15" s="11">
        <v>187</v>
      </c>
      <c r="BU15" s="13">
        <v>8982.07</v>
      </c>
      <c r="BV15" s="11">
        <v>17</v>
      </c>
      <c r="BW15" s="11"/>
      <c r="BX15" s="13"/>
      <c r="BY15" s="11"/>
      <c r="BZ15" s="12"/>
      <c r="CA15" s="12"/>
      <c r="CB15" s="11">
        <v>211</v>
      </c>
      <c r="CC15" s="13">
        <v>6106.96</v>
      </c>
      <c r="CD15" s="11">
        <v>17</v>
      </c>
      <c r="CE15" s="11"/>
      <c r="CF15" s="13"/>
      <c r="CG15" s="11"/>
      <c r="CH15" s="12"/>
      <c r="CI15" s="12"/>
      <c r="CJ15" s="11"/>
      <c r="CK15" s="13"/>
      <c r="CL15" s="11">
        <v>4</v>
      </c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>
        <v>3</v>
      </c>
      <c r="DA15" s="13">
        <v>160.7</v>
      </c>
      <c r="DB15" s="11">
        <v>3</v>
      </c>
      <c r="DC15" s="11"/>
      <c r="DD15" s="13"/>
      <c r="DE15" s="11"/>
      <c r="DF15" s="12"/>
      <c r="DG15" s="12"/>
      <c r="DH15" s="11">
        <v>12</v>
      </c>
      <c r="DI15" s="13">
        <v>421.14</v>
      </c>
      <c r="DJ15" s="11">
        <v>10</v>
      </c>
      <c r="DK15" s="11"/>
      <c r="DL15" s="13"/>
      <c r="DM15" s="11"/>
      <c r="DN15" s="12"/>
      <c r="DO15" s="12"/>
      <c r="DP15" s="11"/>
      <c r="DQ15" s="13"/>
      <c r="DR15" s="11">
        <v>2</v>
      </c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3</v>
      </c>
      <c r="EO15" s="13">
        <v>288.12</v>
      </c>
      <c r="EP15" s="11">
        <v>17</v>
      </c>
      <c r="EQ15" s="11"/>
      <c r="ER15" s="13"/>
      <c r="ES15" s="11"/>
      <c r="ET15" s="12"/>
      <c r="EU15" s="12"/>
      <c r="EV15" s="11"/>
      <c r="EW15" s="13"/>
      <c r="EX15" s="11">
        <v>3</v>
      </c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36</v>
      </c>
      <c r="FM15" s="13">
        <v>1819.52</v>
      </c>
      <c r="FN15" s="11">
        <v>14</v>
      </c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>
        <v>2</v>
      </c>
      <c r="GS15" s="13">
        <v>114.04</v>
      </c>
      <c r="GT15" s="11">
        <v>10</v>
      </c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>
        <v>1</v>
      </c>
      <c r="HY15" s="13">
        <v>52.79</v>
      </c>
      <c r="HZ15" s="11">
        <v>9</v>
      </c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>
        <v>4</v>
      </c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  <c r="LH15" s="11"/>
      <c r="LI15" s="13"/>
      <c r="LJ15" s="11"/>
      <c r="LK15" s="11"/>
      <c r="LL15" s="13"/>
      <c r="LM15" s="11"/>
      <c r="LN15" s="12"/>
      <c r="LO15" s="12"/>
      <c r="LP15" s="11"/>
      <c r="LQ15" s="13"/>
      <c r="LR15" s="11"/>
      <c r="LS15" s="11"/>
      <c r="LT15" s="13"/>
      <c r="LU15" s="11"/>
      <c r="LV15" s="12"/>
      <c r="LW15" s="12"/>
    </row>
    <row r="16">
      <c r="A16" s="10" t="s">
        <v>72</v>
      </c>
      <c r="B16" s="10" t="s">
        <v>85</v>
      </c>
      <c r="C16" s="10" t="s">
        <v>74</v>
      </c>
      <c r="D16" s="11">
        <v>1002</v>
      </c>
      <c r="E16" s="11">
        <f>=ROUNDDOWN(455.454545454545,0)</f>
      </c>
      <c r="F16" s="11"/>
      <c r="G16" s="12"/>
      <c r="H16" s="11"/>
      <c r="I16" s="11">
        <f>=ROUNDDOWN({0},0)</f>
      </c>
      <c r="J16" s="11"/>
      <c r="K16" s="12"/>
      <c r="L16" s="11">
        <v>1</v>
      </c>
      <c r="M16" s="13">
        <v>143</v>
      </c>
      <c r="N16" s="11">
        <v>4</v>
      </c>
      <c r="O16" s="14">
        <v>35.75</v>
      </c>
      <c r="P16" s="11"/>
      <c r="Q16" s="13"/>
      <c r="R16" s="11"/>
      <c r="S16" s="14"/>
      <c r="T16" s="12"/>
      <c r="U16" s="12"/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1</v>
      </c>
      <c r="BU16" s="13">
        <v>143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4</v>
      </c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>
        <v>4</v>
      </c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  <c r="LH16" s="11"/>
      <c r="LI16" s="13"/>
      <c r="LJ16" s="11"/>
      <c r="LK16" s="11"/>
      <c r="LL16" s="13"/>
      <c r="LM16" s="11"/>
      <c r="LN16" s="12"/>
      <c r="LO16" s="12"/>
      <c r="LP16" s="11"/>
      <c r="LQ16" s="13"/>
      <c r="LR16" s="11"/>
      <c r="LS16" s="11"/>
      <c r="LT16" s="13"/>
      <c r="LU16" s="11"/>
      <c r="LV16" s="12"/>
      <c r="LW16" s="12"/>
    </row>
    <row r="17">
      <c r="A17" s="10" t="s">
        <v>72</v>
      </c>
      <c r="B17" s="10" t="s">
        <v>86</v>
      </c>
      <c r="C17" s="10" t="s">
        <v>77</v>
      </c>
      <c r="D17" s="11">
        <v>1002</v>
      </c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1</v>
      </c>
      <c r="M17" s="13">
        <v>143</v>
      </c>
      <c r="N17" s="11">
        <v>4</v>
      </c>
      <c r="O17" s="14">
        <v>35.75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>
        <v>1</v>
      </c>
      <c r="BU17" s="13">
        <v>143</v>
      </c>
      <c r="BV17" s="11">
        <v>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>
        <v>4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>
        <v>4</v>
      </c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>
        <v>4</v>
      </c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  <c r="LH17" s="11"/>
      <c r="LI17" s="13"/>
      <c r="LJ17" s="11"/>
      <c r="LK17" s="11"/>
      <c r="LL17" s="13"/>
      <c r="LM17" s="11"/>
      <c r="LN17" s="12"/>
      <c r="LO17" s="12"/>
      <c r="LP17" s="11"/>
      <c r="LQ17" s="13"/>
      <c r="LR17" s="11"/>
      <c r="LS17" s="11"/>
      <c r="LT17" s="13"/>
      <c r="LU17" s="11"/>
      <c r="LV17" s="12"/>
      <c r="LW17" s="12"/>
    </row>
    <row r="18">
      <c r="A18" s="10" t="s">
        <v>72</v>
      </c>
      <c r="B18" s="10" t="s">
        <v>87</v>
      </c>
      <c r="C18" s="10" t="s">
        <v>74</v>
      </c>
      <c r="D18" s="11">
        <v>947</v>
      </c>
      <c r="E18" s="11">
        <f>=ROUNDDOWN(24.0966921119593,0)</f>
      </c>
      <c r="F18" s="11"/>
      <c r="G18" s="12">
        <v>1</v>
      </c>
      <c r="H18" s="11"/>
      <c r="I18" s="11">
        <f>=ROUNDDOWN({0},0)</f>
      </c>
      <c r="J18" s="11"/>
      <c r="K18" s="12"/>
      <c r="L18" s="11">
        <v>514</v>
      </c>
      <c r="M18" s="13">
        <v>44236.98</v>
      </c>
      <c r="N18" s="11">
        <v>4</v>
      </c>
      <c r="O18" s="14">
        <v>11059.24</v>
      </c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>
        <v>135</v>
      </c>
      <c r="AG18" s="13">
        <v>10115.69</v>
      </c>
      <c r="AH18" s="11">
        <v>4</v>
      </c>
      <c r="AI18" s="11"/>
      <c r="AJ18" s="13"/>
      <c r="AK18" s="11"/>
      <c r="AL18" s="12"/>
      <c r="AM18" s="12"/>
      <c r="AN18" s="11">
        <v>31</v>
      </c>
      <c r="AO18" s="13">
        <v>2774.43</v>
      </c>
      <c r="AP18" s="11">
        <v>4</v>
      </c>
      <c r="AQ18" s="11"/>
      <c r="AR18" s="13"/>
      <c r="AS18" s="11"/>
      <c r="AT18" s="12"/>
      <c r="AU18" s="12"/>
      <c r="AV18" s="11">
        <v>54</v>
      </c>
      <c r="AW18" s="13">
        <v>5014.11</v>
      </c>
      <c r="AX18" s="11">
        <v>4</v>
      </c>
      <c r="AY18" s="11"/>
      <c r="AZ18" s="13"/>
      <c r="BA18" s="11"/>
      <c r="BB18" s="12"/>
      <c r="BC18" s="12"/>
      <c r="BD18" s="11">
        <v>93</v>
      </c>
      <c r="BE18" s="13">
        <v>7635.23</v>
      </c>
      <c r="BF18" s="11">
        <v>2</v>
      </c>
      <c r="BG18" s="11"/>
      <c r="BH18" s="13"/>
      <c r="BI18" s="11"/>
      <c r="BJ18" s="12"/>
      <c r="BK18" s="12"/>
      <c r="BL18" s="11">
        <v>6</v>
      </c>
      <c r="BM18" s="13">
        <v>577.57</v>
      </c>
      <c r="BN18" s="11">
        <v>4</v>
      </c>
      <c r="BO18" s="11"/>
      <c r="BP18" s="13"/>
      <c r="BQ18" s="11"/>
      <c r="BR18" s="12"/>
      <c r="BS18" s="12"/>
      <c r="BT18" s="11">
        <v>123</v>
      </c>
      <c r="BU18" s="13">
        <v>11428.83</v>
      </c>
      <c r="BV18" s="11">
        <v>4</v>
      </c>
      <c r="BW18" s="11"/>
      <c r="BX18" s="13"/>
      <c r="BY18" s="11"/>
      <c r="BZ18" s="12"/>
      <c r="CA18" s="12"/>
      <c r="CB18" s="11">
        <v>18</v>
      </c>
      <c r="CC18" s="13">
        <v>1600.72</v>
      </c>
      <c r="CD18" s="11">
        <v>4</v>
      </c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>
        <v>23</v>
      </c>
      <c r="DA18" s="13">
        <v>2074.73</v>
      </c>
      <c r="DB18" s="11">
        <v>4</v>
      </c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>
        <v>2</v>
      </c>
      <c r="DQ18" s="13">
        <v>182.28</v>
      </c>
      <c r="DR18" s="11">
        <v>4</v>
      </c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>
        <v>1</v>
      </c>
      <c r="EO18" s="13">
        <v>179.99</v>
      </c>
      <c r="EP18" s="11">
        <v>4</v>
      </c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26</v>
      </c>
      <c r="FM18" s="13">
        <v>2462.34</v>
      </c>
      <c r="FN18" s="11">
        <v>4</v>
      </c>
      <c r="FO18" s="11"/>
      <c r="FP18" s="13"/>
      <c r="FQ18" s="11"/>
      <c r="FR18" s="12"/>
      <c r="FS18" s="12"/>
      <c r="FT18" s="11"/>
      <c r="FU18" s="13"/>
      <c r="FV18" s="11">
        <v>2</v>
      </c>
      <c r="FW18" s="11"/>
      <c r="FX18" s="13"/>
      <c r="FY18" s="11"/>
      <c r="FZ18" s="12"/>
      <c r="GA18" s="12"/>
      <c r="GB18" s="11">
        <v>2</v>
      </c>
      <c r="GC18" s="13">
        <v>191.06</v>
      </c>
      <c r="GD18" s="11">
        <v>1</v>
      </c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>
        <v>4</v>
      </c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  <c r="LH18" s="11"/>
      <c r="LI18" s="13"/>
      <c r="LJ18" s="11"/>
      <c r="LK18" s="11"/>
      <c r="LL18" s="13"/>
      <c r="LM18" s="11"/>
      <c r="LN18" s="12"/>
      <c r="LO18" s="12"/>
      <c r="LP18" s="11"/>
      <c r="LQ18" s="13"/>
      <c r="LR18" s="11"/>
      <c r="LS18" s="11"/>
      <c r="LT18" s="13"/>
      <c r="LU18" s="11"/>
      <c r="LV18" s="12"/>
      <c r="LW18" s="12"/>
    </row>
    <row r="19">
      <c r="A19" s="10" t="s">
        <v>72</v>
      </c>
      <c r="B19" s="10" t="s">
        <v>87</v>
      </c>
      <c r="C19" s="10" t="s">
        <v>83</v>
      </c>
      <c r="D19" s="11">
        <v>590</v>
      </c>
      <c r="E19" s="11">
        <f>=ROUNDDOWN(22.9571984435798,0)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327</v>
      </c>
      <c r="M19" s="13">
        <v>21687.81</v>
      </c>
      <c r="N19" s="11">
        <v>4</v>
      </c>
      <c r="O19" s="14">
        <v>5421.95</v>
      </c>
      <c r="P19" s="11"/>
      <c r="Q19" s="13"/>
      <c r="R19" s="11"/>
      <c r="S19" s="14"/>
      <c r="T19" s="12"/>
      <c r="U19" s="12"/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>
        <v>57</v>
      </c>
      <c r="AG19" s="13">
        <v>2957.81</v>
      </c>
      <c r="AH19" s="11">
        <v>4</v>
      </c>
      <c r="AI19" s="11"/>
      <c r="AJ19" s="13"/>
      <c r="AK19" s="11"/>
      <c r="AL19" s="12"/>
      <c r="AM19" s="12"/>
      <c r="AN19" s="11">
        <v>37</v>
      </c>
      <c r="AO19" s="13">
        <v>2510.91</v>
      </c>
      <c r="AP19" s="11">
        <v>4</v>
      </c>
      <c r="AQ19" s="11"/>
      <c r="AR19" s="13"/>
      <c r="AS19" s="11"/>
      <c r="AT19" s="12"/>
      <c r="AU19" s="12"/>
      <c r="AV19" s="11">
        <v>51</v>
      </c>
      <c r="AW19" s="13">
        <v>3589.69</v>
      </c>
      <c r="AX19" s="11">
        <v>4</v>
      </c>
      <c r="AY19" s="11"/>
      <c r="AZ19" s="13"/>
      <c r="BA19" s="11"/>
      <c r="BB19" s="12"/>
      <c r="BC19" s="12"/>
      <c r="BD19" s="11">
        <v>60</v>
      </c>
      <c r="BE19" s="13">
        <v>4001.58</v>
      </c>
      <c r="BF19" s="11">
        <v>4</v>
      </c>
      <c r="BG19" s="11"/>
      <c r="BH19" s="13"/>
      <c r="BI19" s="11"/>
      <c r="BJ19" s="12"/>
      <c r="BK19" s="12"/>
      <c r="BL19" s="11">
        <v>11</v>
      </c>
      <c r="BM19" s="13">
        <v>788.91</v>
      </c>
      <c r="BN19" s="11">
        <v>4</v>
      </c>
      <c r="BO19" s="11"/>
      <c r="BP19" s="13"/>
      <c r="BQ19" s="11"/>
      <c r="BR19" s="12"/>
      <c r="BS19" s="12"/>
      <c r="BT19" s="11">
        <v>39</v>
      </c>
      <c r="BU19" s="13">
        <v>2835.18</v>
      </c>
      <c r="BV19" s="11">
        <v>4</v>
      </c>
      <c r="BW19" s="11"/>
      <c r="BX19" s="13"/>
      <c r="BY19" s="11"/>
      <c r="BZ19" s="12"/>
      <c r="CA19" s="12"/>
      <c r="CB19" s="11">
        <v>31</v>
      </c>
      <c r="CC19" s="13">
        <v>2035.7</v>
      </c>
      <c r="CD19" s="11">
        <v>4</v>
      </c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>
        <v>9</v>
      </c>
      <c r="DA19" s="13">
        <v>619.72</v>
      </c>
      <c r="DB19" s="11">
        <v>4</v>
      </c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>
        <v>2</v>
      </c>
      <c r="DQ19" s="13">
        <v>134.99</v>
      </c>
      <c r="DR19" s="11">
        <v>4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>
        <v>1</v>
      </c>
      <c r="EO19" s="13">
        <v>138.59</v>
      </c>
      <c r="EP19" s="11">
        <v>4</v>
      </c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>
        <v>28</v>
      </c>
      <c r="FM19" s="13">
        <v>2011.48</v>
      </c>
      <c r="FN19" s="11">
        <v>4</v>
      </c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>
        <v>1</v>
      </c>
      <c r="GS19" s="13">
        <v>63.25</v>
      </c>
      <c r="GT19" s="11">
        <v>4</v>
      </c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  <c r="LH19" s="11"/>
      <c r="LI19" s="13"/>
      <c r="LJ19" s="11"/>
      <c r="LK19" s="11"/>
      <c r="LL19" s="13"/>
      <c r="LM19" s="11"/>
      <c r="LN19" s="12"/>
      <c r="LO19" s="12"/>
      <c r="LP19" s="11"/>
      <c r="LQ19" s="13"/>
      <c r="LR19" s="11"/>
      <c r="LS19" s="11"/>
      <c r="LT19" s="13"/>
      <c r="LU19" s="11"/>
      <c r="LV19" s="12"/>
      <c r="LW19" s="12"/>
    </row>
    <row r="20">
      <c r="A20" s="10" t="s">
        <v>72</v>
      </c>
      <c r="B20" s="10" t="s">
        <v>88</v>
      </c>
      <c r="C20" s="10" t="s">
        <v>77</v>
      </c>
      <c r="D20" s="11">
        <v>1537</v>
      </c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841</v>
      </c>
      <c r="M20" s="13">
        <v>65924.79</v>
      </c>
      <c r="N20" s="11">
        <v>8</v>
      </c>
      <c r="O20" s="14">
        <v>8240.6</v>
      </c>
      <c r="P20" s="11"/>
      <c r="Q20" s="13"/>
      <c r="R20" s="11"/>
      <c r="S20" s="14"/>
      <c r="T20" s="12"/>
      <c r="U20" s="12"/>
      <c r="V20" s="12"/>
      <c r="W20" s="12"/>
      <c r="X20" s="11"/>
      <c r="Y20" s="13"/>
      <c r="Z20" s="11"/>
      <c r="AA20" s="11"/>
      <c r="AB20" s="13"/>
      <c r="AC20" s="11"/>
      <c r="AD20" s="12"/>
      <c r="AE20" s="12"/>
      <c r="AF20" s="11">
        <v>192</v>
      </c>
      <c r="AG20" s="13">
        <v>13073.5</v>
      </c>
      <c r="AH20" s="11">
        <v>8</v>
      </c>
      <c r="AI20" s="11"/>
      <c r="AJ20" s="13"/>
      <c r="AK20" s="11"/>
      <c r="AL20" s="12"/>
      <c r="AM20" s="12"/>
      <c r="AN20" s="11">
        <v>68</v>
      </c>
      <c r="AO20" s="13">
        <v>5285.34</v>
      </c>
      <c r="AP20" s="11">
        <v>8</v>
      </c>
      <c r="AQ20" s="11"/>
      <c r="AR20" s="13"/>
      <c r="AS20" s="11"/>
      <c r="AT20" s="12"/>
      <c r="AU20" s="12"/>
      <c r="AV20" s="11">
        <v>105</v>
      </c>
      <c r="AW20" s="13">
        <v>8603.8</v>
      </c>
      <c r="AX20" s="11">
        <v>8</v>
      </c>
      <c r="AY20" s="11"/>
      <c r="AZ20" s="13"/>
      <c r="BA20" s="11"/>
      <c r="BB20" s="12"/>
      <c r="BC20" s="12"/>
      <c r="BD20" s="11">
        <v>153</v>
      </c>
      <c r="BE20" s="13">
        <v>11636.81</v>
      </c>
      <c r="BF20" s="11">
        <v>6</v>
      </c>
      <c r="BG20" s="11"/>
      <c r="BH20" s="13"/>
      <c r="BI20" s="11"/>
      <c r="BJ20" s="12"/>
      <c r="BK20" s="12"/>
      <c r="BL20" s="11">
        <v>17</v>
      </c>
      <c r="BM20" s="13">
        <v>1366.48</v>
      </c>
      <c r="BN20" s="11">
        <v>8</v>
      </c>
      <c r="BO20" s="11"/>
      <c r="BP20" s="13"/>
      <c r="BQ20" s="11"/>
      <c r="BR20" s="12"/>
      <c r="BS20" s="12"/>
      <c r="BT20" s="11">
        <v>162</v>
      </c>
      <c r="BU20" s="13">
        <v>14264.01</v>
      </c>
      <c r="BV20" s="11">
        <v>8</v>
      </c>
      <c r="BW20" s="11"/>
      <c r="BX20" s="13"/>
      <c r="BY20" s="11"/>
      <c r="BZ20" s="12"/>
      <c r="CA20" s="12"/>
      <c r="CB20" s="11">
        <v>49</v>
      </c>
      <c r="CC20" s="13">
        <v>3636.42</v>
      </c>
      <c r="CD20" s="11">
        <v>8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>
        <v>32</v>
      </c>
      <c r="DA20" s="13">
        <v>2694.45</v>
      </c>
      <c r="DB20" s="11">
        <v>8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4</v>
      </c>
      <c r="DQ20" s="13">
        <v>317.27</v>
      </c>
      <c r="DR20" s="11">
        <v>8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>
        <v>2</v>
      </c>
      <c r="EO20" s="13">
        <v>318.58</v>
      </c>
      <c r="EP20" s="11">
        <v>8</v>
      </c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54</v>
      </c>
      <c r="FM20" s="13">
        <v>4473.82</v>
      </c>
      <c r="FN20" s="11">
        <v>8</v>
      </c>
      <c r="FO20" s="11"/>
      <c r="FP20" s="13"/>
      <c r="FQ20" s="11"/>
      <c r="FR20" s="12"/>
      <c r="FS20" s="12"/>
      <c r="FT20" s="11"/>
      <c r="FU20" s="13"/>
      <c r="FV20" s="11">
        <v>2</v>
      </c>
      <c r="FW20" s="11"/>
      <c r="FX20" s="13"/>
      <c r="FY20" s="11"/>
      <c r="FZ20" s="12"/>
      <c r="GA20" s="12"/>
      <c r="GB20" s="11">
        <v>2</v>
      </c>
      <c r="GC20" s="13">
        <v>191.06</v>
      </c>
      <c r="GD20" s="11">
        <v>1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>
        <v>1</v>
      </c>
      <c r="GS20" s="13">
        <v>63.25</v>
      </c>
      <c r="GT20" s="11">
        <v>8</v>
      </c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  <c r="LH20" s="11"/>
      <c r="LI20" s="13"/>
      <c r="LJ20" s="11"/>
      <c r="LK20" s="11"/>
      <c r="LL20" s="13"/>
      <c r="LM20" s="11"/>
      <c r="LN20" s="12"/>
      <c r="LO20" s="12"/>
      <c r="LP20" s="11"/>
      <c r="LQ20" s="13"/>
      <c r="LR20" s="11"/>
      <c r="LS20" s="11"/>
      <c r="LT20" s="13"/>
      <c r="LU20" s="11"/>
      <c r="LV20" s="12"/>
      <c r="LW20" s="12"/>
    </row>
    <row r="21">
      <c r="A21" s="10" t="s">
        <v>72</v>
      </c>
      <c r="B21" s="10" t="s">
        <v>89</v>
      </c>
      <c r="C21" s="10" t="s">
        <v>74</v>
      </c>
      <c r="D21" s="11">
        <v>57322</v>
      </c>
      <c r="E21" s="11">
        <f>=ROUNDDOWN(114.988966900702,0)</f>
      </c>
      <c r="F21" s="11">
        <v>300</v>
      </c>
      <c r="G21" s="12">
        <v>0.9937</v>
      </c>
      <c r="H21" s="11"/>
      <c r="I21" s="11">
        <f>=ROUNDDOWN({0},0)</f>
      </c>
      <c r="J21" s="11"/>
      <c r="K21" s="12"/>
      <c r="L21" s="11">
        <v>3561</v>
      </c>
      <c r="M21" s="13">
        <v>127740.29</v>
      </c>
      <c r="N21" s="11">
        <v>89</v>
      </c>
      <c r="O21" s="14">
        <v>1435.28</v>
      </c>
      <c r="P21" s="11"/>
      <c r="Q21" s="13"/>
      <c r="R21" s="11"/>
      <c r="S21" s="14"/>
      <c r="T21" s="12"/>
      <c r="U21" s="12"/>
      <c r="V21" s="12"/>
      <c r="W21" s="12"/>
      <c r="X21" s="11">
        <v>3002</v>
      </c>
      <c r="Y21" s="13">
        <v>97476.33</v>
      </c>
      <c r="Z21" s="11">
        <v>89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/>
      <c r="AO21" s="13"/>
      <c r="AP21" s="11"/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>
        <v>1</v>
      </c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>
        <v>7</v>
      </c>
      <c r="CK21" s="13">
        <v>475.28</v>
      </c>
      <c r="CL21" s="11">
        <v>21</v>
      </c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>
        <v>552</v>
      </c>
      <c r="EO21" s="13">
        <v>29788.68</v>
      </c>
      <c r="EP21" s="11">
        <v>61</v>
      </c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  <c r="LH21" s="11"/>
      <c r="LI21" s="13"/>
      <c r="LJ21" s="11"/>
      <c r="LK21" s="11"/>
      <c r="LL21" s="13"/>
      <c r="LM21" s="11"/>
      <c r="LN21" s="12"/>
      <c r="LO21" s="12"/>
      <c r="LP21" s="11"/>
      <c r="LQ21" s="13"/>
      <c r="LR21" s="11"/>
      <c r="LS21" s="11"/>
      <c r="LT21" s="13"/>
      <c r="LU21" s="11"/>
      <c r="LV21" s="12"/>
      <c r="LW21" s="12"/>
    </row>
    <row r="22">
      <c r="A22" s="10" t="s">
        <v>72</v>
      </c>
      <c r="B22" s="10" t="s">
        <v>89</v>
      </c>
      <c r="C22" s="10" t="s">
        <v>75</v>
      </c>
      <c r="D22" s="11">
        <v>60333</v>
      </c>
      <c r="E22" s="11">
        <f>=ROUNDDOWN(74.2925748060584,0)</f>
      </c>
      <c r="F22" s="11">
        <v>4725</v>
      </c>
      <c r="G22" s="12">
        <v>0.9674</v>
      </c>
      <c r="H22" s="11"/>
      <c r="I22" s="11">
        <f>=ROUNDDOWN({0},0)</f>
      </c>
      <c r="J22" s="11"/>
      <c r="K22" s="12"/>
      <c r="L22" s="11">
        <v>14491</v>
      </c>
      <c r="M22" s="13">
        <v>352954.61</v>
      </c>
      <c r="N22" s="11">
        <v>78</v>
      </c>
      <c r="O22" s="14">
        <v>4525.06</v>
      </c>
      <c r="P22" s="11"/>
      <c r="Q22" s="13"/>
      <c r="R22" s="11"/>
      <c r="S22" s="14"/>
      <c r="T22" s="12"/>
      <c r="U22" s="12"/>
      <c r="V22" s="12"/>
      <c r="W22" s="12"/>
      <c r="X22" s="11">
        <v>14345</v>
      </c>
      <c r="Y22" s="13">
        <v>346148.68</v>
      </c>
      <c r="Z22" s="11">
        <v>78</v>
      </c>
      <c r="AA22" s="11"/>
      <c r="AB22" s="13"/>
      <c r="AC22" s="11"/>
      <c r="AD22" s="12"/>
      <c r="AE22" s="12"/>
      <c r="AF22" s="11"/>
      <c r="AG22" s="13"/>
      <c r="AH22" s="11"/>
      <c r="AI22" s="11"/>
      <c r="AJ22" s="13"/>
      <c r="AK22" s="11"/>
      <c r="AL22" s="12"/>
      <c r="AM22" s="12"/>
      <c r="AN22" s="11"/>
      <c r="AO22" s="13"/>
      <c r="AP22" s="11"/>
      <c r="AQ22" s="11"/>
      <c r="AR22" s="13"/>
      <c r="AS22" s="11"/>
      <c r="AT22" s="12"/>
      <c r="AU22" s="12"/>
      <c r="AV22" s="11"/>
      <c r="AW22" s="13"/>
      <c r="AX22" s="11"/>
      <c r="AY22" s="11"/>
      <c r="AZ22" s="13"/>
      <c r="BA22" s="11"/>
      <c r="BB22" s="12"/>
      <c r="BC22" s="12"/>
      <c r="BD22" s="11"/>
      <c r="BE22" s="13"/>
      <c r="BF22" s="11"/>
      <c r="BG22" s="11"/>
      <c r="BH22" s="13"/>
      <c r="BI22" s="11"/>
      <c r="BJ22" s="12"/>
      <c r="BK22" s="12"/>
      <c r="BL22" s="11">
        <v>8</v>
      </c>
      <c r="BM22" s="13">
        <v>226.85</v>
      </c>
      <c r="BN22" s="11"/>
      <c r="BO22" s="11"/>
      <c r="BP22" s="13"/>
      <c r="BQ22" s="11"/>
      <c r="BR22" s="12"/>
      <c r="BS22" s="12"/>
      <c r="BT22" s="11"/>
      <c r="BU22" s="13"/>
      <c r="BV22" s="11"/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>
        <v>1</v>
      </c>
      <c r="CK22" s="13">
        <v>65.99</v>
      </c>
      <c r="CL22" s="11">
        <v>15</v>
      </c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>
        <v>137</v>
      </c>
      <c r="EO22" s="13">
        <v>6513.09</v>
      </c>
      <c r="EP22" s="11">
        <v>34</v>
      </c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  <c r="LH22" s="11"/>
      <c r="LI22" s="13"/>
      <c r="LJ22" s="11"/>
      <c r="LK22" s="11"/>
      <c r="LL22" s="13"/>
      <c r="LM22" s="11"/>
      <c r="LN22" s="12"/>
      <c r="LO22" s="12"/>
      <c r="LP22" s="11"/>
      <c r="LQ22" s="13"/>
      <c r="LR22" s="11"/>
      <c r="LS22" s="11"/>
      <c r="LT22" s="13"/>
      <c r="LU22" s="11"/>
      <c r="LV22" s="12"/>
      <c r="LW22" s="12"/>
    </row>
    <row r="23">
      <c r="A23" s="10" t="s">
        <v>72</v>
      </c>
      <c r="B23" s="10" t="s">
        <v>89</v>
      </c>
      <c r="C23" s="10" t="s">
        <v>83</v>
      </c>
      <c r="D23" s="11">
        <v>1399</v>
      </c>
      <c r="E23" s="11">
        <f>=ROUNDDOWN(69.95,0)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132</v>
      </c>
      <c r="M23" s="13">
        <v>3285.5</v>
      </c>
      <c r="N23" s="11">
        <v>11</v>
      </c>
      <c r="O23" s="14">
        <v>298.68</v>
      </c>
      <c r="P23" s="11"/>
      <c r="Q23" s="13"/>
      <c r="R23" s="11"/>
      <c r="S23" s="14"/>
      <c r="T23" s="12"/>
      <c r="U23" s="12"/>
      <c r="V23" s="12"/>
      <c r="W23" s="12"/>
      <c r="X23" s="11">
        <v>132</v>
      </c>
      <c r="Y23" s="13">
        <v>3285.5</v>
      </c>
      <c r="Z23" s="11">
        <v>11</v>
      </c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/>
      <c r="AR23" s="13"/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  <c r="LH23" s="11"/>
      <c r="LI23" s="13"/>
      <c r="LJ23" s="11"/>
      <c r="LK23" s="11"/>
      <c r="LL23" s="13"/>
      <c r="LM23" s="11"/>
      <c r="LN23" s="12"/>
      <c r="LO23" s="12"/>
      <c r="LP23" s="11"/>
      <c r="LQ23" s="13"/>
      <c r="LR23" s="11"/>
      <c r="LS23" s="11"/>
      <c r="LT23" s="13"/>
      <c r="LU23" s="11"/>
      <c r="LV23" s="12"/>
      <c r="LW23" s="12"/>
    </row>
    <row r="24">
      <c r="A24" s="10" t="s">
        <v>72</v>
      </c>
      <c r="B24" s="10" t="s">
        <v>90</v>
      </c>
      <c r="C24" s="10" t="s">
        <v>77</v>
      </c>
      <c r="D24" s="11">
        <v>119054</v>
      </c>
      <c r="E24" s="11">
        <f>=ROUNDDOWN({0},0)</f>
      </c>
      <c r="F24" s="11">
        <v>5025</v>
      </c>
      <c r="G24" s="12"/>
      <c r="H24" s="11"/>
      <c r="I24" s="11">
        <f>=ROUNDDOWN({0},0)</f>
      </c>
      <c r="J24" s="11"/>
      <c r="K24" s="12"/>
      <c r="L24" s="11">
        <v>18184</v>
      </c>
      <c r="M24" s="13">
        <v>483980.4</v>
      </c>
      <c r="N24" s="11">
        <v>178</v>
      </c>
      <c r="O24" s="14">
        <v>2718.99</v>
      </c>
      <c r="P24" s="11"/>
      <c r="Q24" s="13"/>
      <c r="R24" s="11"/>
      <c r="S24" s="14"/>
      <c r="T24" s="12"/>
      <c r="U24" s="12"/>
      <c r="V24" s="12"/>
      <c r="W24" s="12"/>
      <c r="X24" s="11">
        <v>17479</v>
      </c>
      <c r="Y24" s="13">
        <v>446910.51</v>
      </c>
      <c r="Z24" s="11">
        <v>178</v>
      </c>
      <c r="AA24" s="11"/>
      <c r="AB24" s="13"/>
      <c r="AC24" s="11"/>
      <c r="AD24" s="12"/>
      <c r="AE24" s="12"/>
      <c r="AF24" s="11"/>
      <c r="AG24" s="13"/>
      <c r="AH24" s="11"/>
      <c r="AI24" s="11"/>
      <c r="AJ24" s="13"/>
      <c r="AK24" s="11"/>
      <c r="AL24" s="12"/>
      <c r="AM24" s="12"/>
      <c r="AN24" s="11"/>
      <c r="AO24" s="13"/>
      <c r="AP24" s="11"/>
      <c r="AQ24" s="11"/>
      <c r="AR24" s="13"/>
      <c r="AS24" s="11"/>
      <c r="AT24" s="12"/>
      <c r="AU24" s="12"/>
      <c r="AV24" s="11"/>
      <c r="AW24" s="13"/>
      <c r="AX24" s="11"/>
      <c r="AY24" s="11"/>
      <c r="AZ24" s="13"/>
      <c r="BA24" s="11"/>
      <c r="BB24" s="12"/>
      <c r="BC24" s="12"/>
      <c r="BD24" s="11"/>
      <c r="BE24" s="13"/>
      <c r="BF24" s="11"/>
      <c r="BG24" s="11"/>
      <c r="BH24" s="13"/>
      <c r="BI24" s="11"/>
      <c r="BJ24" s="12"/>
      <c r="BK24" s="12"/>
      <c r="BL24" s="11">
        <v>8</v>
      </c>
      <c r="BM24" s="13">
        <v>226.85</v>
      </c>
      <c r="BN24" s="11">
        <v>1</v>
      </c>
      <c r="BO24" s="11"/>
      <c r="BP24" s="13"/>
      <c r="BQ24" s="11"/>
      <c r="BR24" s="12"/>
      <c r="BS24" s="12"/>
      <c r="BT24" s="11"/>
      <c r="BU24" s="13"/>
      <c r="BV24" s="11"/>
      <c r="BW24" s="11"/>
      <c r="BX24" s="13"/>
      <c r="BY24" s="11"/>
      <c r="BZ24" s="12"/>
      <c r="CA24" s="12"/>
      <c r="CB24" s="11"/>
      <c r="CC24" s="13"/>
      <c r="CD24" s="11"/>
      <c r="CE24" s="11"/>
      <c r="CF24" s="13"/>
      <c r="CG24" s="11"/>
      <c r="CH24" s="12"/>
      <c r="CI24" s="12"/>
      <c r="CJ24" s="11">
        <v>8</v>
      </c>
      <c r="CK24" s="13">
        <v>541.27</v>
      </c>
      <c r="CL24" s="11">
        <v>36</v>
      </c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>
        <v>689</v>
      </c>
      <c r="EO24" s="13">
        <v>36301.77</v>
      </c>
      <c r="EP24" s="11">
        <v>95</v>
      </c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  <c r="LH24" s="11"/>
      <c r="LI24" s="13"/>
      <c r="LJ24" s="11"/>
      <c r="LK24" s="11"/>
      <c r="LL24" s="13"/>
      <c r="LM24" s="11"/>
      <c r="LN24" s="12"/>
      <c r="LO24" s="12"/>
      <c r="LP24" s="11"/>
      <c r="LQ24" s="13"/>
      <c r="LR24" s="11"/>
      <c r="LS24" s="11"/>
      <c r="LT24" s="13"/>
      <c r="LU24" s="11"/>
      <c r="LV24" s="12"/>
      <c r="LW24" s="12"/>
    </row>
    <row r="25">
      <c r="A25" s="10" t="s">
        <v>72</v>
      </c>
      <c r="B25" s="10" t="s">
        <v>91</v>
      </c>
      <c r="C25" s="10" t="s">
        <v>92</v>
      </c>
      <c r="D25" s="11">
        <v>26</v>
      </c>
      <c r="E25" s="11">
        <f>=ROUNDDOWN(6.5,0)</f>
      </c>
      <c r="F25" s="11"/>
      <c r="G25" s="12"/>
      <c r="H25" s="11"/>
      <c r="I25" s="11">
        <f>=ROUNDDOWN({0},0)</f>
      </c>
      <c r="J25" s="11"/>
      <c r="K25" s="12"/>
      <c r="L25" s="11">
        <v>25</v>
      </c>
      <c r="M25" s="13">
        <v>489.23</v>
      </c>
      <c r="N25" s="11">
        <v>2</v>
      </c>
      <c r="O25" s="14">
        <v>244.62</v>
      </c>
      <c r="P25" s="11"/>
      <c r="Q25" s="13"/>
      <c r="R25" s="11"/>
      <c r="S25" s="14"/>
      <c r="T25" s="12"/>
      <c r="U25" s="12"/>
      <c r="V25" s="12"/>
      <c r="W25" s="12"/>
      <c r="X25" s="11"/>
      <c r="Y25" s="13"/>
      <c r="Z25" s="11"/>
      <c r="AA25" s="11"/>
      <c r="AB25" s="13"/>
      <c r="AC25" s="11"/>
      <c r="AD25" s="12"/>
      <c r="AE25" s="12"/>
      <c r="AF25" s="11">
        <v>2</v>
      </c>
      <c r="AG25" s="13">
        <v>16.26</v>
      </c>
      <c r="AH25" s="11">
        <v>2</v>
      </c>
      <c r="AI25" s="11"/>
      <c r="AJ25" s="13"/>
      <c r="AK25" s="11"/>
      <c r="AL25" s="12"/>
      <c r="AM25" s="12"/>
      <c r="AN25" s="11"/>
      <c r="AO25" s="13"/>
      <c r="AP25" s="11"/>
      <c r="AQ25" s="11"/>
      <c r="AR25" s="13"/>
      <c r="AS25" s="11"/>
      <c r="AT25" s="12"/>
      <c r="AU25" s="12"/>
      <c r="AV25" s="11"/>
      <c r="AW25" s="13"/>
      <c r="AX25" s="11"/>
      <c r="AY25" s="11"/>
      <c r="AZ25" s="13"/>
      <c r="BA25" s="11"/>
      <c r="BB25" s="12"/>
      <c r="BC25" s="12"/>
      <c r="BD25" s="11">
        <v>2</v>
      </c>
      <c r="BE25" s="13">
        <v>18.2</v>
      </c>
      <c r="BF25" s="11">
        <v>2</v>
      </c>
      <c r="BG25" s="11"/>
      <c r="BH25" s="13"/>
      <c r="BI25" s="11"/>
      <c r="BJ25" s="12"/>
      <c r="BK25" s="12"/>
      <c r="BL25" s="11"/>
      <c r="BM25" s="13"/>
      <c r="BN25" s="11">
        <v>2</v>
      </c>
      <c r="BO25" s="11"/>
      <c r="BP25" s="13"/>
      <c r="BQ25" s="11"/>
      <c r="BR25" s="12"/>
      <c r="BS25" s="12"/>
      <c r="BT25" s="11">
        <v>3</v>
      </c>
      <c r="BU25" s="13">
        <v>48.75</v>
      </c>
      <c r="BV25" s="11">
        <v>2</v>
      </c>
      <c r="BW25" s="11"/>
      <c r="BX25" s="13"/>
      <c r="BY25" s="11"/>
      <c r="BZ25" s="12"/>
      <c r="CA25" s="12"/>
      <c r="CB25" s="11">
        <v>15</v>
      </c>
      <c r="CC25" s="13">
        <v>256.05</v>
      </c>
      <c r="CD25" s="11">
        <v>2</v>
      </c>
      <c r="CE25" s="11"/>
      <c r="CF25" s="13"/>
      <c r="CG25" s="11"/>
      <c r="CH25" s="12"/>
      <c r="CI25" s="12"/>
      <c r="CJ25" s="11">
        <v>3</v>
      </c>
      <c r="CK25" s="13">
        <v>149.97</v>
      </c>
      <c r="CL25" s="11">
        <v>2</v>
      </c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2</v>
      </c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>
        <v>2</v>
      </c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>
        <v>2</v>
      </c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>
        <v>2</v>
      </c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  <c r="LH25" s="11"/>
      <c r="LI25" s="13"/>
      <c r="LJ25" s="11"/>
      <c r="LK25" s="11"/>
      <c r="LL25" s="13"/>
      <c r="LM25" s="11"/>
      <c r="LN25" s="12"/>
      <c r="LO25" s="12"/>
      <c r="LP25" s="11"/>
      <c r="LQ25" s="13"/>
      <c r="LR25" s="11"/>
      <c r="LS25" s="11"/>
      <c r="LT25" s="13"/>
      <c r="LU25" s="11"/>
      <c r="LV25" s="12"/>
      <c r="LW25" s="12"/>
    </row>
    <row r="26">
      <c r="A26" s="10" t="s">
        <v>72</v>
      </c>
      <c r="B26" s="10" t="s">
        <v>91</v>
      </c>
      <c r="C26" s="10" t="s">
        <v>75</v>
      </c>
      <c r="D26" s="11">
        <v>88</v>
      </c>
      <c r="E26" s="11">
        <f>=ROUNDDOWN(17.9591836734694,0)</f>
      </c>
      <c r="F26" s="11"/>
      <c r="G26" s="12"/>
      <c r="H26" s="11"/>
      <c r="I26" s="11">
        <f>=ROUNDDOWN({0},0)</f>
      </c>
      <c r="J26" s="11"/>
      <c r="K26" s="12"/>
      <c r="L26" s="11">
        <v>51</v>
      </c>
      <c r="M26" s="13">
        <v>3304.6</v>
      </c>
      <c r="N26" s="11">
        <v>3</v>
      </c>
      <c r="O26" s="14">
        <v>1101.53</v>
      </c>
      <c r="P26" s="11"/>
      <c r="Q26" s="13"/>
      <c r="R26" s="11"/>
      <c r="S26" s="14"/>
      <c r="T26" s="12"/>
      <c r="U26" s="12"/>
      <c r="V26" s="12"/>
      <c r="W26" s="12"/>
      <c r="X26" s="11">
        <v>4</v>
      </c>
      <c r="Y26" s="13">
        <v>166.39</v>
      </c>
      <c r="Z26" s="11">
        <v>3</v>
      </c>
      <c r="AA26" s="11"/>
      <c r="AB26" s="13"/>
      <c r="AC26" s="11"/>
      <c r="AD26" s="12"/>
      <c r="AE26" s="12"/>
      <c r="AF26" s="11">
        <v>15</v>
      </c>
      <c r="AG26" s="13">
        <v>621.18</v>
      </c>
      <c r="AH26" s="11">
        <v>3</v>
      </c>
      <c r="AI26" s="11"/>
      <c r="AJ26" s="13"/>
      <c r="AK26" s="11"/>
      <c r="AL26" s="12"/>
      <c r="AM26" s="12"/>
      <c r="AN26" s="11"/>
      <c r="AO26" s="13"/>
      <c r="AP26" s="11"/>
      <c r="AQ26" s="11"/>
      <c r="AR26" s="13"/>
      <c r="AS26" s="11"/>
      <c r="AT26" s="12"/>
      <c r="AU26" s="12"/>
      <c r="AV26" s="11"/>
      <c r="AW26" s="13"/>
      <c r="AX26" s="11"/>
      <c r="AY26" s="11"/>
      <c r="AZ26" s="13"/>
      <c r="BA26" s="11"/>
      <c r="BB26" s="12"/>
      <c r="BC26" s="12"/>
      <c r="BD26" s="11">
        <v>10</v>
      </c>
      <c r="BE26" s="13">
        <v>480.48</v>
      </c>
      <c r="BF26" s="11">
        <v>3</v>
      </c>
      <c r="BG26" s="11"/>
      <c r="BH26" s="13"/>
      <c r="BI26" s="11"/>
      <c r="BJ26" s="12"/>
      <c r="BK26" s="12"/>
      <c r="BL26" s="11"/>
      <c r="BM26" s="13"/>
      <c r="BN26" s="11">
        <v>3</v>
      </c>
      <c r="BO26" s="11"/>
      <c r="BP26" s="13"/>
      <c r="BQ26" s="11"/>
      <c r="BR26" s="12"/>
      <c r="BS26" s="12"/>
      <c r="BT26" s="11">
        <v>6</v>
      </c>
      <c r="BU26" s="13">
        <v>507.62</v>
      </c>
      <c r="BV26" s="11">
        <v>3</v>
      </c>
      <c r="BW26" s="11"/>
      <c r="BX26" s="13"/>
      <c r="BY26" s="11"/>
      <c r="BZ26" s="12"/>
      <c r="CA26" s="12"/>
      <c r="CB26" s="11">
        <v>14</v>
      </c>
      <c r="CC26" s="13">
        <v>1219.91</v>
      </c>
      <c r="CD26" s="11">
        <v>3</v>
      </c>
      <c r="CE26" s="11"/>
      <c r="CF26" s="13"/>
      <c r="CG26" s="11"/>
      <c r="CH26" s="12"/>
      <c r="CI26" s="12"/>
      <c r="CJ26" s="11"/>
      <c r="CK26" s="13"/>
      <c r="CL26" s="11">
        <v>3</v>
      </c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>
        <v>3</v>
      </c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>
        <v>1</v>
      </c>
      <c r="GS26" s="13">
        <v>96.53</v>
      </c>
      <c r="GT26" s="11">
        <v>3</v>
      </c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>
        <v>1</v>
      </c>
      <c r="IO26" s="13">
        <v>212.49</v>
      </c>
      <c r="IP26" s="11">
        <v>3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  <c r="LH26" s="11"/>
      <c r="LI26" s="13"/>
      <c r="LJ26" s="11"/>
      <c r="LK26" s="11"/>
      <c r="LL26" s="13"/>
      <c r="LM26" s="11"/>
      <c r="LN26" s="12"/>
      <c r="LO26" s="12"/>
      <c r="LP26" s="11"/>
      <c r="LQ26" s="13"/>
      <c r="LR26" s="11"/>
      <c r="LS26" s="11"/>
      <c r="LT26" s="13"/>
      <c r="LU26" s="11"/>
      <c r="LV26" s="12"/>
      <c r="LW26" s="12"/>
    </row>
    <row r="27">
      <c r="A27" s="10" t="s">
        <v>72</v>
      </c>
      <c r="B27" s="10" t="s">
        <v>91</v>
      </c>
      <c r="C27" s="10" t="s">
        <v>83</v>
      </c>
      <c r="D27" s="11">
        <v>416</v>
      </c>
      <c r="E27" s="11">
        <f>=ROUNDDOWN(32.2480620155039,0)</f>
      </c>
      <c r="F27" s="11"/>
      <c r="G27" s="12"/>
      <c r="H27" s="11"/>
      <c r="I27" s="11">
        <f>=ROUNDDOWN({0},0)</f>
      </c>
      <c r="J27" s="11"/>
      <c r="K27" s="12"/>
      <c r="L27" s="11">
        <v>156</v>
      </c>
      <c r="M27" s="13">
        <v>8328.25</v>
      </c>
      <c r="N27" s="11">
        <v>6</v>
      </c>
      <c r="O27" s="14">
        <v>1388.04</v>
      </c>
      <c r="P27" s="11"/>
      <c r="Q27" s="13"/>
      <c r="R27" s="11"/>
      <c r="S27" s="14"/>
      <c r="T27" s="12"/>
      <c r="U27" s="12"/>
      <c r="V27" s="12"/>
      <c r="W27" s="12"/>
      <c r="X27" s="11"/>
      <c r="Y27" s="13"/>
      <c r="Z27" s="11"/>
      <c r="AA27" s="11"/>
      <c r="AB27" s="13"/>
      <c r="AC27" s="11"/>
      <c r="AD27" s="12"/>
      <c r="AE27" s="12"/>
      <c r="AF27" s="11">
        <v>18</v>
      </c>
      <c r="AG27" s="13">
        <v>703.41</v>
      </c>
      <c r="AH27" s="11">
        <v>6</v>
      </c>
      <c r="AI27" s="11"/>
      <c r="AJ27" s="13"/>
      <c r="AK27" s="11"/>
      <c r="AL27" s="12"/>
      <c r="AM27" s="12"/>
      <c r="AN27" s="11"/>
      <c r="AO27" s="13"/>
      <c r="AP27" s="11"/>
      <c r="AQ27" s="11"/>
      <c r="AR27" s="13"/>
      <c r="AS27" s="11"/>
      <c r="AT27" s="12"/>
      <c r="AU27" s="12"/>
      <c r="AV27" s="11"/>
      <c r="AW27" s="13"/>
      <c r="AX27" s="11"/>
      <c r="AY27" s="11"/>
      <c r="AZ27" s="13"/>
      <c r="BA27" s="11"/>
      <c r="BB27" s="12"/>
      <c r="BC27" s="12"/>
      <c r="BD27" s="11">
        <v>103</v>
      </c>
      <c r="BE27" s="13">
        <v>4704.7</v>
      </c>
      <c r="BF27" s="11">
        <v>6</v>
      </c>
      <c r="BG27" s="11"/>
      <c r="BH27" s="13"/>
      <c r="BI27" s="11"/>
      <c r="BJ27" s="12"/>
      <c r="BK27" s="12"/>
      <c r="BL27" s="11">
        <v>7</v>
      </c>
      <c r="BM27" s="13">
        <v>637.07</v>
      </c>
      <c r="BN27" s="11">
        <v>6</v>
      </c>
      <c r="BO27" s="11"/>
      <c r="BP27" s="13"/>
      <c r="BQ27" s="11"/>
      <c r="BR27" s="12"/>
      <c r="BS27" s="12"/>
      <c r="BT27" s="11">
        <v>20</v>
      </c>
      <c r="BU27" s="13">
        <v>1531.28</v>
      </c>
      <c r="BV27" s="11">
        <v>6</v>
      </c>
      <c r="BW27" s="11"/>
      <c r="BX27" s="13"/>
      <c r="BY27" s="11"/>
      <c r="BZ27" s="12"/>
      <c r="CA27" s="12"/>
      <c r="CB27" s="11">
        <v>7</v>
      </c>
      <c r="CC27" s="13">
        <v>581.8</v>
      </c>
      <c r="CD27" s="11">
        <v>6</v>
      </c>
      <c r="CE27" s="11"/>
      <c r="CF27" s="13"/>
      <c r="CG27" s="11"/>
      <c r="CH27" s="12"/>
      <c r="CI27" s="12"/>
      <c r="CJ27" s="11"/>
      <c r="CK27" s="13"/>
      <c r="CL27" s="11">
        <v>6</v>
      </c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>
        <v>6</v>
      </c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6</v>
      </c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>
        <v>1</v>
      </c>
      <c r="IO27" s="13">
        <v>169.99</v>
      </c>
      <c r="IP27" s="11">
        <v>6</v>
      </c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  <c r="LH27" s="11"/>
      <c r="LI27" s="13"/>
      <c r="LJ27" s="11"/>
      <c r="LK27" s="11"/>
      <c r="LL27" s="13"/>
      <c r="LM27" s="11"/>
      <c r="LN27" s="12"/>
      <c r="LO27" s="12"/>
      <c r="LP27" s="11"/>
      <c r="LQ27" s="13"/>
      <c r="LR27" s="11"/>
      <c r="LS27" s="11"/>
      <c r="LT27" s="13"/>
      <c r="LU27" s="11"/>
      <c r="LV27" s="12"/>
      <c r="LW27" s="12"/>
    </row>
    <row r="28">
      <c r="A28" s="10" t="s">
        <v>72</v>
      </c>
      <c r="B28" s="10" t="s">
        <v>91</v>
      </c>
      <c r="C28" s="10" t="s">
        <v>93</v>
      </c>
      <c r="D28" s="11"/>
      <c r="E28" s="11">
        <f>=ROUNDDOWN({0},0)</f>
      </c>
      <c r="F28" s="11"/>
      <c r="G28" s="12"/>
      <c r="H28" s="11"/>
      <c r="I28" s="11">
        <f>=ROUNDDOWN({0},0)</f>
      </c>
      <c r="J28" s="11"/>
      <c r="K28" s="12"/>
      <c r="L28" s="11">
        <v>60</v>
      </c>
      <c r="M28" s="13">
        <v>1143.5</v>
      </c>
      <c r="N28" s="11">
        <v>1</v>
      </c>
      <c r="O28" s="14">
        <v>1143.5</v>
      </c>
      <c r="P28" s="11"/>
      <c r="Q28" s="13"/>
      <c r="R28" s="11"/>
      <c r="S28" s="14"/>
      <c r="T28" s="12"/>
      <c r="U28" s="12"/>
      <c r="V28" s="12"/>
      <c r="W28" s="12"/>
      <c r="X28" s="11"/>
      <c r="Y28" s="13"/>
      <c r="Z28" s="11"/>
      <c r="AA28" s="11"/>
      <c r="AB28" s="13"/>
      <c r="AC28" s="11"/>
      <c r="AD28" s="12"/>
      <c r="AE28" s="12"/>
      <c r="AF28" s="11">
        <v>14</v>
      </c>
      <c r="AG28" s="13">
        <v>217.23</v>
      </c>
      <c r="AH28" s="11">
        <v>1</v>
      </c>
      <c r="AI28" s="11"/>
      <c r="AJ28" s="13"/>
      <c r="AK28" s="11"/>
      <c r="AL28" s="12"/>
      <c r="AM28" s="12"/>
      <c r="AN28" s="11"/>
      <c r="AO28" s="13"/>
      <c r="AP28" s="11"/>
      <c r="AQ28" s="11"/>
      <c r="AR28" s="13"/>
      <c r="AS28" s="11"/>
      <c r="AT28" s="12"/>
      <c r="AU28" s="12"/>
      <c r="AV28" s="11"/>
      <c r="AW28" s="13"/>
      <c r="AX28" s="11"/>
      <c r="AY28" s="11"/>
      <c r="AZ28" s="13"/>
      <c r="BA28" s="11"/>
      <c r="BB28" s="12"/>
      <c r="BC28" s="12"/>
      <c r="BD28" s="11">
        <v>13</v>
      </c>
      <c r="BE28" s="13">
        <v>184.6</v>
      </c>
      <c r="BF28" s="11">
        <v>1</v>
      </c>
      <c r="BG28" s="11"/>
      <c r="BH28" s="13"/>
      <c r="BI28" s="11"/>
      <c r="BJ28" s="12"/>
      <c r="BK28" s="12"/>
      <c r="BL28" s="11">
        <v>12</v>
      </c>
      <c r="BM28" s="13">
        <v>252.72</v>
      </c>
      <c r="BN28" s="11">
        <v>1</v>
      </c>
      <c r="BO28" s="11"/>
      <c r="BP28" s="13"/>
      <c r="BQ28" s="11"/>
      <c r="BR28" s="12"/>
      <c r="BS28" s="12"/>
      <c r="BT28" s="11">
        <v>1</v>
      </c>
      <c r="BU28" s="13">
        <v>22.03</v>
      </c>
      <c r="BV28" s="11">
        <v>1</v>
      </c>
      <c r="BW28" s="11"/>
      <c r="BX28" s="13"/>
      <c r="BY28" s="11"/>
      <c r="BZ28" s="12"/>
      <c r="CA28" s="12"/>
      <c r="CB28" s="11">
        <v>19</v>
      </c>
      <c r="CC28" s="13">
        <v>388.93</v>
      </c>
      <c r="CD28" s="11">
        <v>1</v>
      </c>
      <c r="CE28" s="11"/>
      <c r="CF28" s="13"/>
      <c r="CG28" s="11"/>
      <c r="CH28" s="12"/>
      <c r="CI28" s="12"/>
      <c r="CJ28" s="11">
        <v>1</v>
      </c>
      <c r="CK28" s="13">
        <v>77.99</v>
      </c>
      <c r="CL28" s="11">
        <v>1</v>
      </c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>
        <v>1</v>
      </c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>
        <v>1</v>
      </c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>
        <v>1</v>
      </c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>
        <v>1</v>
      </c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  <c r="LH28" s="11"/>
      <c r="LI28" s="13"/>
      <c r="LJ28" s="11"/>
      <c r="LK28" s="11"/>
      <c r="LL28" s="13"/>
      <c r="LM28" s="11"/>
      <c r="LN28" s="12"/>
      <c r="LO28" s="12"/>
      <c r="LP28" s="11"/>
      <c r="LQ28" s="13"/>
      <c r="LR28" s="11"/>
      <c r="LS28" s="11"/>
      <c r="LT28" s="13"/>
      <c r="LU28" s="11"/>
      <c r="LV28" s="12"/>
      <c r="LW28" s="12"/>
    </row>
    <row r="29">
      <c r="A29" s="10" t="s">
        <v>72</v>
      </c>
      <c r="B29" s="10" t="s">
        <v>94</v>
      </c>
      <c r="C29" s="10" t="s">
        <v>77</v>
      </c>
      <c r="D29" s="11">
        <v>530</v>
      </c>
      <c r="E29" s="11">
        <f>=ROUNDDOWN({0},0)</f>
      </c>
      <c r="F29" s="11"/>
      <c r="G29" s="12"/>
      <c r="H29" s="11"/>
      <c r="I29" s="11">
        <f>=ROUNDDOWN({0},0)</f>
      </c>
      <c r="J29" s="11"/>
      <c r="K29" s="12"/>
      <c r="L29" s="11">
        <v>292</v>
      </c>
      <c r="M29" s="13">
        <v>13265.58</v>
      </c>
      <c r="N29" s="11">
        <v>12</v>
      </c>
      <c r="O29" s="14">
        <v>1105.46</v>
      </c>
      <c r="P29" s="11"/>
      <c r="Q29" s="13"/>
      <c r="R29" s="11"/>
      <c r="S29" s="14"/>
      <c r="T29" s="12"/>
      <c r="U29" s="12"/>
      <c r="V29" s="12"/>
      <c r="W29" s="12"/>
      <c r="X29" s="11">
        <v>4</v>
      </c>
      <c r="Y29" s="13">
        <v>166.39</v>
      </c>
      <c r="Z29" s="11">
        <v>3</v>
      </c>
      <c r="AA29" s="11"/>
      <c r="AB29" s="13"/>
      <c r="AC29" s="11"/>
      <c r="AD29" s="12"/>
      <c r="AE29" s="12"/>
      <c r="AF29" s="11">
        <v>49</v>
      </c>
      <c r="AG29" s="13">
        <v>1558.08</v>
      </c>
      <c r="AH29" s="11">
        <v>12</v>
      </c>
      <c r="AI29" s="11"/>
      <c r="AJ29" s="13"/>
      <c r="AK29" s="11"/>
      <c r="AL29" s="12"/>
      <c r="AM29" s="12"/>
      <c r="AN29" s="11"/>
      <c r="AO29" s="13"/>
      <c r="AP29" s="11"/>
      <c r="AQ29" s="11"/>
      <c r="AR29" s="13"/>
      <c r="AS29" s="11"/>
      <c r="AT29" s="12"/>
      <c r="AU29" s="12"/>
      <c r="AV29" s="11"/>
      <c r="AW29" s="13"/>
      <c r="AX29" s="11"/>
      <c r="AY29" s="11"/>
      <c r="AZ29" s="13"/>
      <c r="BA29" s="11"/>
      <c r="BB29" s="12"/>
      <c r="BC29" s="12"/>
      <c r="BD29" s="11">
        <v>128</v>
      </c>
      <c r="BE29" s="13">
        <v>5387.98</v>
      </c>
      <c r="BF29" s="11">
        <v>12</v>
      </c>
      <c r="BG29" s="11"/>
      <c r="BH29" s="13"/>
      <c r="BI29" s="11"/>
      <c r="BJ29" s="12"/>
      <c r="BK29" s="12"/>
      <c r="BL29" s="11">
        <v>19</v>
      </c>
      <c r="BM29" s="13">
        <v>889.79</v>
      </c>
      <c r="BN29" s="11">
        <v>12</v>
      </c>
      <c r="BO29" s="11"/>
      <c r="BP29" s="13"/>
      <c r="BQ29" s="11"/>
      <c r="BR29" s="12"/>
      <c r="BS29" s="12"/>
      <c r="BT29" s="11">
        <v>30</v>
      </c>
      <c r="BU29" s="13">
        <v>2109.68</v>
      </c>
      <c r="BV29" s="11">
        <v>12</v>
      </c>
      <c r="BW29" s="11"/>
      <c r="BX29" s="13"/>
      <c r="BY29" s="11"/>
      <c r="BZ29" s="12"/>
      <c r="CA29" s="12"/>
      <c r="CB29" s="11">
        <v>55</v>
      </c>
      <c r="CC29" s="13">
        <v>2446.69</v>
      </c>
      <c r="CD29" s="11">
        <v>12</v>
      </c>
      <c r="CE29" s="11"/>
      <c r="CF29" s="13"/>
      <c r="CG29" s="11"/>
      <c r="CH29" s="12"/>
      <c r="CI29" s="12"/>
      <c r="CJ29" s="11">
        <v>4</v>
      </c>
      <c r="CK29" s="13">
        <v>227.96</v>
      </c>
      <c r="CL29" s="11">
        <v>12</v>
      </c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>
        <v>12</v>
      </c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>
        <v>1</v>
      </c>
      <c r="GS29" s="13">
        <v>96.53</v>
      </c>
      <c r="GT29" s="11">
        <v>12</v>
      </c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>
        <v>2</v>
      </c>
      <c r="IO29" s="13">
        <v>382.48</v>
      </c>
      <c r="IP29" s="11">
        <v>12</v>
      </c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>
        <v>3</v>
      </c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  <c r="LH29" s="11"/>
      <c r="LI29" s="13"/>
      <c r="LJ29" s="11"/>
      <c r="LK29" s="11"/>
      <c r="LL29" s="13"/>
      <c r="LM29" s="11"/>
      <c r="LN29" s="12"/>
      <c r="LO29" s="12"/>
      <c r="LP29" s="11"/>
      <c r="LQ29" s="13"/>
      <c r="LR29" s="11"/>
      <c r="LS29" s="11"/>
      <c r="LT29" s="13"/>
      <c r="LU29" s="11"/>
      <c r="LV29" s="12"/>
      <c r="LW29" s="12"/>
    </row>
    <row r="30">
      <c r="A30" s="10" t="s">
        <v>72</v>
      </c>
      <c r="B30" s="10" t="s">
        <v>95</v>
      </c>
      <c r="C30" s="10" t="s">
        <v>92</v>
      </c>
      <c r="D30" s="11">
        <v>699</v>
      </c>
      <c r="E30" s="11">
        <f>=ROUNDDOWN(42.6219512195122,0)</f>
      </c>
      <c r="F30" s="11"/>
      <c r="G30" s="12">
        <v>0.9348</v>
      </c>
      <c r="H30" s="11"/>
      <c r="I30" s="11">
        <f>=ROUNDDOWN({0},0)</f>
      </c>
      <c r="J30" s="11"/>
      <c r="K30" s="12"/>
      <c r="L30" s="11">
        <v>159</v>
      </c>
      <c r="M30" s="13">
        <v>5334.46</v>
      </c>
      <c r="N30" s="11">
        <v>6</v>
      </c>
      <c r="O30" s="14">
        <v>889.08</v>
      </c>
      <c r="P30" s="11"/>
      <c r="Q30" s="13"/>
      <c r="R30" s="11"/>
      <c r="S30" s="14"/>
      <c r="T30" s="12"/>
      <c r="U30" s="12"/>
      <c r="V30" s="12"/>
      <c r="W30" s="12"/>
      <c r="X30" s="11">
        <v>43</v>
      </c>
      <c r="Y30" s="13">
        <v>1224.21</v>
      </c>
      <c r="Z30" s="11">
        <v>6</v>
      </c>
      <c r="AA30" s="11"/>
      <c r="AB30" s="13"/>
      <c r="AC30" s="11"/>
      <c r="AD30" s="12"/>
      <c r="AE30" s="12"/>
      <c r="AF30" s="11">
        <v>26</v>
      </c>
      <c r="AG30" s="13">
        <v>499.98</v>
      </c>
      <c r="AH30" s="11">
        <v>6</v>
      </c>
      <c r="AI30" s="11"/>
      <c r="AJ30" s="13"/>
      <c r="AK30" s="11"/>
      <c r="AL30" s="12"/>
      <c r="AM30" s="12"/>
      <c r="AN30" s="11">
        <v>7</v>
      </c>
      <c r="AO30" s="13">
        <v>196.56</v>
      </c>
      <c r="AP30" s="11">
        <v>6</v>
      </c>
      <c r="AQ30" s="11"/>
      <c r="AR30" s="13"/>
      <c r="AS30" s="11"/>
      <c r="AT30" s="12"/>
      <c r="AU30" s="12"/>
      <c r="AV30" s="11"/>
      <c r="AW30" s="13"/>
      <c r="AX30" s="11"/>
      <c r="AY30" s="11"/>
      <c r="AZ30" s="13"/>
      <c r="BA30" s="11"/>
      <c r="BB30" s="12"/>
      <c r="BC30" s="12"/>
      <c r="BD30" s="11">
        <v>3</v>
      </c>
      <c r="BE30" s="13">
        <v>87.36</v>
      </c>
      <c r="BF30" s="11">
        <v>6</v>
      </c>
      <c r="BG30" s="11"/>
      <c r="BH30" s="13"/>
      <c r="BI30" s="11"/>
      <c r="BJ30" s="12"/>
      <c r="BK30" s="12"/>
      <c r="BL30" s="11">
        <v>3</v>
      </c>
      <c r="BM30" s="13">
        <v>84.24</v>
      </c>
      <c r="BN30" s="11">
        <v>6</v>
      </c>
      <c r="BO30" s="11"/>
      <c r="BP30" s="13"/>
      <c r="BQ30" s="11"/>
      <c r="BR30" s="12"/>
      <c r="BS30" s="12"/>
      <c r="BT30" s="11">
        <v>11</v>
      </c>
      <c r="BU30" s="13">
        <v>290.68</v>
      </c>
      <c r="BV30" s="11">
        <v>6</v>
      </c>
      <c r="BW30" s="11"/>
      <c r="BX30" s="13"/>
      <c r="BY30" s="11"/>
      <c r="BZ30" s="12"/>
      <c r="CA30" s="12"/>
      <c r="CB30" s="11">
        <v>35</v>
      </c>
      <c r="CC30" s="13">
        <v>955.5</v>
      </c>
      <c r="CD30" s="11">
        <v>6</v>
      </c>
      <c r="CE30" s="11"/>
      <c r="CF30" s="13"/>
      <c r="CG30" s="11"/>
      <c r="CH30" s="12"/>
      <c r="CI30" s="12"/>
      <c r="CJ30" s="11">
        <v>3</v>
      </c>
      <c r="CK30" s="13">
        <v>110.67</v>
      </c>
      <c r="CL30" s="11">
        <v>6</v>
      </c>
      <c r="CM30" s="11"/>
      <c r="CN30" s="13"/>
      <c r="CO30" s="11"/>
      <c r="CP30" s="12"/>
      <c r="CQ30" s="12"/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>
        <v>6</v>
      </c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>
        <v>6</v>
      </c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>
        <v>6</v>
      </c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>
        <v>28</v>
      </c>
      <c r="IO30" s="13">
        <v>1885.26</v>
      </c>
      <c r="IP30" s="11">
        <v>6</v>
      </c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>
        <v>5</v>
      </c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  <c r="LH30" s="11"/>
      <c r="LI30" s="13"/>
      <c r="LJ30" s="11"/>
      <c r="LK30" s="11"/>
      <c r="LL30" s="13"/>
      <c r="LM30" s="11"/>
      <c r="LN30" s="12"/>
      <c r="LO30" s="12"/>
      <c r="LP30" s="11"/>
      <c r="LQ30" s="13"/>
      <c r="LR30" s="11"/>
      <c r="LS30" s="11"/>
      <c r="LT30" s="13"/>
      <c r="LU30" s="11"/>
      <c r="LV30" s="12"/>
      <c r="LW30" s="12"/>
    </row>
    <row r="31">
      <c r="A31" s="10" t="s">
        <v>72</v>
      </c>
      <c r="B31" s="10" t="s">
        <v>95</v>
      </c>
      <c r="C31" s="10" t="s">
        <v>74</v>
      </c>
      <c r="D31" s="11">
        <v>2969</v>
      </c>
      <c r="E31" s="11">
        <f>=ROUNDDOWN(34.4431554524362,0)</f>
      </c>
      <c r="F31" s="11"/>
      <c r="G31" s="12">
        <v>0.9946</v>
      </c>
      <c r="H31" s="11"/>
      <c r="I31" s="11">
        <f>=ROUNDDOWN({0},0)</f>
      </c>
      <c r="J31" s="11"/>
      <c r="K31" s="12"/>
      <c r="L31" s="11">
        <v>851</v>
      </c>
      <c r="M31" s="13">
        <v>180127.72</v>
      </c>
      <c r="N31" s="11">
        <v>18</v>
      </c>
      <c r="O31" s="14">
        <v>10007.1</v>
      </c>
      <c r="P31" s="11"/>
      <c r="Q31" s="13"/>
      <c r="R31" s="11"/>
      <c r="S31" s="14"/>
      <c r="T31" s="12"/>
      <c r="U31" s="12"/>
      <c r="V31" s="12"/>
      <c r="W31" s="12"/>
      <c r="X31" s="11">
        <v>297</v>
      </c>
      <c r="Y31" s="13">
        <v>63858.21</v>
      </c>
      <c r="Z31" s="11">
        <v>16</v>
      </c>
      <c r="AA31" s="11"/>
      <c r="AB31" s="13"/>
      <c r="AC31" s="11"/>
      <c r="AD31" s="12"/>
      <c r="AE31" s="12"/>
      <c r="AF31" s="11">
        <v>169</v>
      </c>
      <c r="AG31" s="13">
        <v>28796.92</v>
      </c>
      <c r="AH31" s="11">
        <v>18</v>
      </c>
      <c r="AI31" s="11"/>
      <c r="AJ31" s="13"/>
      <c r="AK31" s="11"/>
      <c r="AL31" s="12"/>
      <c r="AM31" s="12"/>
      <c r="AN31" s="11">
        <v>40</v>
      </c>
      <c r="AO31" s="13">
        <v>8532.41</v>
      </c>
      <c r="AP31" s="11">
        <v>18</v>
      </c>
      <c r="AQ31" s="11"/>
      <c r="AR31" s="13"/>
      <c r="AS31" s="11"/>
      <c r="AT31" s="12"/>
      <c r="AU31" s="12"/>
      <c r="AV31" s="11"/>
      <c r="AW31" s="13"/>
      <c r="AX31" s="11"/>
      <c r="AY31" s="11"/>
      <c r="AZ31" s="13"/>
      <c r="BA31" s="11"/>
      <c r="BB31" s="12"/>
      <c r="BC31" s="12"/>
      <c r="BD31" s="11">
        <v>43</v>
      </c>
      <c r="BE31" s="13">
        <v>9649.21</v>
      </c>
      <c r="BF31" s="11">
        <v>18</v>
      </c>
      <c r="BG31" s="11"/>
      <c r="BH31" s="13"/>
      <c r="BI31" s="11"/>
      <c r="BJ31" s="12"/>
      <c r="BK31" s="12"/>
      <c r="BL31" s="11">
        <v>150</v>
      </c>
      <c r="BM31" s="13">
        <v>33396.15</v>
      </c>
      <c r="BN31" s="11">
        <v>18</v>
      </c>
      <c r="BO31" s="11"/>
      <c r="BP31" s="13"/>
      <c r="BQ31" s="11"/>
      <c r="BR31" s="12"/>
      <c r="BS31" s="12"/>
      <c r="BT31" s="11">
        <v>36</v>
      </c>
      <c r="BU31" s="13">
        <v>7718.43</v>
      </c>
      <c r="BV31" s="11">
        <v>18</v>
      </c>
      <c r="BW31" s="11"/>
      <c r="BX31" s="13"/>
      <c r="BY31" s="11"/>
      <c r="BZ31" s="12"/>
      <c r="CA31" s="12"/>
      <c r="CB31" s="11">
        <v>73</v>
      </c>
      <c r="CC31" s="13">
        <v>15164.7</v>
      </c>
      <c r="CD31" s="11">
        <v>18</v>
      </c>
      <c r="CE31" s="11"/>
      <c r="CF31" s="13"/>
      <c r="CG31" s="11"/>
      <c r="CH31" s="12"/>
      <c r="CI31" s="12"/>
      <c r="CJ31" s="11">
        <v>24</v>
      </c>
      <c r="CK31" s="13">
        <v>4295.78</v>
      </c>
      <c r="CL31" s="11">
        <v>16</v>
      </c>
      <c r="CM31" s="11"/>
      <c r="CN31" s="13"/>
      <c r="CO31" s="11"/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>
        <v>18</v>
      </c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>
        <v>18</v>
      </c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>
        <v>2</v>
      </c>
      <c r="GS31" s="13">
        <v>386.08</v>
      </c>
      <c r="GT31" s="11">
        <v>15</v>
      </c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>
        <v>17</v>
      </c>
      <c r="IO31" s="13">
        <v>8329.83</v>
      </c>
      <c r="IP31" s="11">
        <v>18</v>
      </c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  <c r="LH31" s="11"/>
      <c r="LI31" s="13"/>
      <c r="LJ31" s="11"/>
      <c r="LK31" s="11"/>
      <c r="LL31" s="13"/>
      <c r="LM31" s="11"/>
      <c r="LN31" s="12"/>
      <c r="LO31" s="12"/>
      <c r="LP31" s="11"/>
      <c r="LQ31" s="13"/>
      <c r="LR31" s="11"/>
      <c r="LS31" s="11"/>
      <c r="LT31" s="13"/>
      <c r="LU31" s="11"/>
      <c r="LV31" s="12"/>
      <c r="LW31" s="12"/>
    </row>
    <row r="32">
      <c r="A32" s="10" t="s">
        <v>72</v>
      </c>
      <c r="B32" s="10" t="s">
        <v>95</v>
      </c>
      <c r="C32" s="10" t="s">
        <v>75</v>
      </c>
      <c r="D32" s="11">
        <v>575</v>
      </c>
      <c r="E32" s="11">
        <f>=ROUNDDOWN(117.34693877551,0)</f>
      </c>
      <c r="F32" s="11"/>
      <c r="G32" s="12"/>
      <c r="H32" s="11"/>
      <c r="I32" s="11">
        <f>=ROUNDDOWN({0},0)</f>
      </c>
      <c r="J32" s="11"/>
      <c r="K32" s="12"/>
      <c r="L32" s="11">
        <v>68</v>
      </c>
      <c r="M32" s="13">
        <v>7319.01</v>
      </c>
      <c r="N32" s="11">
        <v>4</v>
      </c>
      <c r="O32" s="14">
        <v>1829.75</v>
      </c>
      <c r="P32" s="11"/>
      <c r="Q32" s="13"/>
      <c r="R32" s="11"/>
      <c r="S32" s="14"/>
      <c r="T32" s="12"/>
      <c r="U32" s="12"/>
      <c r="V32" s="12"/>
      <c r="W32" s="12"/>
      <c r="X32" s="11">
        <v>6</v>
      </c>
      <c r="Y32" s="13">
        <v>646.05</v>
      </c>
      <c r="Z32" s="11">
        <v>2</v>
      </c>
      <c r="AA32" s="11"/>
      <c r="AB32" s="13"/>
      <c r="AC32" s="11"/>
      <c r="AD32" s="12"/>
      <c r="AE32" s="12"/>
      <c r="AF32" s="11">
        <v>19</v>
      </c>
      <c r="AG32" s="13">
        <v>1183.35</v>
      </c>
      <c r="AH32" s="11">
        <v>4</v>
      </c>
      <c r="AI32" s="11"/>
      <c r="AJ32" s="13"/>
      <c r="AK32" s="11"/>
      <c r="AL32" s="12"/>
      <c r="AM32" s="12"/>
      <c r="AN32" s="11">
        <v>4</v>
      </c>
      <c r="AO32" s="13">
        <v>444.02</v>
      </c>
      <c r="AP32" s="11">
        <v>4</v>
      </c>
      <c r="AQ32" s="11"/>
      <c r="AR32" s="13"/>
      <c r="AS32" s="11"/>
      <c r="AT32" s="12"/>
      <c r="AU32" s="12"/>
      <c r="AV32" s="11"/>
      <c r="AW32" s="13"/>
      <c r="AX32" s="11"/>
      <c r="AY32" s="11"/>
      <c r="AZ32" s="13"/>
      <c r="BA32" s="11"/>
      <c r="BB32" s="12"/>
      <c r="BC32" s="12"/>
      <c r="BD32" s="11">
        <v>10</v>
      </c>
      <c r="BE32" s="13">
        <v>1081.08</v>
      </c>
      <c r="BF32" s="11">
        <v>4</v>
      </c>
      <c r="BG32" s="11"/>
      <c r="BH32" s="13"/>
      <c r="BI32" s="11"/>
      <c r="BJ32" s="12"/>
      <c r="BK32" s="12"/>
      <c r="BL32" s="11">
        <v>9</v>
      </c>
      <c r="BM32" s="13">
        <v>984.57</v>
      </c>
      <c r="BN32" s="11">
        <v>4</v>
      </c>
      <c r="BO32" s="11"/>
      <c r="BP32" s="13"/>
      <c r="BQ32" s="11"/>
      <c r="BR32" s="12"/>
      <c r="BS32" s="12"/>
      <c r="BT32" s="11">
        <v>1</v>
      </c>
      <c r="BU32" s="13">
        <v>100.99</v>
      </c>
      <c r="BV32" s="11">
        <v>4</v>
      </c>
      <c r="BW32" s="11"/>
      <c r="BX32" s="13"/>
      <c r="BY32" s="11"/>
      <c r="BZ32" s="12"/>
      <c r="CA32" s="12"/>
      <c r="CB32" s="11">
        <v>11</v>
      </c>
      <c r="CC32" s="13">
        <v>1182.4</v>
      </c>
      <c r="CD32" s="11">
        <v>4</v>
      </c>
      <c r="CE32" s="11"/>
      <c r="CF32" s="13"/>
      <c r="CG32" s="11"/>
      <c r="CH32" s="12"/>
      <c r="CI32" s="12"/>
      <c r="CJ32" s="11">
        <v>1</v>
      </c>
      <c r="CK32" s="13">
        <v>104.99</v>
      </c>
      <c r="CL32" s="11">
        <v>4</v>
      </c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>
        <v>1</v>
      </c>
      <c r="DQ32" s="13">
        <v>112.61</v>
      </c>
      <c r="DR32" s="11">
        <v>4</v>
      </c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>
        <v>4</v>
      </c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>
        <v>4</v>
      </c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>
        <v>6</v>
      </c>
      <c r="IO32" s="13">
        <v>1478.95</v>
      </c>
      <c r="IP32" s="11">
        <v>4</v>
      </c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  <c r="LH32" s="11"/>
      <c r="LI32" s="13"/>
      <c r="LJ32" s="11"/>
      <c r="LK32" s="11"/>
      <c r="LL32" s="13"/>
      <c r="LM32" s="11"/>
      <c r="LN32" s="12"/>
      <c r="LO32" s="12"/>
      <c r="LP32" s="11"/>
      <c r="LQ32" s="13"/>
      <c r="LR32" s="11"/>
      <c r="LS32" s="11"/>
      <c r="LT32" s="13"/>
      <c r="LU32" s="11"/>
      <c r="LV32" s="12"/>
      <c r="LW32" s="12"/>
    </row>
    <row r="33">
      <c r="A33" s="10" t="s">
        <v>72</v>
      </c>
      <c r="B33" s="10" t="s">
        <v>95</v>
      </c>
      <c r="C33" s="10" t="s">
        <v>93</v>
      </c>
      <c r="D33" s="11">
        <v>1384</v>
      </c>
      <c r="E33" s="11">
        <f>=ROUNDDOWN(54.9206349206349,0)</f>
      </c>
      <c r="F33" s="11"/>
      <c r="G33" s="12">
        <v>1</v>
      </c>
      <c r="H33" s="11"/>
      <c r="I33" s="11">
        <f>=ROUNDDOWN({0},0)</f>
      </c>
      <c r="J33" s="11"/>
      <c r="K33" s="12"/>
      <c r="L33" s="11">
        <v>372</v>
      </c>
      <c r="M33" s="13">
        <v>14759.95</v>
      </c>
      <c r="N33" s="11">
        <v>13</v>
      </c>
      <c r="O33" s="14">
        <v>1135.38</v>
      </c>
      <c r="P33" s="11"/>
      <c r="Q33" s="13"/>
      <c r="R33" s="11"/>
      <c r="S33" s="14"/>
      <c r="T33" s="12"/>
      <c r="U33" s="12"/>
      <c r="V33" s="12"/>
      <c r="W33" s="12"/>
      <c r="X33" s="11">
        <v>79</v>
      </c>
      <c r="Y33" s="13">
        <v>2751.09</v>
      </c>
      <c r="Z33" s="11">
        <v>13</v>
      </c>
      <c r="AA33" s="11"/>
      <c r="AB33" s="13"/>
      <c r="AC33" s="11"/>
      <c r="AD33" s="12"/>
      <c r="AE33" s="12"/>
      <c r="AF33" s="11">
        <v>50</v>
      </c>
      <c r="AG33" s="13">
        <v>1435.23</v>
      </c>
      <c r="AH33" s="11">
        <v>13</v>
      </c>
      <c r="AI33" s="11"/>
      <c r="AJ33" s="13"/>
      <c r="AK33" s="11"/>
      <c r="AL33" s="12"/>
      <c r="AM33" s="12"/>
      <c r="AN33" s="11">
        <v>25</v>
      </c>
      <c r="AO33" s="13">
        <v>870.36</v>
      </c>
      <c r="AP33" s="11">
        <v>13</v>
      </c>
      <c r="AQ33" s="11"/>
      <c r="AR33" s="13"/>
      <c r="AS33" s="11"/>
      <c r="AT33" s="12"/>
      <c r="AU33" s="12"/>
      <c r="AV33" s="11"/>
      <c r="AW33" s="13"/>
      <c r="AX33" s="11"/>
      <c r="AY33" s="11"/>
      <c r="AZ33" s="13"/>
      <c r="BA33" s="11"/>
      <c r="BB33" s="12"/>
      <c r="BC33" s="12"/>
      <c r="BD33" s="11">
        <v>89</v>
      </c>
      <c r="BE33" s="13">
        <v>3191.83</v>
      </c>
      <c r="BF33" s="11">
        <v>13</v>
      </c>
      <c r="BG33" s="11"/>
      <c r="BH33" s="13"/>
      <c r="BI33" s="11"/>
      <c r="BJ33" s="12"/>
      <c r="BK33" s="12"/>
      <c r="BL33" s="11">
        <v>10</v>
      </c>
      <c r="BM33" s="13">
        <v>357.98</v>
      </c>
      <c r="BN33" s="11">
        <v>13</v>
      </c>
      <c r="BO33" s="11"/>
      <c r="BP33" s="13"/>
      <c r="BQ33" s="11"/>
      <c r="BR33" s="12"/>
      <c r="BS33" s="12"/>
      <c r="BT33" s="11">
        <v>5</v>
      </c>
      <c r="BU33" s="13">
        <v>163.22</v>
      </c>
      <c r="BV33" s="11">
        <v>13</v>
      </c>
      <c r="BW33" s="11"/>
      <c r="BX33" s="13"/>
      <c r="BY33" s="11"/>
      <c r="BZ33" s="12"/>
      <c r="CA33" s="12"/>
      <c r="CB33" s="11">
        <v>70</v>
      </c>
      <c r="CC33" s="13">
        <v>2224.72</v>
      </c>
      <c r="CD33" s="11">
        <v>13</v>
      </c>
      <c r="CE33" s="11"/>
      <c r="CF33" s="13"/>
      <c r="CG33" s="11"/>
      <c r="CH33" s="12"/>
      <c r="CI33" s="12"/>
      <c r="CJ33" s="11">
        <v>12</v>
      </c>
      <c r="CK33" s="13">
        <v>1065.88</v>
      </c>
      <c r="CL33" s="11">
        <v>13</v>
      </c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>
        <v>13</v>
      </c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>
        <v>13</v>
      </c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>
        <v>13</v>
      </c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>
        <v>32</v>
      </c>
      <c r="IO33" s="13">
        <v>2699.64</v>
      </c>
      <c r="IP33" s="11">
        <v>13</v>
      </c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>
        <v>13</v>
      </c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  <c r="LH33" s="11"/>
      <c r="LI33" s="13"/>
      <c r="LJ33" s="11"/>
      <c r="LK33" s="11"/>
      <c r="LL33" s="13"/>
      <c r="LM33" s="11"/>
      <c r="LN33" s="12"/>
      <c r="LO33" s="12"/>
      <c r="LP33" s="11"/>
      <c r="LQ33" s="13"/>
      <c r="LR33" s="11"/>
      <c r="LS33" s="11"/>
      <c r="LT33" s="13"/>
      <c r="LU33" s="11"/>
      <c r="LV33" s="12"/>
      <c r="LW33" s="12"/>
    </row>
    <row r="34">
      <c r="A34" s="10" t="s">
        <v>72</v>
      </c>
      <c r="B34" s="10" t="s">
        <v>96</v>
      </c>
      <c r="C34" s="10" t="s">
        <v>77</v>
      </c>
      <c r="D34" s="11">
        <v>5627</v>
      </c>
      <c r="E34" s="11">
        <f>=ROUNDDOWN({0},0)</f>
      </c>
      <c r="F34" s="11"/>
      <c r="G34" s="12"/>
      <c r="H34" s="11"/>
      <c r="I34" s="11">
        <f>=ROUNDDOWN({0},0)</f>
      </c>
      <c r="J34" s="11"/>
      <c r="K34" s="12"/>
      <c r="L34" s="11">
        <v>1450</v>
      </c>
      <c r="M34" s="13">
        <v>207541.14</v>
      </c>
      <c r="N34" s="11">
        <v>41</v>
      </c>
      <c r="O34" s="14">
        <v>5061.98</v>
      </c>
      <c r="P34" s="11"/>
      <c r="Q34" s="13"/>
      <c r="R34" s="11"/>
      <c r="S34" s="14"/>
      <c r="T34" s="12"/>
      <c r="U34" s="12"/>
      <c r="V34" s="12"/>
      <c r="W34" s="12"/>
      <c r="X34" s="11">
        <v>425</v>
      </c>
      <c r="Y34" s="13">
        <v>68479.56</v>
      </c>
      <c r="Z34" s="11">
        <v>37</v>
      </c>
      <c r="AA34" s="11"/>
      <c r="AB34" s="13"/>
      <c r="AC34" s="11"/>
      <c r="AD34" s="12"/>
      <c r="AE34" s="12"/>
      <c r="AF34" s="11">
        <v>264</v>
      </c>
      <c r="AG34" s="13">
        <v>31915.48</v>
      </c>
      <c r="AH34" s="11">
        <v>41</v>
      </c>
      <c r="AI34" s="11"/>
      <c r="AJ34" s="13"/>
      <c r="AK34" s="11"/>
      <c r="AL34" s="12"/>
      <c r="AM34" s="12"/>
      <c r="AN34" s="11">
        <v>76</v>
      </c>
      <c r="AO34" s="13">
        <v>10043.35</v>
      </c>
      <c r="AP34" s="11">
        <v>41</v>
      </c>
      <c r="AQ34" s="11"/>
      <c r="AR34" s="13"/>
      <c r="AS34" s="11"/>
      <c r="AT34" s="12"/>
      <c r="AU34" s="12"/>
      <c r="AV34" s="11"/>
      <c r="AW34" s="13"/>
      <c r="AX34" s="11"/>
      <c r="AY34" s="11"/>
      <c r="AZ34" s="13"/>
      <c r="BA34" s="11"/>
      <c r="BB34" s="12"/>
      <c r="BC34" s="12"/>
      <c r="BD34" s="11">
        <v>145</v>
      </c>
      <c r="BE34" s="13">
        <v>14009.48</v>
      </c>
      <c r="BF34" s="11">
        <v>41</v>
      </c>
      <c r="BG34" s="11"/>
      <c r="BH34" s="13"/>
      <c r="BI34" s="11"/>
      <c r="BJ34" s="12"/>
      <c r="BK34" s="12"/>
      <c r="BL34" s="11">
        <v>172</v>
      </c>
      <c r="BM34" s="13">
        <v>34822.94</v>
      </c>
      <c r="BN34" s="11">
        <v>41</v>
      </c>
      <c r="BO34" s="11"/>
      <c r="BP34" s="13"/>
      <c r="BQ34" s="11"/>
      <c r="BR34" s="12"/>
      <c r="BS34" s="12"/>
      <c r="BT34" s="11">
        <v>53</v>
      </c>
      <c r="BU34" s="13">
        <v>8273.32</v>
      </c>
      <c r="BV34" s="11">
        <v>41</v>
      </c>
      <c r="BW34" s="11"/>
      <c r="BX34" s="13"/>
      <c r="BY34" s="11"/>
      <c r="BZ34" s="12"/>
      <c r="CA34" s="12"/>
      <c r="CB34" s="11">
        <v>189</v>
      </c>
      <c r="CC34" s="13">
        <v>19527.32</v>
      </c>
      <c r="CD34" s="11">
        <v>41</v>
      </c>
      <c r="CE34" s="11"/>
      <c r="CF34" s="13"/>
      <c r="CG34" s="11"/>
      <c r="CH34" s="12"/>
      <c r="CI34" s="12"/>
      <c r="CJ34" s="11">
        <v>40</v>
      </c>
      <c r="CK34" s="13">
        <v>5577.32</v>
      </c>
      <c r="CL34" s="11">
        <v>39</v>
      </c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>
        <v>1</v>
      </c>
      <c r="DQ34" s="13">
        <v>112.61</v>
      </c>
      <c r="DR34" s="11">
        <v>41</v>
      </c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>
        <v>41</v>
      </c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>
        <v>2</v>
      </c>
      <c r="GS34" s="13">
        <v>386.08</v>
      </c>
      <c r="GT34" s="11">
        <v>38</v>
      </c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>
        <v>83</v>
      </c>
      <c r="IO34" s="13">
        <v>14393.68</v>
      </c>
      <c r="IP34" s="11">
        <v>41</v>
      </c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>
        <v>18</v>
      </c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  <c r="LH34" s="11"/>
      <c r="LI34" s="13"/>
      <c r="LJ34" s="11"/>
      <c r="LK34" s="11"/>
      <c r="LL34" s="13"/>
      <c r="LM34" s="11"/>
      <c r="LN34" s="12"/>
      <c r="LO34" s="12"/>
      <c r="LP34" s="11"/>
      <c r="LQ34" s="13"/>
      <c r="LR34" s="11"/>
      <c r="LS34" s="11"/>
      <c r="LT34" s="13"/>
      <c r="LU34" s="11"/>
      <c r="LV34" s="12"/>
      <c r="LW34" s="12"/>
    </row>
    <row r="35">
      <c r="A35" s="10" t="s">
        <v>72</v>
      </c>
      <c r="B35" s="10" t="s">
        <v>97</v>
      </c>
      <c r="C35" s="10" t="s">
        <v>92</v>
      </c>
      <c r="D35" s="11">
        <v>147</v>
      </c>
      <c r="E35" s="11">
        <f>=ROUNDDOWN(36.75,0)</f>
      </c>
      <c r="F35" s="11"/>
      <c r="G35" s="12"/>
      <c r="H35" s="11"/>
      <c r="I35" s="11">
        <f>=ROUNDDOWN({0},0)</f>
      </c>
      <c r="J35" s="11"/>
      <c r="K35" s="12"/>
      <c r="L35" s="11">
        <v>50</v>
      </c>
      <c r="M35" s="13">
        <v>1026.21</v>
      </c>
      <c r="N35" s="11">
        <v>1</v>
      </c>
      <c r="O35" s="14">
        <v>1026.21</v>
      </c>
      <c r="P35" s="11"/>
      <c r="Q35" s="13"/>
      <c r="R35" s="11"/>
      <c r="S35" s="14"/>
      <c r="T35" s="12"/>
      <c r="U35" s="12"/>
      <c r="V35" s="12"/>
      <c r="W35" s="12"/>
      <c r="X35" s="11"/>
      <c r="Y35" s="13"/>
      <c r="Z35" s="11"/>
      <c r="AA35" s="11"/>
      <c r="AB35" s="13"/>
      <c r="AC35" s="11"/>
      <c r="AD35" s="12"/>
      <c r="AE35" s="12"/>
      <c r="AF35" s="11">
        <v>7</v>
      </c>
      <c r="AG35" s="13">
        <v>75.03</v>
      </c>
      <c r="AH35" s="11">
        <v>1</v>
      </c>
      <c r="AI35" s="11"/>
      <c r="AJ35" s="13"/>
      <c r="AK35" s="11"/>
      <c r="AL35" s="12"/>
      <c r="AM35" s="12"/>
      <c r="AN35" s="11"/>
      <c r="AO35" s="13"/>
      <c r="AP35" s="11"/>
      <c r="AQ35" s="11"/>
      <c r="AR35" s="13"/>
      <c r="AS35" s="11"/>
      <c r="AT35" s="12"/>
      <c r="AU35" s="12"/>
      <c r="AV35" s="11"/>
      <c r="AW35" s="13"/>
      <c r="AX35" s="11"/>
      <c r="AY35" s="11"/>
      <c r="AZ35" s="13"/>
      <c r="BA35" s="11"/>
      <c r="BB35" s="12"/>
      <c r="BC35" s="12"/>
      <c r="BD35" s="11">
        <v>13</v>
      </c>
      <c r="BE35" s="13">
        <v>165.62</v>
      </c>
      <c r="BF35" s="11">
        <v>1</v>
      </c>
      <c r="BG35" s="11"/>
      <c r="BH35" s="13"/>
      <c r="BI35" s="11"/>
      <c r="BJ35" s="12"/>
      <c r="BK35" s="12"/>
      <c r="BL35" s="11">
        <v>2</v>
      </c>
      <c r="BM35" s="13">
        <v>49.12</v>
      </c>
      <c r="BN35" s="11">
        <v>1</v>
      </c>
      <c r="BO35" s="11"/>
      <c r="BP35" s="13"/>
      <c r="BQ35" s="11"/>
      <c r="BR35" s="12"/>
      <c r="BS35" s="12"/>
      <c r="BT35" s="11">
        <v>3</v>
      </c>
      <c r="BU35" s="13">
        <v>68.22</v>
      </c>
      <c r="BV35" s="11">
        <v>1</v>
      </c>
      <c r="BW35" s="11"/>
      <c r="BX35" s="13"/>
      <c r="BY35" s="11"/>
      <c r="BZ35" s="12"/>
      <c r="CA35" s="12"/>
      <c r="CB35" s="11">
        <v>23</v>
      </c>
      <c r="CC35" s="13">
        <v>549.24</v>
      </c>
      <c r="CD35" s="11">
        <v>1</v>
      </c>
      <c r="CE35" s="11"/>
      <c r="CF35" s="13"/>
      <c r="CG35" s="11"/>
      <c r="CH35" s="12"/>
      <c r="CI35" s="12"/>
      <c r="CJ35" s="11"/>
      <c r="CK35" s="13"/>
      <c r="CL35" s="11">
        <v>1</v>
      </c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/>
      <c r="DC35" s="11"/>
      <c r="DD35" s="13"/>
      <c r="DE35" s="11"/>
      <c r="DF35" s="12"/>
      <c r="DG35" s="12"/>
      <c r="DH35" s="11"/>
      <c r="DI35" s="13"/>
      <c r="DJ35" s="11"/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>
        <v>1</v>
      </c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>
        <v>1</v>
      </c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>
        <v>2</v>
      </c>
      <c r="IO35" s="13">
        <v>118.98</v>
      </c>
      <c r="IP35" s="11">
        <v>1</v>
      </c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>
        <v>1</v>
      </c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  <c r="LH35" s="11"/>
      <c r="LI35" s="13"/>
      <c r="LJ35" s="11"/>
      <c r="LK35" s="11"/>
      <c r="LL35" s="13"/>
      <c r="LM35" s="11"/>
      <c r="LN35" s="12"/>
      <c r="LO35" s="12"/>
      <c r="LP35" s="11"/>
      <c r="LQ35" s="13"/>
      <c r="LR35" s="11"/>
      <c r="LS35" s="11"/>
      <c r="LT35" s="13"/>
      <c r="LU35" s="11"/>
      <c r="LV35" s="12"/>
      <c r="LW35" s="12"/>
    </row>
    <row r="36">
      <c r="A36" s="10" t="s">
        <v>72</v>
      </c>
      <c r="B36" s="10" t="s">
        <v>97</v>
      </c>
      <c r="C36" s="10" t="s">
        <v>75</v>
      </c>
      <c r="D36" s="11">
        <v>151</v>
      </c>
      <c r="E36" s="11">
        <f>=ROUNDDOWN(30.2,0)</f>
      </c>
      <c r="F36" s="11"/>
      <c r="G36" s="12"/>
      <c r="H36" s="11"/>
      <c r="I36" s="11">
        <f>=ROUNDDOWN({0},0)</f>
      </c>
      <c r="J36" s="11"/>
      <c r="K36" s="12"/>
      <c r="L36" s="11">
        <v>40</v>
      </c>
      <c r="M36" s="13">
        <v>5209.25</v>
      </c>
      <c r="N36" s="11">
        <v>2</v>
      </c>
      <c r="O36" s="14">
        <v>2604.62</v>
      </c>
      <c r="P36" s="11"/>
      <c r="Q36" s="13"/>
      <c r="R36" s="11"/>
      <c r="S36" s="14"/>
      <c r="T36" s="12"/>
      <c r="U36" s="12"/>
      <c r="V36" s="12"/>
      <c r="W36" s="12"/>
      <c r="X36" s="11"/>
      <c r="Y36" s="13"/>
      <c r="Z36" s="11"/>
      <c r="AA36" s="11"/>
      <c r="AB36" s="13"/>
      <c r="AC36" s="11"/>
      <c r="AD36" s="12"/>
      <c r="AE36" s="12"/>
      <c r="AF36" s="11">
        <v>3</v>
      </c>
      <c r="AG36" s="13">
        <v>248.82</v>
      </c>
      <c r="AH36" s="11">
        <v>2</v>
      </c>
      <c r="AI36" s="11"/>
      <c r="AJ36" s="13"/>
      <c r="AK36" s="11"/>
      <c r="AL36" s="12"/>
      <c r="AM36" s="12"/>
      <c r="AN36" s="11"/>
      <c r="AO36" s="13"/>
      <c r="AP36" s="11"/>
      <c r="AQ36" s="11"/>
      <c r="AR36" s="13"/>
      <c r="AS36" s="11"/>
      <c r="AT36" s="12"/>
      <c r="AU36" s="12"/>
      <c r="AV36" s="11"/>
      <c r="AW36" s="13"/>
      <c r="AX36" s="11"/>
      <c r="AY36" s="11"/>
      <c r="AZ36" s="13"/>
      <c r="BA36" s="11"/>
      <c r="BB36" s="12"/>
      <c r="BC36" s="12"/>
      <c r="BD36" s="11">
        <v>9</v>
      </c>
      <c r="BE36" s="13">
        <v>1321.32</v>
      </c>
      <c r="BF36" s="11">
        <v>2</v>
      </c>
      <c r="BG36" s="11"/>
      <c r="BH36" s="13"/>
      <c r="BI36" s="11"/>
      <c r="BJ36" s="12"/>
      <c r="BK36" s="12"/>
      <c r="BL36" s="11">
        <v>2</v>
      </c>
      <c r="BM36" s="13">
        <v>270.27</v>
      </c>
      <c r="BN36" s="11">
        <v>2</v>
      </c>
      <c r="BO36" s="11"/>
      <c r="BP36" s="13"/>
      <c r="BQ36" s="11"/>
      <c r="BR36" s="12"/>
      <c r="BS36" s="12"/>
      <c r="BT36" s="11">
        <v>25</v>
      </c>
      <c r="BU36" s="13">
        <v>3218.69</v>
      </c>
      <c r="BV36" s="11">
        <v>2</v>
      </c>
      <c r="BW36" s="11"/>
      <c r="BX36" s="13"/>
      <c r="BY36" s="11"/>
      <c r="BZ36" s="12"/>
      <c r="CA36" s="12"/>
      <c r="CB36" s="11">
        <v>1</v>
      </c>
      <c r="CC36" s="13">
        <v>150.15</v>
      </c>
      <c r="CD36" s="11">
        <v>2</v>
      </c>
      <c r="CE36" s="11"/>
      <c r="CF36" s="13"/>
      <c r="CG36" s="11"/>
      <c r="CH36" s="12"/>
      <c r="CI36" s="12"/>
      <c r="CJ36" s="11"/>
      <c r="CK36" s="13"/>
      <c r="CL36" s="11">
        <v>2</v>
      </c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/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>
        <v>2</v>
      </c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>
        <v>2</v>
      </c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>
        <v>2</v>
      </c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  <c r="LH36" s="11"/>
      <c r="LI36" s="13"/>
      <c r="LJ36" s="11"/>
      <c r="LK36" s="11"/>
      <c r="LL36" s="13"/>
      <c r="LM36" s="11"/>
      <c r="LN36" s="12"/>
      <c r="LO36" s="12"/>
      <c r="LP36" s="11"/>
      <c r="LQ36" s="13"/>
      <c r="LR36" s="11"/>
      <c r="LS36" s="11"/>
      <c r="LT36" s="13"/>
      <c r="LU36" s="11"/>
      <c r="LV36" s="12"/>
      <c r="LW36" s="12"/>
    </row>
    <row r="37">
      <c r="A37" s="10" t="s">
        <v>72</v>
      </c>
      <c r="B37" s="10" t="s">
        <v>97</v>
      </c>
      <c r="C37" s="10" t="s">
        <v>83</v>
      </c>
      <c r="D37" s="11">
        <v>59</v>
      </c>
      <c r="E37" s="11">
        <f>=ROUNDDOWN(8.42857142857143,0)</f>
      </c>
      <c r="F37" s="11"/>
      <c r="G37" s="12"/>
      <c r="H37" s="11"/>
      <c r="I37" s="11">
        <f>=ROUNDDOWN({0},0)</f>
      </c>
      <c r="J37" s="11"/>
      <c r="K37" s="12"/>
      <c r="L37" s="11">
        <v>84</v>
      </c>
      <c r="M37" s="13">
        <v>6855.09</v>
      </c>
      <c r="N37" s="11">
        <v>2</v>
      </c>
      <c r="O37" s="14">
        <v>3427.54</v>
      </c>
      <c r="P37" s="11"/>
      <c r="Q37" s="13"/>
      <c r="R37" s="11"/>
      <c r="S37" s="14"/>
      <c r="T37" s="12"/>
      <c r="U37" s="12"/>
      <c r="V37" s="12"/>
      <c r="W37" s="12"/>
      <c r="X37" s="11"/>
      <c r="Y37" s="13"/>
      <c r="Z37" s="11"/>
      <c r="AA37" s="11"/>
      <c r="AB37" s="13"/>
      <c r="AC37" s="11"/>
      <c r="AD37" s="12"/>
      <c r="AE37" s="12"/>
      <c r="AF37" s="11">
        <v>11</v>
      </c>
      <c r="AG37" s="13">
        <v>654.26</v>
      </c>
      <c r="AH37" s="11">
        <v>2</v>
      </c>
      <c r="AI37" s="11"/>
      <c r="AJ37" s="13"/>
      <c r="AK37" s="11"/>
      <c r="AL37" s="12"/>
      <c r="AM37" s="12"/>
      <c r="AN37" s="11"/>
      <c r="AO37" s="13"/>
      <c r="AP37" s="11"/>
      <c r="AQ37" s="11"/>
      <c r="AR37" s="13"/>
      <c r="AS37" s="11"/>
      <c r="AT37" s="12"/>
      <c r="AU37" s="12"/>
      <c r="AV37" s="11"/>
      <c r="AW37" s="13"/>
      <c r="AX37" s="11"/>
      <c r="AY37" s="11"/>
      <c r="AZ37" s="13"/>
      <c r="BA37" s="11"/>
      <c r="BB37" s="12"/>
      <c r="BC37" s="12"/>
      <c r="BD37" s="11">
        <v>61</v>
      </c>
      <c r="BE37" s="13">
        <v>4524.52</v>
      </c>
      <c r="BF37" s="11">
        <v>2</v>
      </c>
      <c r="BG37" s="11"/>
      <c r="BH37" s="13"/>
      <c r="BI37" s="11"/>
      <c r="BJ37" s="12"/>
      <c r="BK37" s="12"/>
      <c r="BL37" s="11">
        <v>1</v>
      </c>
      <c r="BM37" s="13">
        <v>154.44</v>
      </c>
      <c r="BN37" s="11">
        <v>2</v>
      </c>
      <c r="BO37" s="11"/>
      <c r="BP37" s="13"/>
      <c r="BQ37" s="11"/>
      <c r="BR37" s="12"/>
      <c r="BS37" s="12"/>
      <c r="BT37" s="11">
        <v>3</v>
      </c>
      <c r="BU37" s="13">
        <v>429</v>
      </c>
      <c r="BV37" s="11">
        <v>2</v>
      </c>
      <c r="BW37" s="11"/>
      <c r="BX37" s="13"/>
      <c r="BY37" s="11"/>
      <c r="BZ37" s="12"/>
      <c r="CA37" s="12"/>
      <c r="CB37" s="11">
        <v>7</v>
      </c>
      <c r="CC37" s="13">
        <v>938.43</v>
      </c>
      <c r="CD37" s="11">
        <v>2</v>
      </c>
      <c r="CE37" s="11"/>
      <c r="CF37" s="13"/>
      <c r="CG37" s="11"/>
      <c r="CH37" s="12"/>
      <c r="CI37" s="12"/>
      <c r="CJ37" s="11"/>
      <c r="CK37" s="13"/>
      <c r="CL37" s="11">
        <v>2</v>
      </c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/>
      <c r="DC37" s="11"/>
      <c r="DD37" s="13"/>
      <c r="DE37" s="11"/>
      <c r="DF37" s="12"/>
      <c r="DG37" s="12"/>
      <c r="DH37" s="11"/>
      <c r="DI37" s="13"/>
      <c r="DJ37" s="11"/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>
        <v>2</v>
      </c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>
        <v>1</v>
      </c>
      <c r="GS37" s="13">
        <v>154.44</v>
      </c>
      <c r="GT37" s="11">
        <v>2</v>
      </c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>
        <v>2</v>
      </c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  <c r="LH37" s="11"/>
      <c r="LI37" s="13"/>
      <c r="LJ37" s="11"/>
      <c r="LK37" s="11"/>
      <c r="LL37" s="13"/>
      <c r="LM37" s="11"/>
      <c r="LN37" s="12"/>
      <c r="LO37" s="12"/>
      <c r="LP37" s="11"/>
      <c r="LQ37" s="13"/>
      <c r="LR37" s="11"/>
      <c r="LS37" s="11"/>
      <c r="LT37" s="13"/>
      <c r="LU37" s="11"/>
      <c r="LV37" s="12"/>
      <c r="LW37" s="12"/>
    </row>
    <row r="38">
      <c r="A38" s="10" t="s">
        <v>72</v>
      </c>
      <c r="B38" s="10" t="s">
        <v>97</v>
      </c>
      <c r="C38" s="10" t="s">
        <v>93</v>
      </c>
      <c r="D38" s="11">
        <v>390</v>
      </c>
      <c r="E38" s="11">
        <f>=ROUNDDOWN(65,0)</f>
      </c>
      <c r="F38" s="11"/>
      <c r="G38" s="12"/>
      <c r="H38" s="11"/>
      <c r="I38" s="11">
        <f>=ROUNDDOWN({0},0)</f>
      </c>
      <c r="J38" s="11"/>
      <c r="K38" s="12"/>
      <c r="L38" s="11">
        <v>109</v>
      </c>
      <c r="M38" s="13">
        <v>2104.33</v>
      </c>
      <c r="N38" s="11">
        <v>4</v>
      </c>
      <c r="O38" s="14">
        <v>526.08</v>
      </c>
      <c r="P38" s="11"/>
      <c r="Q38" s="13"/>
      <c r="R38" s="11"/>
      <c r="S38" s="14"/>
      <c r="T38" s="12"/>
      <c r="U38" s="12"/>
      <c r="V38" s="12"/>
      <c r="W38" s="12"/>
      <c r="X38" s="11"/>
      <c r="Y38" s="13"/>
      <c r="Z38" s="11"/>
      <c r="AA38" s="11"/>
      <c r="AB38" s="13"/>
      <c r="AC38" s="11"/>
      <c r="AD38" s="12"/>
      <c r="AE38" s="12"/>
      <c r="AF38" s="11">
        <v>50</v>
      </c>
      <c r="AG38" s="13">
        <v>613.04</v>
      </c>
      <c r="AH38" s="11">
        <v>4</v>
      </c>
      <c r="AI38" s="11"/>
      <c r="AJ38" s="13"/>
      <c r="AK38" s="11"/>
      <c r="AL38" s="12"/>
      <c r="AM38" s="12"/>
      <c r="AN38" s="11"/>
      <c r="AO38" s="13"/>
      <c r="AP38" s="11"/>
      <c r="AQ38" s="11"/>
      <c r="AR38" s="13"/>
      <c r="AS38" s="11"/>
      <c r="AT38" s="12"/>
      <c r="AU38" s="12"/>
      <c r="AV38" s="11"/>
      <c r="AW38" s="13"/>
      <c r="AX38" s="11"/>
      <c r="AY38" s="11"/>
      <c r="AZ38" s="13"/>
      <c r="BA38" s="11"/>
      <c r="BB38" s="12"/>
      <c r="BC38" s="12"/>
      <c r="BD38" s="11">
        <v>28</v>
      </c>
      <c r="BE38" s="13">
        <v>404.04</v>
      </c>
      <c r="BF38" s="11">
        <v>4</v>
      </c>
      <c r="BG38" s="11"/>
      <c r="BH38" s="13"/>
      <c r="BI38" s="11"/>
      <c r="BJ38" s="12"/>
      <c r="BK38" s="12"/>
      <c r="BL38" s="11">
        <v>5</v>
      </c>
      <c r="BM38" s="13">
        <v>133.36</v>
      </c>
      <c r="BN38" s="11">
        <v>4</v>
      </c>
      <c r="BO38" s="11"/>
      <c r="BP38" s="13"/>
      <c r="BQ38" s="11"/>
      <c r="BR38" s="12"/>
      <c r="BS38" s="12"/>
      <c r="BT38" s="11"/>
      <c r="BU38" s="13"/>
      <c r="BV38" s="11">
        <v>4</v>
      </c>
      <c r="BW38" s="11"/>
      <c r="BX38" s="13"/>
      <c r="BY38" s="11"/>
      <c r="BZ38" s="12"/>
      <c r="CA38" s="12"/>
      <c r="CB38" s="11">
        <v>21</v>
      </c>
      <c r="CC38" s="13">
        <v>545.94</v>
      </c>
      <c r="CD38" s="11">
        <v>4</v>
      </c>
      <c r="CE38" s="11"/>
      <c r="CF38" s="13"/>
      <c r="CG38" s="11"/>
      <c r="CH38" s="12"/>
      <c r="CI38" s="12"/>
      <c r="CJ38" s="11">
        <v>3</v>
      </c>
      <c r="CK38" s="13">
        <v>288.97</v>
      </c>
      <c r="CL38" s="11">
        <v>4</v>
      </c>
      <c r="CM38" s="11"/>
      <c r="CN38" s="13"/>
      <c r="CO38" s="11"/>
      <c r="CP38" s="12"/>
      <c r="CQ38" s="12"/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/>
      <c r="DC38" s="11"/>
      <c r="DD38" s="13"/>
      <c r="DE38" s="11"/>
      <c r="DF38" s="12"/>
      <c r="DG38" s="12"/>
      <c r="DH38" s="11"/>
      <c r="DI38" s="13"/>
      <c r="DJ38" s="11"/>
      <c r="DK38" s="11"/>
      <c r="DL38" s="13"/>
      <c r="DM38" s="11"/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>
        <v>4</v>
      </c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/>
      <c r="GM38" s="11"/>
      <c r="GN38" s="13"/>
      <c r="GO38" s="11"/>
      <c r="GP38" s="12"/>
      <c r="GQ38" s="12"/>
      <c r="GR38" s="11"/>
      <c r="GS38" s="13"/>
      <c r="GT38" s="11">
        <v>4</v>
      </c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>
        <v>2</v>
      </c>
      <c r="IO38" s="13">
        <v>118.98</v>
      </c>
      <c r="IP38" s="11">
        <v>4</v>
      </c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>
        <v>4</v>
      </c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  <c r="LH38" s="11"/>
      <c r="LI38" s="13"/>
      <c r="LJ38" s="11"/>
      <c r="LK38" s="11"/>
      <c r="LL38" s="13"/>
      <c r="LM38" s="11"/>
      <c r="LN38" s="12"/>
      <c r="LO38" s="12"/>
      <c r="LP38" s="11"/>
      <c r="LQ38" s="13"/>
      <c r="LR38" s="11"/>
      <c r="LS38" s="11"/>
      <c r="LT38" s="13"/>
      <c r="LU38" s="11"/>
      <c r="LV38" s="12"/>
      <c r="LW38" s="12"/>
    </row>
    <row r="39">
      <c r="A39" s="10" t="s">
        <v>72</v>
      </c>
      <c r="B39" s="10" t="s">
        <v>98</v>
      </c>
      <c r="C39" s="10" t="s">
        <v>77</v>
      </c>
      <c r="D39" s="11">
        <v>747</v>
      </c>
      <c r="E39" s="11">
        <f>=ROUNDDOWN({0},0)</f>
      </c>
      <c r="F39" s="11"/>
      <c r="G39" s="12"/>
      <c r="H39" s="11"/>
      <c r="I39" s="11">
        <f>=ROUNDDOWN({0},0)</f>
      </c>
      <c r="J39" s="11"/>
      <c r="K39" s="12"/>
      <c r="L39" s="11">
        <v>283</v>
      </c>
      <c r="M39" s="13">
        <v>15194.88</v>
      </c>
      <c r="N39" s="11">
        <v>9</v>
      </c>
      <c r="O39" s="14">
        <v>1688.32</v>
      </c>
      <c r="P39" s="11"/>
      <c r="Q39" s="13"/>
      <c r="R39" s="11"/>
      <c r="S39" s="14"/>
      <c r="T39" s="12"/>
      <c r="U39" s="12"/>
      <c r="V39" s="12"/>
      <c r="W39" s="12"/>
      <c r="X39" s="11"/>
      <c r="Y39" s="13"/>
      <c r="Z39" s="11"/>
      <c r="AA39" s="11"/>
      <c r="AB39" s="13"/>
      <c r="AC39" s="11"/>
      <c r="AD39" s="12"/>
      <c r="AE39" s="12"/>
      <c r="AF39" s="11">
        <v>71</v>
      </c>
      <c r="AG39" s="13">
        <v>1591.15</v>
      </c>
      <c r="AH39" s="11">
        <v>9</v>
      </c>
      <c r="AI39" s="11"/>
      <c r="AJ39" s="13"/>
      <c r="AK39" s="11"/>
      <c r="AL39" s="12"/>
      <c r="AM39" s="12"/>
      <c r="AN39" s="11"/>
      <c r="AO39" s="13"/>
      <c r="AP39" s="11"/>
      <c r="AQ39" s="11"/>
      <c r="AR39" s="13"/>
      <c r="AS39" s="11"/>
      <c r="AT39" s="12"/>
      <c r="AU39" s="12"/>
      <c r="AV39" s="11"/>
      <c r="AW39" s="13"/>
      <c r="AX39" s="11"/>
      <c r="AY39" s="11"/>
      <c r="AZ39" s="13"/>
      <c r="BA39" s="11"/>
      <c r="BB39" s="12"/>
      <c r="BC39" s="12"/>
      <c r="BD39" s="11">
        <v>111</v>
      </c>
      <c r="BE39" s="13">
        <v>6415.5</v>
      </c>
      <c r="BF39" s="11">
        <v>9</v>
      </c>
      <c r="BG39" s="11"/>
      <c r="BH39" s="13"/>
      <c r="BI39" s="11"/>
      <c r="BJ39" s="12"/>
      <c r="BK39" s="12"/>
      <c r="BL39" s="11">
        <v>10</v>
      </c>
      <c r="BM39" s="13">
        <v>607.19</v>
      </c>
      <c r="BN39" s="11">
        <v>9</v>
      </c>
      <c r="BO39" s="11"/>
      <c r="BP39" s="13"/>
      <c r="BQ39" s="11"/>
      <c r="BR39" s="12"/>
      <c r="BS39" s="12"/>
      <c r="BT39" s="11">
        <v>31</v>
      </c>
      <c r="BU39" s="13">
        <v>3715.91</v>
      </c>
      <c r="BV39" s="11">
        <v>9</v>
      </c>
      <c r="BW39" s="11"/>
      <c r="BX39" s="13"/>
      <c r="BY39" s="11"/>
      <c r="BZ39" s="12"/>
      <c r="CA39" s="12"/>
      <c r="CB39" s="11">
        <v>52</v>
      </c>
      <c r="CC39" s="13">
        <v>2183.76</v>
      </c>
      <c r="CD39" s="11">
        <v>9</v>
      </c>
      <c r="CE39" s="11"/>
      <c r="CF39" s="13"/>
      <c r="CG39" s="11"/>
      <c r="CH39" s="12"/>
      <c r="CI39" s="12"/>
      <c r="CJ39" s="11">
        <v>3</v>
      </c>
      <c r="CK39" s="13">
        <v>288.97</v>
      </c>
      <c r="CL39" s="11">
        <v>9</v>
      </c>
      <c r="CM39" s="11"/>
      <c r="CN39" s="13"/>
      <c r="CO39" s="11"/>
      <c r="CP39" s="12"/>
      <c r="CQ39" s="12"/>
      <c r="CR39" s="11"/>
      <c r="CS39" s="13"/>
      <c r="CT39" s="11"/>
      <c r="CU39" s="11"/>
      <c r="CV39" s="13"/>
      <c r="CW39" s="11"/>
      <c r="CX39" s="12"/>
      <c r="CY39" s="12"/>
      <c r="CZ39" s="11"/>
      <c r="DA39" s="13"/>
      <c r="DB39" s="11"/>
      <c r="DC39" s="11"/>
      <c r="DD39" s="13"/>
      <c r="DE39" s="11"/>
      <c r="DF39" s="12"/>
      <c r="DG39" s="12"/>
      <c r="DH39" s="11"/>
      <c r="DI39" s="13"/>
      <c r="DJ39" s="11"/>
      <c r="DK39" s="11"/>
      <c r="DL39" s="13"/>
      <c r="DM39" s="11"/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>
        <v>9</v>
      </c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>
        <v>1</v>
      </c>
      <c r="GS39" s="13">
        <v>154.44</v>
      </c>
      <c r="GT39" s="11">
        <v>9</v>
      </c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>
        <v>4</v>
      </c>
      <c r="IO39" s="13">
        <v>237.96</v>
      </c>
      <c r="IP39" s="11">
        <v>9</v>
      </c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>
        <v>5</v>
      </c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  <c r="LH39" s="11"/>
      <c r="LI39" s="13"/>
      <c r="LJ39" s="11"/>
      <c r="LK39" s="11"/>
      <c r="LL39" s="13"/>
      <c r="LM39" s="11"/>
      <c r="LN39" s="12"/>
      <c r="LO39" s="12"/>
      <c r="LP39" s="11"/>
      <c r="LQ39" s="13"/>
      <c r="LR39" s="11"/>
      <c r="LS39" s="11"/>
      <c r="LT39" s="13"/>
      <c r="LU39" s="11"/>
      <c r="LV39" s="12"/>
      <c r="LW39" s="12"/>
    </row>
    <row r="40">
      <c r="A40" s="10" t="s">
        <v>72</v>
      </c>
      <c r="B40" s="10" t="s">
        <v>99</v>
      </c>
      <c r="C40" s="10" t="s">
        <v>74</v>
      </c>
      <c r="D40" s="11">
        <v>97</v>
      </c>
      <c r="E40" s="11">
        <f>=ROUNDDOWN(7.46153846153846,0)</f>
      </c>
      <c r="F40" s="11">
        <v>180</v>
      </c>
      <c r="G40" s="12">
        <v>1</v>
      </c>
      <c r="H40" s="11"/>
      <c r="I40" s="11">
        <f>=ROUNDDOWN({0},0)</f>
      </c>
      <c r="J40" s="11"/>
      <c r="K40" s="12"/>
      <c r="L40" s="11">
        <v>102</v>
      </c>
      <c r="M40" s="13">
        <v>18565.32</v>
      </c>
      <c r="N40" s="11">
        <v>2</v>
      </c>
      <c r="O40" s="14">
        <v>9282.66</v>
      </c>
      <c r="P40" s="11"/>
      <c r="Q40" s="13"/>
      <c r="R40" s="11"/>
      <c r="S40" s="14"/>
      <c r="T40" s="12"/>
      <c r="U40" s="12"/>
      <c r="V40" s="12"/>
      <c r="W40" s="12"/>
      <c r="X40" s="11">
        <v>14</v>
      </c>
      <c r="Y40" s="13">
        <v>2978.72</v>
      </c>
      <c r="Z40" s="11">
        <v>2</v>
      </c>
      <c r="AA40" s="11"/>
      <c r="AB40" s="13"/>
      <c r="AC40" s="11"/>
      <c r="AD40" s="12"/>
      <c r="AE40" s="12"/>
      <c r="AF40" s="11">
        <v>43</v>
      </c>
      <c r="AG40" s="13">
        <v>6256.05</v>
      </c>
      <c r="AH40" s="11">
        <v>2</v>
      </c>
      <c r="AI40" s="11"/>
      <c r="AJ40" s="13"/>
      <c r="AK40" s="11"/>
      <c r="AL40" s="12"/>
      <c r="AM40" s="12"/>
      <c r="AN40" s="11">
        <v>3</v>
      </c>
      <c r="AO40" s="13">
        <v>676.56</v>
      </c>
      <c r="AP40" s="11">
        <v>2</v>
      </c>
      <c r="AQ40" s="11"/>
      <c r="AR40" s="13"/>
      <c r="AS40" s="11"/>
      <c r="AT40" s="12"/>
      <c r="AU40" s="12"/>
      <c r="AV40" s="11"/>
      <c r="AW40" s="13"/>
      <c r="AX40" s="11"/>
      <c r="AY40" s="11"/>
      <c r="AZ40" s="13"/>
      <c r="BA40" s="11"/>
      <c r="BB40" s="12"/>
      <c r="BC40" s="12"/>
      <c r="BD40" s="11"/>
      <c r="BE40" s="13"/>
      <c r="BF40" s="11"/>
      <c r="BG40" s="11"/>
      <c r="BH40" s="13"/>
      <c r="BI40" s="11"/>
      <c r="BJ40" s="12"/>
      <c r="BK40" s="12"/>
      <c r="BL40" s="11">
        <v>24</v>
      </c>
      <c r="BM40" s="13">
        <v>4640.02</v>
      </c>
      <c r="BN40" s="11">
        <v>2</v>
      </c>
      <c r="BO40" s="11"/>
      <c r="BP40" s="13"/>
      <c r="BQ40" s="11"/>
      <c r="BR40" s="12"/>
      <c r="BS40" s="12"/>
      <c r="BT40" s="11">
        <v>6</v>
      </c>
      <c r="BU40" s="13">
        <v>1317.4</v>
      </c>
      <c r="BV40" s="11">
        <v>2</v>
      </c>
      <c r="BW40" s="11"/>
      <c r="BX40" s="13"/>
      <c r="BY40" s="11"/>
      <c r="BZ40" s="12"/>
      <c r="CA40" s="12"/>
      <c r="CB40" s="11">
        <v>10</v>
      </c>
      <c r="CC40" s="13">
        <v>2264.36</v>
      </c>
      <c r="CD40" s="11">
        <v>2</v>
      </c>
      <c r="CE40" s="11"/>
      <c r="CF40" s="13"/>
      <c r="CG40" s="11"/>
      <c r="CH40" s="12"/>
      <c r="CI40" s="12"/>
      <c r="CJ40" s="11"/>
      <c r="CK40" s="13"/>
      <c r="CL40" s="11">
        <v>2</v>
      </c>
      <c r="CM40" s="11"/>
      <c r="CN40" s="13"/>
      <c r="CO40" s="11"/>
      <c r="CP40" s="12"/>
      <c r="CQ40" s="12"/>
      <c r="CR40" s="11"/>
      <c r="CS40" s="13"/>
      <c r="CT40" s="11"/>
      <c r="CU40" s="11"/>
      <c r="CV40" s="13"/>
      <c r="CW40" s="11"/>
      <c r="CX40" s="12"/>
      <c r="CY40" s="12"/>
      <c r="CZ40" s="11"/>
      <c r="DA40" s="13"/>
      <c r="DB40" s="11"/>
      <c r="DC40" s="11"/>
      <c r="DD40" s="13"/>
      <c r="DE40" s="11"/>
      <c r="DF40" s="12"/>
      <c r="DG40" s="12"/>
      <c r="DH40" s="11"/>
      <c r="DI40" s="13"/>
      <c r="DJ40" s="11"/>
      <c r="DK40" s="11"/>
      <c r="DL40" s="13"/>
      <c r="DM40" s="11"/>
      <c r="DN40" s="12"/>
      <c r="DO40" s="12"/>
      <c r="DP40" s="11">
        <v>1</v>
      </c>
      <c r="DQ40" s="13">
        <v>194.07</v>
      </c>
      <c r="DR40" s="11">
        <v>2</v>
      </c>
      <c r="DS40" s="11"/>
      <c r="DT40" s="13"/>
      <c r="DU40" s="11"/>
      <c r="DV40" s="12"/>
      <c r="DW40" s="12"/>
      <c r="DX40" s="11"/>
      <c r="DY40" s="13"/>
      <c r="DZ40" s="11"/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>
        <v>2</v>
      </c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>
        <v>2</v>
      </c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>
        <v>1</v>
      </c>
      <c r="GS40" s="13">
        <v>238.14</v>
      </c>
      <c r="GT40" s="11">
        <v>2</v>
      </c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  <c r="LH40" s="11"/>
      <c r="LI40" s="13"/>
      <c r="LJ40" s="11"/>
      <c r="LK40" s="11"/>
      <c r="LL40" s="13"/>
      <c r="LM40" s="11"/>
      <c r="LN40" s="12"/>
      <c r="LO40" s="12"/>
      <c r="LP40" s="11"/>
      <c r="LQ40" s="13"/>
      <c r="LR40" s="11"/>
      <c r="LS40" s="11"/>
      <c r="LT40" s="13"/>
      <c r="LU40" s="11"/>
      <c r="LV40" s="12"/>
      <c r="LW40" s="12"/>
    </row>
    <row r="41">
      <c r="A41" s="10" t="s">
        <v>72</v>
      </c>
      <c r="B41" s="10" t="s">
        <v>99</v>
      </c>
      <c r="C41" s="10" t="s">
        <v>75</v>
      </c>
      <c r="D41" s="11">
        <v>377</v>
      </c>
      <c r="E41" s="11">
        <f>=ROUNDDOWN(19.8421052631579,0)</f>
      </c>
      <c r="F41" s="11">
        <v>500</v>
      </c>
      <c r="G41" s="12">
        <v>0.942</v>
      </c>
      <c r="H41" s="11"/>
      <c r="I41" s="11">
        <f>=ROUNDDOWN({0},0)</f>
      </c>
      <c r="J41" s="11"/>
      <c r="K41" s="12"/>
      <c r="L41" s="11">
        <v>221</v>
      </c>
      <c r="M41" s="13">
        <v>20394.46</v>
      </c>
      <c r="N41" s="11">
        <v>6</v>
      </c>
      <c r="O41" s="14">
        <v>3399.08</v>
      </c>
      <c r="P41" s="11"/>
      <c r="Q41" s="13"/>
      <c r="R41" s="11"/>
      <c r="S41" s="14"/>
      <c r="T41" s="12"/>
      <c r="U41" s="12"/>
      <c r="V41" s="12"/>
      <c r="W41" s="12"/>
      <c r="X41" s="11"/>
      <c r="Y41" s="13"/>
      <c r="Z41" s="11"/>
      <c r="AA41" s="11"/>
      <c r="AB41" s="13"/>
      <c r="AC41" s="11"/>
      <c r="AD41" s="12"/>
      <c r="AE41" s="12"/>
      <c r="AF41" s="11">
        <v>14</v>
      </c>
      <c r="AG41" s="13">
        <v>1082.45</v>
      </c>
      <c r="AH41" s="11">
        <v>6</v>
      </c>
      <c r="AI41" s="11"/>
      <c r="AJ41" s="13"/>
      <c r="AK41" s="11"/>
      <c r="AL41" s="12"/>
      <c r="AM41" s="12"/>
      <c r="AN41" s="11">
        <v>4</v>
      </c>
      <c r="AO41" s="13">
        <v>352.64</v>
      </c>
      <c r="AP41" s="11">
        <v>6</v>
      </c>
      <c r="AQ41" s="11"/>
      <c r="AR41" s="13"/>
      <c r="AS41" s="11"/>
      <c r="AT41" s="12"/>
      <c r="AU41" s="12"/>
      <c r="AV41" s="11"/>
      <c r="AW41" s="13"/>
      <c r="AX41" s="11"/>
      <c r="AY41" s="11"/>
      <c r="AZ41" s="13"/>
      <c r="BA41" s="11"/>
      <c r="BB41" s="12"/>
      <c r="BC41" s="12"/>
      <c r="BD41" s="11">
        <v>20</v>
      </c>
      <c r="BE41" s="13">
        <v>1608.2</v>
      </c>
      <c r="BF41" s="11">
        <v>6</v>
      </c>
      <c r="BG41" s="11"/>
      <c r="BH41" s="13"/>
      <c r="BI41" s="11"/>
      <c r="BJ41" s="12"/>
      <c r="BK41" s="12"/>
      <c r="BL41" s="11">
        <v>9</v>
      </c>
      <c r="BM41" s="13">
        <v>803.32</v>
      </c>
      <c r="BN41" s="11">
        <v>6</v>
      </c>
      <c r="BO41" s="11"/>
      <c r="BP41" s="13"/>
      <c r="BQ41" s="11"/>
      <c r="BR41" s="12"/>
      <c r="BS41" s="12"/>
      <c r="BT41" s="11">
        <v>102</v>
      </c>
      <c r="BU41" s="13">
        <v>9061.93</v>
      </c>
      <c r="BV41" s="11">
        <v>6</v>
      </c>
      <c r="BW41" s="11"/>
      <c r="BX41" s="13"/>
      <c r="BY41" s="11"/>
      <c r="BZ41" s="12"/>
      <c r="CA41" s="12"/>
      <c r="CB41" s="11">
        <v>9</v>
      </c>
      <c r="CC41" s="13">
        <v>822.3</v>
      </c>
      <c r="CD41" s="11">
        <v>6</v>
      </c>
      <c r="CE41" s="11"/>
      <c r="CF41" s="13"/>
      <c r="CG41" s="11"/>
      <c r="CH41" s="12"/>
      <c r="CI41" s="12"/>
      <c r="CJ41" s="11">
        <v>2</v>
      </c>
      <c r="CK41" s="13">
        <v>419.98</v>
      </c>
      <c r="CL41" s="11">
        <v>6</v>
      </c>
      <c r="CM41" s="11"/>
      <c r="CN41" s="13"/>
      <c r="CO41" s="11"/>
      <c r="CP41" s="12"/>
      <c r="CQ41" s="12"/>
      <c r="CR41" s="11"/>
      <c r="CS41" s="13"/>
      <c r="CT41" s="11"/>
      <c r="CU41" s="11"/>
      <c r="CV41" s="13"/>
      <c r="CW41" s="11"/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/>
      <c r="DI41" s="13"/>
      <c r="DJ41" s="11"/>
      <c r="DK41" s="11"/>
      <c r="DL41" s="13"/>
      <c r="DM41" s="11"/>
      <c r="DN41" s="12"/>
      <c r="DO41" s="12"/>
      <c r="DP41" s="11">
        <v>4</v>
      </c>
      <c r="DQ41" s="13">
        <v>321.29</v>
      </c>
      <c r="DR41" s="11">
        <v>6</v>
      </c>
      <c r="DS41" s="11"/>
      <c r="DT41" s="13"/>
      <c r="DU41" s="11"/>
      <c r="DV41" s="12"/>
      <c r="DW41" s="12"/>
      <c r="DX41" s="11"/>
      <c r="DY41" s="13"/>
      <c r="DZ41" s="11"/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>
        <v>6</v>
      </c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/>
      <c r="FU41" s="13"/>
      <c r="FV41" s="11"/>
      <c r="FW41" s="11"/>
      <c r="FX41" s="13"/>
      <c r="FY41" s="11"/>
      <c r="FZ41" s="12"/>
      <c r="GA41" s="12"/>
      <c r="GB41" s="11">
        <v>54</v>
      </c>
      <c r="GC41" s="13">
        <v>5636.81</v>
      </c>
      <c r="GD41" s="11">
        <v>4</v>
      </c>
      <c r="GE41" s="11"/>
      <c r="GF41" s="13"/>
      <c r="GG41" s="11"/>
      <c r="GH41" s="12"/>
      <c r="GI41" s="12"/>
      <c r="GJ41" s="11"/>
      <c r="GK41" s="13"/>
      <c r="GL41" s="11">
        <v>4</v>
      </c>
      <c r="GM41" s="11"/>
      <c r="GN41" s="13"/>
      <c r="GO41" s="11"/>
      <c r="GP41" s="12"/>
      <c r="GQ41" s="12"/>
      <c r="GR41" s="11"/>
      <c r="GS41" s="13"/>
      <c r="GT41" s="11">
        <v>6</v>
      </c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>
        <v>3</v>
      </c>
      <c r="IW41" s="13">
        <v>285.54</v>
      </c>
      <c r="IX41" s="11">
        <v>6</v>
      </c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  <c r="LH41" s="11"/>
      <c r="LI41" s="13"/>
      <c r="LJ41" s="11"/>
      <c r="LK41" s="11"/>
      <c r="LL41" s="13"/>
      <c r="LM41" s="11"/>
      <c r="LN41" s="12"/>
      <c r="LO41" s="12"/>
      <c r="LP41" s="11"/>
      <c r="LQ41" s="13"/>
      <c r="LR41" s="11"/>
      <c r="LS41" s="11"/>
      <c r="LT41" s="13"/>
      <c r="LU41" s="11"/>
      <c r="LV41" s="12"/>
      <c r="LW41" s="12"/>
    </row>
    <row r="42">
      <c r="A42" s="10" t="s">
        <v>72</v>
      </c>
      <c r="B42" s="10" t="s">
        <v>99</v>
      </c>
      <c r="C42" s="10" t="s">
        <v>100</v>
      </c>
      <c r="D42" s="11">
        <v>285</v>
      </c>
      <c r="E42" s="11">
        <f>=ROUNDDOWN(47.5,0)</f>
      </c>
      <c r="F42" s="11"/>
      <c r="G42" s="12">
        <v>1</v>
      </c>
      <c r="H42" s="11"/>
      <c r="I42" s="11">
        <f>=ROUNDDOWN({0},0)</f>
      </c>
      <c r="J42" s="11"/>
      <c r="K42" s="12"/>
      <c r="L42" s="11">
        <v>47</v>
      </c>
      <c r="M42" s="13">
        <v>819.51</v>
      </c>
      <c r="N42" s="11">
        <v>1</v>
      </c>
      <c r="O42" s="14">
        <v>819.51</v>
      </c>
      <c r="P42" s="11"/>
      <c r="Q42" s="13"/>
      <c r="R42" s="11"/>
      <c r="S42" s="14"/>
      <c r="T42" s="12"/>
      <c r="U42" s="12"/>
      <c r="V42" s="12"/>
      <c r="W42" s="12"/>
      <c r="X42" s="11"/>
      <c r="Y42" s="13"/>
      <c r="Z42" s="11"/>
      <c r="AA42" s="11"/>
      <c r="AB42" s="13"/>
      <c r="AC42" s="11"/>
      <c r="AD42" s="12"/>
      <c r="AE42" s="12"/>
      <c r="AF42" s="11">
        <v>19</v>
      </c>
      <c r="AG42" s="13">
        <v>279.52</v>
      </c>
      <c r="AH42" s="11">
        <v>1</v>
      </c>
      <c r="AI42" s="11"/>
      <c r="AJ42" s="13"/>
      <c r="AK42" s="11"/>
      <c r="AL42" s="12"/>
      <c r="AM42" s="12"/>
      <c r="AN42" s="11">
        <v>4</v>
      </c>
      <c r="AO42" s="13">
        <v>69.2</v>
      </c>
      <c r="AP42" s="11">
        <v>1</v>
      </c>
      <c r="AQ42" s="11"/>
      <c r="AR42" s="13"/>
      <c r="AS42" s="11"/>
      <c r="AT42" s="12"/>
      <c r="AU42" s="12"/>
      <c r="AV42" s="11"/>
      <c r="AW42" s="13"/>
      <c r="AX42" s="11"/>
      <c r="AY42" s="11"/>
      <c r="AZ42" s="13"/>
      <c r="BA42" s="11"/>
      <c r="BB42" s="12"/>
      <c r="BC42" s="12"/>
      <c r="BD42" s="11"/>
      <c r="BE42" s="13"/>
      <c r="BF42" s="11"/>
      <c r="BG42" s="11"/>
      <c r="BH42" s="13"/>
      <c r="BI42" s="11"/>
      <c r="BJ42" s="12"/>
      <c r="BK42" s="12"/>
      <c r="BL42" s="11">
        <v>19</v>
      </c>
      <c r="BM42" s="13">
        <v>331.93</v>
      </c>
      <c r="BN42" s="11">
        <v>1</v>
      </c>
      <c r="BO42" s="11"/>
      <c r="BP42" s="13"/>
      <c r="BQ42" s="11"/>
      <c r="BR42" s="12"/>
      <c r="BS42" s="12"/>
      <c r="BT42" s="11"/>
      <c r="BU42" s="13"/>
      <c r="BV42" s="11">
        <v>1</v>
      </c>
      <c r="BW42" s="11"/>
      <c r="BX42" s="13"/>
      <c r="BY42" s="11"/>
      <c r="BZ42" s="12"/>
      <c r="CA42" s="12"/>
      <c r="CB42" s="11">
        <v>3</v>
      </c>
      <c r="CC42" s="13">
        <v>63.66</v>
      </c>
      <c r="CD42" s="11">
        <v>1</v>
      </c>
      <c r="CE42" s="11"/>
      <c r="CF42" s="13"/>
      <c r="CG42" s="11"/>
      <c r="CH42" s="12"/>
      <c r="CI42" s="12"/>
      <c r="CJ42" s="11">
        <v>1</v>
      </c>
      <c r="CK42" s="13">
        <v>54.99</v>
      </c>
      <c r="CL42" s="11">
        <v>1</v>
      </c>
      <c r="CM42" s="11"/>
      <c r="CN42" s="13"/>
      <c r="CO42" s="11"/>
      <c r="CP42" s="12"/>
      <c r="CQ42" s="12"/>
      <c r="CR42" s="11"/>
      <c r="CS42" s="13"/>
      <c r="CT42" s="11"/>
      <c r="CU42" s="11"/>
      <c r="CV42" s="13"/>
      <c r="CW42" s="11"/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/>
      <c r="DI42" s="13"/>
      <c r="DJ42" s="11"/>
      <c r="DK42" s="11"/>
      <c r="DL42" s="13"/>
      <c r="DM42" s="11"/>
      <c r="DN42" s="12"/>
      <c r="DO42" s="12"/>
      <c r="DP42" s="11">
        <v>1</v>
      </c>
      <c r="DQ42" s="13">
        <v>20.21</v>
      </c>
      <c r="DR42" s="11">
        <v>1</v>
      </c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>
        <v>1</v>
      </c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/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>
        <v>1</v>
      </c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  <c r="LH42" s="11"/>
      <c r="LI42" s="13"/>
      <c r="LJ42" s="11"/>
      <c r="LK42" s="11"/>
      <c r="LL42" s="13"/>
      <c r="LM42" s="11"/>
      <c r="LN42" s="12"/>
      <c r="LO42" s="12"/>
      <c r="LP42" s="11"/>
      <c r="LQ42" s="13"/>
      <c r="LR42" s="11"/>
      <c r="LS42" s="11"/>
      <c r="LT42" s="13"/>
      <c r="LU42" s="11"/>
      <c r="LV42" s="12"/>
      <c r="LW42" s="12"/>
    </row>
    <row r="43">
      <c r="A43" s="10" t="s">
        <v>72</v>
      </c>
      <c r="B43" s="10" t="s">
        <v>99</v>
      </c>
      <c r="C43" s="10" t="s">
        <v>101</v>
      </c>
      <c r="D43" s="11">
        <v>90</v>
      </c>
      <c r="E43" s="11">
        <f>=ROUNDDOWN(15,0)</f>
      </c>
      <c r="F43" s="11"/>
      <c r="G43" s="12">
        <v>1</v>
      </c>
      <c r="H43" s="11"/>
      <c r="I43" s="11">
        <f>=ROUNDDOWN({0},0)</f>
      </c>
      <c r="J43" s="11"/>
      <c r="K43" s="12"/>
      <c r="L43" s="11">
        <v>25</v>
      </c>
      <c r="M43" s="13">
        <v>931.71</v>
      </c>
      <c r="N43" s="11">
        <v>2</v>
      </c>
      <c r="O43" s="14">
        <v>465.86</v>
      </c>
      <c r="P43" s="11"/>
      <c r="Q43" s="13"/>
      <c r="R43" s="11"/>
      <c r="S43" s="14"/>
      <c r="T43" s="12"/>
      <c r="U43" s="12"/>
      <c r="V43" s="12"/>
      <c r="W43" s="12"/>
      <c r="X43" s="11"/>
      <c r="Y43" s="13"/>
      <c r="Z43" s="11"/>
      <c r="AA43" s="11"/>
      <c r="AB43" s="13"/>
      <c r="AC43" s="11"/>
      <c r="AD43" s="12"/>
      <c r="AE43" s="12"/>
      <c r="AF43" s="11">
        <v>16</v>
      </c>
      <c r="AG43" s="13">
        <v>530.08</v>
      </c>
      <c r="AH43" s="11">
        <v>2</v>
      </c>
      <c r="AI43" s="11"/>
      <c r="AJ43" s="13"/>
      <c r="AK43" s="11"/>
      <c r="AL43" s="12"/>
      <c r="AM43" s="12"/>
      <c r="AN43" s="11">
        <v>4</v>
      </c>
      <c r="AO43" s="13">
        <v>173.08</v>
      </c>
      <c r="AP43" s="11">
        <v>2</v>
      </c>
      <c r="AQ43" s="11"/>
      <c r="AR43" s="13"/>
      <c r="AS43" s="11"/>
      <c r="AT43" s="12"/>
      <c r="AU43" s="12"/>
      <c r="AV43" s="11"/>
      <c r="AW43" s="13"/>
      <c r="AX43" s="11"/>
      <c r="AY43" s="11"/>
      <c r="AZ43" s="13"/>
      <c r="BA43" s="11"/>
      <c r="BB43" s="12"/>
      <c r="BC43" s="12"/>
      <c r="BD43" s="11"/>
      <c r="BE43" s="13"/>
      <c r="BF43" s="11"/>
      <c r="BG43" s="11"/>
      <c r="BH43" s="13"/>
      <c r="BI43" s="11"/>
      <c r="BJ43" s="12"/>
      <c r="BK43" s="12"/>
      <c r="BL43" s="11">
        <v>2</v>
      </c>
      <c r="BM43" s="13">
        <v>83.86</v>
      </c>
      <c r="BN43" s="11">
        <v>2</v>
      </c>
      <c r="BO43" s="11"/>
      <c r="BP43" s="13"/>
      <c r="BQ43" s="11"/>
      <c r="BR43" s="12"/>
      <c r="BS43" s="12"/>
      <c r="BT43" s="11"/>
      <c r="BU43" s="13"/>
      <c r="BV43" s="11">
        <v>2</v>
      </c>
      <c r="BW43" s="11"/>
      <c r="BX43" s="13"/>
      <c r="BY43" s="11"/>
      <c r="BZ43" s="12"/>
      <c r="CA43" s="12"/>
      <c r="CB43" s="11">
        <v>3</v>
      </c>
      <c r="CC43" s="13">
        <v>144.69</v>
      </c>
      <c r="CD43" s="11">
        <v>1</v>
      </c>
      <c r="CE43" s="11"/>
      <c r="CF43" s="13"/>
      <c r="CG43" s="11"/>
      <c r="CH43" s="12"/>
      <c r="CI43" s="12"/>
      <c r="CJ43" s="11"/>
      <c r="CK43" s="13"/>
      <c r="CL43" s="11">
        <v>2</v>
      </c>
      <c r="CM43" s="11"/>
      <c r="CN43" s="13"/>
      <c r="CO43" s="11"/>
      <c r="CP43" s="12"/>
      <c r="CQ43" s="12"/>
      <c r="CR43" s="11"/>
      <c r="CS43" s="13"/>
      <c r="CT43" s="11"/>
      <c r="CU43" s="11"/>
      <c r="CV43" s="13"/>
      <c r="CW43" s="11"/>
      <c r="CX43" s="12"/>
      <c r="CY43" s="12"/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/>
      <c r="DK43" s="11"/>
      <c r="DL43" s="13"/>
      <c r="DM43" s="11"/>
      <c r="DN43" s="12"/>
      <c r="DO43" s="12"/>
      <c r="DP43" s="11"/>
      <c r="DQ43" s="13"/>
      <c r="DR43" s="11">
        <v>2</v>
      </c>
      <c r="DS43" s="11"/>
      <c r="DT43" s="13"/>
      <c r="DU43" s="11"/>
      <c r="DV43" s="12"/>
      <c r="DW43" s="12"/>
      <c r="DX43" s="11"/>
      <c r="DY43" s="13"/>
      <c r="DZ43" s="11"/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>
        <v>2</v>
      </c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/>
      <c r="GM43" s="11"/>
      <c r="GN43" s="13"/>
      <c r="GO43" s="11"/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  <c r="LH43" s="11"/>
      <c r="LI43" s="13"/>
      <c r="LJ43" s="11"/>
      <c r="LK43" s="11"/>
      <c r="LL43" s="13"/>
      <c r="LM43" s="11"/>
      <c r="LN43" s="12"/>
      <c r="LO43" s="12"/>
      <c r="LP43" s="11"/>
      <c r="LQ43" s="13"/>
      <c r="LR43" s="11"/>
      <c r="LS43" s="11"/>
      <c r="LT43" s="13"/>
      <c r="LU43" s="11"/>
      <c r="LV43" s="12"/>
      <c r="LW43" s="12"/>
    </row>
    <row r="44">
      <c r="A44" s="10" t="s">
        <v>72</v>
      </c>
      <c r="B44" s="10" t="s">
        <v>102</v>
      </c>
      <c r="C44" s="10" t="s">
        <v>77</v>
      </c>
      <c r="D44" s="11">
        <v>849</v>
      </c>
      <c r="E44" s="11">
        <f>=ROUNDDOWN({0},0)</f>
      </c>
      <c r="F44" s="11">
        <v>680</v>
      </c>
      <c r="G44" s="12"/>
      <c r="H44" s="11"/>
      <c r="I44" s="11">
        <f>=ROUNDDOWN({0},0)</f>
      </c>
      <c r="J44" s="11"/>
      <c r="K44" s="12"/>
      <c r="L44" s="11">
        <v>395</v>
      </c>
      <c r="M44" s="13">
        <v>40711</v>
      </c>
      <c r="N44" s="11">
        <v>11</v>
      </c>
      <c r="O44" s="14">
        <v>3701</v>
      </c>
      <c r="P44" s="11"/>
      <c r="Q44" s="13"/>
      <c r="R44" s="11"/>
      <c r="S44" s="14"/>
      <c r="T44" s="12"/>
      <c r="U44" s="12"/>
      <c r="V44" s="12"/>
      <c r="W44" s="12"/>
      <c r="X44" s="11">
        <v>14</v>
      </c>
      <c r="Y44" s="13">
        <v>2978.72</v>
      </c>
      <c r="Z44" s="11">
        <v>2</v>
      </c>
      <c r="AA44" s="11"/>
      <c r="AB44" s="13"/>
      <c r="AC44" s="11"/>
      <c r="AD44" s="12"/>
      <c r="AE44" s="12"/>
      <c r="AF44" s="11">
        <v>92</v>
      </c>
      <c r="AG44" s="13">
        <v>8148.1</v>
      </c>
      <c r="AH44" s="11">
        <v>11</v>
      </c>
      <c r="AI44" s="11"/>
      <c r="AJ44" s="13"/>
      <c r="AK44" s="11"/>
      <c r="AL44" s="12"/>
      <c r="AM44" s="12"/>
      <c r="AN44" s="11">
        <v>15</v>
      </c>
      <c r="AO44" s="13">
        <v>1271.48</v>
      </c>
      <c r="AP44" s="11">
        <v>11</v>
      </c>
      <c r="AQ44" s="11"/>
      <c r="AR44" s="13"/>
      <c r="AS44" s="11"/>
      <c r="AT44" s="12"/>
      <c r="AU44" s="12"/>
      <c r="AV44" s="11"/>
      <c r="AW44" s="13"/>
      <c r="AX44" s="11"/>
      <c r="AY44" s="11"/>
      <c r="AZ44" s="13"/>
      <c r="BA44" s="11"/>
      <c r="BB44" s="12"/>
      <c r="BC44" s="12"/>
      <c r="BD44" s="11">
        <v>20</v>
      </c>
      <c r="BE44" s="13">
        <v>1608.2</v>
      </c>
      <c r="BF44" s="11">
        <v>6</v>
      </c>
      <c r="BG44" s="11"/>
      <c r="BH44" s="13"/>
      <c r="BI44" s="11"/>
      <c r="BJ44" s="12"/>
      <c r="BK44" s="12"/>
      <c r="BL44" s="11">
        <v>54</v>
      </c>
      <c r="BM44" s="13">
        <v>5859.13</v>
      </c>
      <c r="BN44" s="11">
        <v>11</v>
      </c>
      <c r="BO44" s="11"/>
      <c r="BP44" s="13"/>
      <c r="BQ44" s="11"/>
      <c r="BR44" s="12"/>
      <c r="BS44" s="12"/>
      <c r="BT44" s="11">
        <v>108</v>
      </c>
      <c r="BU44" s="13">
        <v>10379.33</v>
      </c>
      <c r="BV44" s="11">
        <v>11</v>
      </c>
      <c r="BW44" s="11"/>
      <c r="BX44" s="13"/>
      <c r="BY44" s="11"/>
      <c r="BZ44" s="12"/>
      <c r="CA44" s="12"/>
      <c r="CB44" s="11">
        <v>25</v>
      </c>
      <c r="CC44" s="13">
        <v>3295.01</v>
      </c>
      <c r="CD44" s="11">
        <v>10</v>
      </c>
      <c r="CE44" s="11"/>
      <c r="CF44" s="13"/>
      <c r="CG44" s="11"/>
      <c r="CH44" s="12"/>
      <c r="CI44" s="12"/>
      <c r="CJ44" s="11">
        <v>3</v>
      </c>
      <c r="CK44" s="13">
        <v>474.97</v>
      </c>
      <c r="CL44" s="11">
        <v>11</v>
      </c>
      <c r="CM44" s="11"/>
      <c r="CN44" s="13"/>
      <c r="CO44" s="11"/>
      <c r="CP44" s="12"/>
      <c r="CQ44" s="12"/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>
        <v>6</v>
      </c>
      <c r="DQ44" s="13">
        <v>535.57</v>
      </c>
      <c r="DR44" s="11">
        <v>11</v>
      </c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>
        <v>11</v>
      </c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>
        <v>2</v>
      </c>
      <c r="FW44" s="11"/>
      <c r="FX44" s="13"/>
      <c r="FY44" s="11"/>
      <c r="FZ44" s="12"/>
      <c r="GA44" s="12"/>
      <c r="GB44" s="11">
        <v>54</v>
      </c>
      <c r="GC44" s="13">
        <v>5636.81</v>
      </c>
      <c r="GD44" s="11">
        <v>4</v>
      </c>
      <c r="GE44" s="11"/>
      <c r="GF44" s="13"/>
      <c r="GG44" s="11"/>
      <c r="GH44" s="12"/>
      <c r="GI44" s="12"/>
      <c r="GJ44" s="11"/>
      <c r="GK44" s="13"/>
      <c r="GL44" s="11">
        <v>4</v>
      </c>
      <c r="GM44" s="11"/>
      <c r="GN44" s="13"/>
      <c r="GO44" s="11"/>
      <c r="GP44" s="12"/>
      <c r="GQ44" s="12"/>
      <c r="GR44" s="11">
        <v>1</v>
      </c>
      <c r="GS44" s="13">
        <v>238.14</v>
      </c>
      <c r="GT44" s="11">
        <v>8</v>
      </c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>
        <v>3</v>
      </c>
      <c r="IW44" s="13">
        <v>285.54</v>
      </c>
      <c r="IX44" s="11">
        <v>6</v>
      </c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>
        <v>1</v>
      </c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  <c r="LH44" s="11"/>
      <c r="LI44" s="13"/>
      <c r="LJ44" s="11"/>
      <c r="LK44" s="11"/>
      <c r="LL44" s="13"/>
      <c r="LM44" s="11"/>
      <c r="LN44" s="12"/>
      <c r="LO44" s="12"/>
      <c r="LP44" s="11"/>
      <c r="LQ44" s="13"/>
      <c r="LR44" s="11"/>
      <c r="LS44" s="11"/>
      <c r="LT44" s="13"/>
      <c r="LU44" s="11"/>
      <c r="LV44" s="12"/>
      <c r="LW44" s="12"/>
    </row>
    <row r="45">
      <c r="A45" s="10" t="s">
        <v>72</v>
      </c>
      <c r="B45" s="10" t="s">
        <v>103</v>
      </c>
      <c r="C45" s="10" t="s">
        <v>92</v>
      </c>
      <c r="D45" s="11">
        <v>743</v>
      </c>
      <c r="E45" s="11">
        <f>=ROUNDDOWN(20.7541899441341,0)</f>
      </c>
      <c r="F45" s="11">
        <v>472</v>
      </c>
      <c r="G45" s="12">
        <v>1</v>
      </c>
      <c r="H45" s="11"/>
      <c r="I45" s="11">
        <f>=ROUNDDOWN({0},0)</f>
      </c>
      <c r="J45" s="11"/>
      <c r="K45" s="12"/>
      <c r="L45" s="11">
        <v>462</v>
      </c>
      <c r="M45" s="13">
        <v>10026.54</v>
      </c>
      <c r="N45" s="11">
        <v>4</v>
      </c>
      <c r="O45" s="14">
        <v>2506.64</v>
      </c>
      <c r="P45" s="11"/>
      <c r="Q45" s="13"/>
      <c r="R45" s="11"/>
      <c r="S45" s="14"/>
      <c r="T45" s="12"/>
      <c r="U45" s="12"/>
      <c r="V45" s="12"/>
      <c r="W45" s="12"/>
      <c r="X45" s="11">
        <v>189</v>
      </c>
      <c r="Y45" s="13">
        <v>3750.85</v>
      </c>
      <c r="Z45" s="11">
        <v>4</v>
      </c>
      <c r="AA45" s="11"/>
      <c r="AB45" s="13"/>
      <c r="AC45" s="11"/>
      <c r="AD45" s="12"/>
      <c r="AE45" s="12"/>
      <c r="AF45" s="11">
        <v>73</v>
      </c>
      <c r="AG45" s="13">
        <v>1446.11</v>
      </c>
      <c r="AH45" s="11">
        <v>4</v>
      </c>
      <c r="AI45" s="11"/>
      <c r="AJ45" s="13"/>
      <c r="AK45" s="11"/>
      <c r="AL45" s="12"/>
      <c r="AM45" s="12"/>
      <c r="AN45" s="11">
        <v>12</v>
      </c>
      <c r="AO45" s="13">
        <v>241.07</v>
      </c>
      <c r="AP45" s="11">
        <v>4</v>
      </c>
      <c r="AQ45" s="11"/>
      <c r="AR45" s="13"/>
      <c r="AS45" s="11"/>
      <c r="AT45" s="12"/>
      <c r="AU45" s="12"/>
      <c r="AV45" s="11"/>
      <c r="AW45" s="13"/>
      <c r="AX45" s="11"/>
      <c r="AY45" s="11"/>
      <c r="AZ45" s="13"/>
      <c r="BA45" s="11"/>
      <c r="BB45" s="12"/>
      <c r="BC45" s="12"/>
      <c r="BD45" s="11">
        <v>26</v>
      </c>
      <c r="BE45" s="13">
        <v>640.08</v>
      </c>
      <c r="BF45" s="11">
        <v>3</v>
      </c>
      <c r="BG45" s="11"/>
      <c r="BH45" s="13"/>
      <c r="BI45" s="11"/>
      <c r="BJ45" s="12"/>
      <c r="BK45" s="12"/>
      <c r="BL45" s="11">
        <v>80</v>
      </c>
      <c r="BM45" s="13">
        <v>1872.88</v>
      </c>
      <c r="BN45" s="11">
        <v>4</v>
      </c>
      <c r="BO45" s="11"/>
      <c r="BP45" s="13"/>
      <c r="BQ45" s="11"/>
      <c r="BR45" s="12"/>
      <c r="BS45" s="12"/>
      <c r="BT45" s="11">
        <v>28</v>
      </c>
      <c r="BU45" s="13">
        <v>624.51</v>
      </c>
      <c r="BV45" s="11">
        <v>4</v>
      </c>
      <c r="BW45" s="11"/>
      <c r="BX45" s="13"/>
      <c r="BY45" s="11"/>
      <c r="BZ45" s="12"/>
      <c r="CA45" s="12"/>
      <c r="CB45" s="11">
        <v>32</v>
      </c>
      <c r="CC45" s="13">
        <v>746</v>
      </c>
      <c r="CD45" s="11">
        <v>2</v>
      </c>
      <c r="CE45" s="11"/>
      <c r="CF45" s="13"/>
      <c r="CG45" s="11"/>
      <c r="CH45" s="12"/>
      <c r="CI45" s="12"/>
      <c r="CJ45" s="11">
        <v>11</v>
      </c>
      <c r="CK45" s="13">
        <v>479.89</v>
      </c>
      <c r="CL45" s="11">
        <v>4</v>
      </c>
      <c r="CM45" s="11"/>
      <c r="CN45" s="13"/>
      <c r="CO45" s="11"/>
      <c r="CP45" s="12"/>
      <c r="CQ45" s="12"/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>
        <v>2</v>
      </c>
      <c r="DQ45" s="13">
        <v>47.4</v>
      </c>
      <c r="DR45" s="11">
        <v>4</v>
      </c>
      <c r="DS45" s="11"/>
      <c r="DT45" s="13"/>
      <c r="DU45" s="11"/>
      <c r="DV45" s="12"/>
      <c r="DW45" s="12"/>
      <c r="DX45" s="11">
        <v>9</v>
      </c>
      <c r="DY45" s="13">
        <v>177.75</v>
      </c>
      <c r="DZ45" s="11">
        <v>4</v>
      </c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>
        <v>4</v>
      </c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/>
      <c r="GS45" s="13"/>
      <c r="GT45" s="11">
        <v>4</v>
      </c>
      <c r="GU45" s="11"/>
      <c r="GV45" s="13"/>
      <c r="GW45" s="11"/>
      <c r="GX45" s="12"/>
      <c r="GY45" s="12"/>
      <c r="GZ45" s="11"/>
      <c r="HA45" s="13"/>
      <c r="HB45" s="11">
        <v>1</v>
      </c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>
        <v>4</v>
      </c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>
        <v>4</v>
      </c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  <c r="LH45" s="11"/>
      <c r="LI45" s="13"/>
      <c r="LJ45" s="11"/>
      <c r="LK45" s="11"/>
      <c r="LL45" s="13"/>
      <c r="LM45" s="11"/>
      <c r="LN45" s="12"/>
      <c r="LO45" s="12"/>
      <c r="LP45" s="11"/>
      <c r="LQ45" s="13"/>
      <c r="LR45" s="11"/>
      <c r="LS45" s="11"/>
      <c r="LT45" s="13"/>
      <c r="LU45" s="11"/>
      <c r="LV45" s="12"/>
      <c r="LW45" s="12"/>
    </row>
    <row r="46">
      <c r="A46" s="10" t="s">
        <v>72</v>
      </c>
      <c r="B46" s="10" t="s">
        <v>103</v>
      </c>
      <c r="C46" s="10" t="s">
        <v>74</v>
      </c>
      <c r="D46" s="11">
        <v>8055</v>
      </c>
      <c r="E46" s="11">
        <f>=ROUNDDOWN(30.0784167289022,0)</f>
      </c>
      <c r="F46" s="11">
        <v>1027</v>
      </c>
      <c r="G46" s="12">
        <v>0.9371</v>
      </c>
      <c r="H46" s="11"/>
      <c r="I46" s="11">
        <f>=ROUNDDOWN({0},0)</f>
      </c>
      <c r="J46" s="11"/>
      <c r="K46" s="12"/>
      <c r="L46" s="11">
        <v>2596</v>
      </c>
      <c r="M46" s="13">
        <v>298333.34</v>
      </c>
      <c r="N46" s="11">
        <v>59</v>
      </c>
      <c r="O46" s="14">
        <v>5056.5</v>
      </c>
      <c r="P46" s="11"/>
      <c r="Q46" s="13"/>
      <c r="R46" s="11"/>
      <c r="S46" s="14"/>
      <c r="T46" s="12"/>
      <c r="U46" s="12"/>
      <c r="V46" s="12"/>
      <c r="W46" s="12"/>
      <c r="X46" s="11">
        <v>472</v>
      </c>
      <c r="Y46" s="13">
        <v>56542.12</v>
      </c>
      <c r="Z46" s="11">
        <v>57</v>
      </c>
      <c r="AA46" s="11"/>
      <c r="AB46" s="13"/>
      <c r="AC46" s="11"/>
      <c r="AD46" s="12"/>
      <c r="AE46" s="12"/>
      <c r="AF46" s="11">
        <v>495</v>
      </c>
      <c r="AG46" s="13">
        <v>46536.26</v>
      </c>
      <c r="AH46" s="11">
        <v>59</v>
      </c>
      <c r="AI46" s="11"/>
      <c r="AJ46" s="13"/>
      <c r="AK46" s="11"/>
      <c r="AL46" s="12"/>
      <c r="AM46" s="12"/>
      <c r="AN46" s="11">
        <v>278</v>
      </c>
      <c r="AO46" s="13">
        <v>32888.69</v>
      </c>
      <c r="AP46" s="11">
        <v>59</v>
      </c>
      <c r="AQ46" s="11"/>
      <c r="AR46" s="13"/>
      <c r="AS46" s="11"/>
      <c r="AT46" s="12"/>
      <c r="AU46" s="12"/>
      <c r="AV46" s="11"/>
      <c r="AW46" s="13"/>
      <c r="AX46" s="11"/>
      <c r="AY46" s="11"/>
      <c r="AZ46" s="13"/>
      <c r="BA46" s="11"/>
      <c r="BB46" s="12"/>
      <c r="BC46" s="12"/>
      <c r="BD46" s="11">
        <v>209</v>
      </c>
      <c r="BE46" s="13">
        <v>23596.55</v>
      </c>
      <c r="BF46" s="11">
        <v>59</v>
      </c>
      <c r="BG46" s="11"/>
      <c r="BH46" s="13"/>
      <c r="BI46" s="11"/>
      <c r="BJ46" s="12"/>
      <c r="BK46" s="12"/>
      <c r="BL46" s="11">
        <v>441</v>
      </c>
      <c r="BM46" s="13">
        <v>53080.99</v>
      </c>
      <c r="BN46" s="11">
        <v>59</v>
      </c>
      <c r="BO46" s="11"/>
      <c r="BP46" s="13"/>
      <c r="BQ46" s="11"/>
      <c r="BR46" s="12"/>
      <c r="BS46" s="12"/>
      <c r="BT46" s="11">
        <v>445</v>
      </c>
      <c r="BU46" s="13">
        <v>54039.89</v>
      </c>
      <c r="BV46" s="11">
        <v>59</v>
      </c>
      <c r="BW46" s="11"/>
      <c r="BX46" s="13"/>
      <c r="BY46" s="11"/>
      <c r="BZ46" s="12"/>
      <c r="CA46" s="12"/>
      <c r="CB46" s="11">
        <v>149</v>
      </c>
      <c r="CC46" s="13">
        <v>17222.7</v>
      </c>
      <c r="CD46" s="11">
        <v>48</v>
      </c>
      <c r="CE46" s="11"/>
      <c r="CF46" s="13"/>
      <c r="CG46" s="11"/>
      <c r="CH46" s="12"/>
      <c r="CI46" s="12"/>
      <c r="CJ46" s="11">
        <v>18</v>
      </c>
      <c r="CK46" s="13">
        <v>3852.02</v>
      </c>
      <c r="CL46" s="11">
        <v>59</v>
      </c>
      <c r="CM46" s="11"/>
      <c r="CN46" s="13"/>
      <c r="CO46" s="11"/>
      <c r="CP46" s="12"/>
      <c r="CQ46" s="12"/>
      <c r="CR46" s="11"/>
      <c r="CS46" s="13"/>
      <c r="CT46" s="11"/>
      <c r="CU46" s="11"/>
      <c r="CV46" s="13"/>
      <c r="CW46" s="11"/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>
        <v>1</v>
      </c>
      <c r="DI46" s="13">
        <v>81.65</v>
      </c>
      <c r="DJ46" s="11">
        <v>5</v>
      </c>
      <c r="DK46" s="11"/>
      <c r="DL46" s="13"/>
      <c r="DM46" s="11"/>
      <c r="DN46" s="12"/>
      <c r="DO46" s="12"/>
      <c r="DP46" s="11">
        <v>37</v>
      </c>
      <c r="DQ46" s="13">
        <v>4255.15</v>
      </c>
      <c r="DR46" s="11">
        <v>58</v>
      </c>
      <c r="DS46" s="11"/>
      <c r="DT46" s="13"/>
      <c r="DU46" s="11"/>
      <c r="DV46" s="12"/>
      <c r="DW46" s="12"/>
      <c r="DX46" s="11">
        <v>23</v>
      </c>
      <c r="DY46" s="13">
        <v>2608.21</v>
      </c>
      <c r="DZ46" s="11">
        <v>37</v>
      </c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>
        <v>2</v>
      </c>
      <c r="EO46" s="13">
        <v>433.18</v>
      </c>
      <c r="EP46" s="11">
        <v>59</v>
      </c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>
        <v>5</v>
      </c>
      <c r="FU46" s="13">
        <v>584.23</v>
      </c>
      <c r="FV46" s="11">
        <v>48</v>
      </c>
      <c r="FW46" s="11"/>
      <c r="FX46" s="13"/>
      <c r="FY46" s="11"/>
      <c r="FZ46" s="12"/>
      <c r="GA46" s="12"/>
      <c r="GB46" s="11">
        <v>5</v>
      </c>
      <c r="GC46" s="13">
        <v>695.97</v>
      </c>
      <c r="GD46" s="11">
        <v>10</v>
      </c>
      <c r="GE46" s="11"/>
      <c r="GF46" s="13"/>
      <c r="GG46" s="11"/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>
        <v>3</v>
      </c>
      <c r="GS46" s="13">
        <v>402.57</v>
      </c>
      <c r="GT46" s="11">
        <v>35</v>
      </c>
      <c r="GU46" s="11"/>
      <c r="GV46" s="13"/>
      <c r="GW46" s="11"/>
      <c r="GX46" s="12"/>
      <c r="GY46" s="12"/>
      <c r="GZ46" s="11">
        <v>5</v>
      </c>
      <c r="HA46" s="13">
        <v>608.69</v>
      </c>
      <c r="HB46" s="11">
        <v>17</v>
      </c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>
        <v>8</v>
      </c>
      <c r="IW46" s="13">
        <v>904.47</v>
      </c>
      <c r="IX46" s="11">
        <v>40</v>
      </c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  <c r="LH46" s="11"/>
      <c r="LI46" s="13"/>
      <c r="LJ46" s="11"/>
      <c r="LK46" s="11"/>
      <c r="LL46" s="13"/>
      <c r="LM46" s="11"/>
      <c r="LN46" s="12"/>
      <c r="LO46" s="12"/>
      <c r="LP46" s="11"/>
      <c r="LQ46" s="13"/>
      <c r="LR46" s="11"/>
      <c r="LS46" s="11"/>
      <c r="LT46" s="13"/>
      <c r="LU46" s="11"/>
      <c r="LV46" s="12"/>
      <c r="LW46" s="12"/>
    </row>
    <row r="47">
      <c r="A47" s="10" t="s">
        <v>72</v>
      </c>
      <c r="B47" s="10" t="s">
        <v>103</v>
      </c>
      <c r="C47" s="10" t="s">
        <v>75</v>
      </c>
      <c r="D47" s="11">
        <v>720</v>
      </c>
      <c r="E47" s="11">
        <f>=ROUNDDOWN(23.3009708737864,0)</f>
      </c>
      <c r="F47" s="11">
        <v>500</v>
      </c>
      <c r="G47" s="12">
        <v>1</v>
      </c>
      <c r="H47" s="11"/>
      <c r="I47" s="11">
        <f>=ROUNDDOWN({0},0)</f>
      </c>
      <c r="J47" s="11"/>
      <c r="K47" s="12"/>
      <c r="L47" s="11">
        <v>414</v>
      </c>
      <c r="M47" s="13">
        <v>37161.71</v>
      </c>
      <c r="N47" s="11">
        <v>4</v>
      </c>
      <c r="O47" s="14">
        <v>9290.43</v>
      </c>
      <c r="P47" s="11"/>
      <c r="Q47" s="13"/>
      <c r="R47" s="11"/>
      <c r="S47" s="14"/>
      <c r="T47" s="12"/>
      <c r="U47" s="12"/>
      <c r="V47" s="12"/>
      <c r="W47" s="12"/>
      <c r="X47" s="11">
        <v>184</v>
      </c>
      <c r="Y47" s="13">
        <v>17520.42</v>
      </c>
      <c r="Z47" s="11">
        <v>4</v>
      </c>
      <c r="AA47" s="11"/>
      <c r="AB47" s="13"/>
      <c r="AC47" s="11"/>
      <c r="AD47" s="12"/>
      <c r="AE47" s="12"/>
      <c r="AF47" s="11">
        <v>53</v>
      </c>
      <c r="AG47" s="13">
        <v>3936.26</v>
      </c>
      <c r="AH47" s="11">
        <v>4</v>
      </c>
      <c r="AI47" s="11"/>
      <c r="AJ47" s="13"/>
      <c r="AK47" s="11"/>
      <c r="AL47" s="12"/>
      <c r="AM47" s="12"/>
      <c r="AN47" s="11">
        <v>17</v>
      </c>
      <c r="AO47" s="13">
        <v>1492.43</v>
      </c>
      <c r="AP47" s="11">
        <v>4</v>
      </c>
      <c r="AQ47" s="11"/>
      <c r="AR47" s="13"/>
      <c r="AS47" s="11"/>
      <c r="AT47" s="12"/>
      <c r="AU47" s="12"/>
      <c r="AV47" s="11"/>
      <c r="AW47" s="13"/>
      <c r="AX47" s="11"/>
      <c r="AY47" s="11"/>
      <c r="AZ47" s="13"/>
      <c r="BA47" s="11"/>
      <c r="BB47" s="12"/>
      <c r="BC47" s="12"/>
      <c r="BD47" s="11">
        <v>38</v>
      </c>
      <c r="BE47" s="13">
        <v>3347.5</v>
      </c>
      <c r="BF47" s="11">
        <v>4</v>
      </c>
      <c r="BG47" s="11"/>
      <c r="BH47" s="13"/>
      <c r="BI47" s="11"/>
      <c r="BJ47" s="12"/>
      <c r="BK47" s="12"/>
      <c r="BL47" s="11">
        <v>23</v>
      </c>
      <c r="BM47" s="13">
        <v>2175.11</v>
      </c>
      <c r="BN47" s="11">
        <v>4</v>
      </c>
      <c r="BO47" s="11"/>
      <c r="BP47" s="13"/>
      <c r="BQ47" s="11"/>
      <c r="BR47" s="12"/>
      <c r="BS47" s="12"/>
      <c r="BT47" s="11">
        <v>52</v>
      </c>
      <c r="BU47" s="13">
        <v>4422.46</v>
      </c>
      <c r="BV47" s="11">
        <v>4</v>
      </c>
      <c r="BW47" s="11"/>
      <c r="BX47" s="13"/>
      <c r="BY47" s="11"/>
      <c r="BZ47" s="12"/>
      <c r="CA47" s="12"/>
      <c r="CB47" s="11">
        <v>31</v>
      </c>
      <c r="CC47" s="13">
        <v>2717.67</v>
      </c>
      <c r="CD47" s="11">
        <v>4</v>
      </c>
      <c r="CE47" s="11"/>
      <c r="CF47" s="13"/>
      <c r="CG47" s="11"/>
      <c r="CH47" s="12"/>
      <c r="CI47" s="12"/>
      <c r="CJ47" s="11">
        <v>1</v>
      </c>
      <c r="CK47" s="13">
        <v>202.99</v>
      </c>
      <c r="CL47" s="11">
        <v>4</v>
      </c>
      <c r="CM47" s="11"/>
      <c r="CN47" s="13"/>
      <c r="CO47" s="11"/>
      <c r="CP47" s="12"/>
      <c r="CQ47" s="12"/>
      <c r="CR47" s="11"/>
      <c r="CS47" s="13"/>
      <c r="CT47" s="11"/>
      <c r="CU47" s="11"/>
      <c r="CV47" s="13"/>
      <c r="CW47" s="11"/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>
        <v>9</v>
      </c>
      <c r="DQ47" s="13">
        <v>810.33</v>
      </c>
      <c r="DR47" s="11">
        <v>2</v>
      </c>
      <c r="DS47" s="11"/>
      <c r="DT47" s="13"/>
      <c r="DU47" s="11"/>
      <c r="DV47" s="12"/>
      <c r="DW47" s="12"/>
      <c r="DX47" s="11">
        <v>4</v>
      </c>
      <c r="DY47" s="13">
        <v>358.04</v>
      </c>
      <c r="DZ47" s="11">
        <v>2</v>
      </c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>
        <v>4</v>
      </c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>
        <v>2</v>
      </c>
      <c r="FU47" s="13">
        <v>178.5</v>
      </c>
      <c r="FV47" s="11">
        <v>2</v>
      </c>
      <c r="FW47" s="11"/>
      <c r="FX47" s="13"/>
      <c r="FY47" s="11"/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>
        <v>1</v>
      </c>
      <c r="GU47" s="11"/>
      <c r="GV47" s="13"/>
      <c r="GW47" s="11"/>
      <c r="GX47" s="12"/>
      <c r="GY47" s="12"/>
      <c r="GZ47" s="11"/>
      <c r="HA47" s="13"/>
      <c r="HB47" s="11">
        <v>2</v>
      </c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>
        <v>2</v>
      </c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  <c r="LH47" s="11"/>
      <c r="LI47" s="13"/>
      <c r="LJ47" s="11"/>
      <c r="LK47" s="11"/>
      <c r="LL47" s="13"/>
      <c r="LM47" s="11"/>
      <c r="LN47" s="12"/>
      <c r="LO47" s="12"/>
      <c r="LP47" s="11"/>
      <c r="LQ47" s="13"/>
      <c r="LR47" s="11"/>
      <c r="LS47" s="11"/>
      <c r="LT47" s="13"/>
      <c r="LU47" s="11"/>
      <c r="LV47" s="12"/>
      <c r="LW47" s="12"/>
    </row>
    <row r="48">
      <c r="A48" s="10" t="s">
        <v>72</v>
      </c>
      <c r="B48" s="10" t="s">
        <v>103</v>
      </c>
      <c r="C48" s="10" t="s">
        <v>83</v>
      </c>
      <c r="D48" s="11">
        <v>2703</v>
      </c>
      <c r="E48" s="11">
        <f>=ROUNDDOWN(29.2216216216216,0)</f>
      </c>
      <c r="F48" s="11">
        <v>254</v>
      </c>
      <c r="G48" s="12">
        <v>1</v>
      </c>
      <c r="H48" s="11"/>
      <c r="I48" s="11">
        <f>=ROUNDDOWN({0},0)</f>
      </c>
      <c r="J48" s="11"/>
      <c r="K48" s="12"/>
      <c r="L48" s="11">
        <v>861</v>
      </c>
      <c r="M48" s="13">
        <v>76367.63</v>
      </c>
      <c r="N48" s="11">
        <v>31</v>
      </c>
      <c r="O48" s="14">
        <v>2463.47</v>
      </c>
      <c r="P48" s="11"/>
      <c r="Q48" s="13"/>
      <c r="R48" s="11"/>
      <c r="S48" s="14"/>
      <c r="T48" s="12"/>
      <c r="U48" s="12"/>
      <c r="V48" s="12"/>
      <c r="W48" s="12"/>
      <c r="X48" s="11">
        <v>218</v>
      </c>
      <c r="Y48" s="13">
        <v>19498.38</v>
      </c>
      <c r="Z48" s="11">
        <v>27</v>
      </c>
      <c r="AA48" s="11"/>
      <c r="AB48" s="13"/>
      <c r="AC48" s="11"/>
      <c r="AD48" s="12"/>
      <c r="AE48" s="12"/>
      <c r="AF48" s="11">
        <v>174</v>
      </c>
      <c r="AG48" s="13">
        <v>13318.56</v>
      </c>
      <c r="AH48" s="11">
        <v>31</v>
      </c>
      <c r="AI48" s="11"/>
      <c r="AJ48" s="13"/>
      <c r="AK48" s="11"/>
      <c r="AL48" s="12"/>
      <c r="AM48" s="12"/>
      <c r="AN48" s="11">
        <v>54</v>
      </c>
      <c r="AO48" s="13">
        <v>4502.54</v>
      </c>
      <c r="AP48" s="11">
        <v>31</v>
      </c>
      <c r="AQ48" s="11"/>
      <c r="AR48" s="13"/>
      <c r="AS48" s="11"/>
      <c r="AT48" s="12"/>
      <c r="AU48" s="12"/>
      <c r="AV48" s="11"/>
      <c r="AW48" s="13"/>
      <c r="AX48" s="11"/>
      <c r="AY48" s="11"/>
      <c r="AZ48" s="13"/>
      <c r="BA48" s="11"/>
      <c r="BB48" s="12"/>
      <c r="BC48" s="12"/>
      <c r="BD48" s="11">
        <v>114</v>
      </c>
      <c r="BE48" s="13">
        <v>10157.67</v>
      </c>
      <c r="BF48" s="11">
        <v>29</v>
      </c>
      <c r="BG48" s="11"/>
      <c r="BH48" s="13"/>
      <c r="BI48" s="11"/>
      <c r="BJ48" s="12"/>
      <c r="BK48" s="12"/>
      <c r="BL48" s="11">
        <v>113</v>
      </c>
      <c r="BM48" s="13">
        <v>10520.3</v>
      </c>
      <c r="BN48" s="11">
        <v>31</v>
      </c>
      <c r="BO48" s="11"/>
      <c r="BP48" s="13"/>
      <c r="BQ48" s="11"/>
      <c r="BR48" s="12"/>
      <c r="BS48" s="12"/>
      <c r="BT48" s="11">
        <v>106</v>
      </c>
      <c r="BU48" s="13">
        <v>10078.69</v>
      </c>
      <c r="BV48" s="11">
        <v>31</v>
      </c>
      <c r="BW48" s="11"/>
      <c r="BX48" s="13"/>
      <c r="BY48" s="11"/>
      <c r="BZ48" s="12"/>
      <c r="CA48" s="12"/>
      <c r="CB48" s="11">
        <v>37</v>
      </c>
      <c r="CC48" s="13">
        <v>3600.94</v>
      </c>
      <c r="CD48" s="11">
        <v>18</v>
      </c>
      <c r="CE48" s="11"/>
      <c r="CF48" s="13"/>
      <c r="CG48" s="11"/>
      <c r="CH48" s="12"/>
      <c r="CI48" s="12"/>
      <c r="CJ48" s="11">
        <v>20</v>
      </c>
      <c r="CK48" s="13">
        <v>2577.34</v>
      </c>
      <c r="CL48" s="11">
        <v>31</v>
      </c>
      <c r="CM48" s="11"/>
      <c r="CN48" s="13"/>
      <c r="CO48" s="11"/>
      <c r="CP48" s="12"/>
      <c r="CQ48" s="12"/>
      <c r="CR48" s="11"/>
      <c r="CS48" s="13"/>
      <c r="CT48" s="11"/>
      <c r="CU48" s="11"/>
      <c r="CV48" s="13"/>
      <c r="CW48" s="11"/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/>
      <c r="DI48" s="13"/>
      <c r="DJ48" s="11">
        <v>4</v>
      </c>
      <c r="DK48" s="11"/>
      <c r="DL48" s="13"/>
      <c r="DM48" s="11"/>
      <c r="DN48" s="12"/>
      <c r="DO48" s="12"/>
      <c r="DP48" s="11">
        <v>13</v>
      </c>
      <c r="DQ48" s="13">
        <v>1102.94</v>
      </c>
      <c r="DR48" s="11">
        <v>29</v>
      </c>
      <c r="DS48" s="11"/>
      <c r="DT48" s="13"/>
      <c r="DU48" s="11"/>
      <c r="DV48" s="12"/>
      <c r="DW48" s="12"/>
      <c r="DX48" s="11">
        <v>10</v>
      </c>
      <c r="DY48" s="13">
        <v>851.1</v>
      </c>
      <c r="DZ48" s="11">
        <v>17</v>
      </c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/>
      <c r="EO48" s="13"/>
      <c r="EP48" s="11">
        <v>31</v>
      </c>
      <c r="EQ48" s="11"/>
      <c r="ER48" s="13"/>
      <c r="ES48" s="11"/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/>
      <c r="FU48" s="13"/>
      <c r="FV48" s="11">
        <v>11</v>
      </c>
      <c r="FW48" s="11"/>
      <c r="FX48" s="13"/>
      <c r="FY48" s="11"/>
      <c r="FZ48" s="12"/>
      <c r="GA48" s="12"/>
      <c r="GB48" s="11"/>
      <c r="GC48" s="13"/>
      <c r="GD48" s="11">
        <v>4</v>
      </c>
      <c r="GE48" s="11"/>
      <c r="GF48" s="13"/>
      <c r="GG48" s="11"/>
      <c r="GH48" s="12"/>
      <c r="GI48" s="12"/>
      <c r="GJ48" s="11"/>
      <c r="GK48" s="13"/>
      <c r="GL48" s="11"/>
      <c r="GM48" s="11"/>
      <c r="GN48" s="13"/>
      <c r="GO48" s="11"/>
      <c r="GP48" s="12"/>
      <c r="GQ48" s="12"/>
      <c r="GR48" s="11"/>
      <c r="GS48" s="13"/>
      <c r="GT48" s="11">
        <v>15</v>
      </c>
      <c r="GU48" s="11"/>
      <c r="GV48" s="13"/>
      <c r="GW48" s="11"/>
      <c r="GX48" s="12"/>
      <c r="GY48" s="12"/>
      <c r="GZ48" s="11"/>
      <c r="HA48" s="13"/>
      <c r="HB48" s="11">
        <v>1</v>
      </c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>
        <v>2</v>
      </c>
      <c r="IW48" s="13">
        <v>159.17</v>
      </c>
      <c r="IX48" s="11">
        <v>23</v>
      </c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  <c r="LH48" s="11"/>
      <c r="LI48" s="13"/>
      <c r="LJ48" s="11"/>
      <c r="LK48" s="11"/>
      <c r="LL48" s="13"/>
      <c r="LM48" s="11"/>
      <c r="LN48" s="12"/>
      <c r="LO48" s="12"/>
      <c r="LP48" s="11"/>
      <c r="LQ48" s="13"/>
      <c r="LR48" s="11"/>
      <c r="LS48" s="11"/>
      <c r="LT48" s="13"/>
      <c r="LU48" s="11"/>
      <c r="LV48" s="12"/>
      <c r="LW48" s="12"/>
    </row>
    <row r="49">
      <c r="A49" s="10" t="s">
        <v>72</v>
      </c>
      <c r="B49" s="10" t="s">
        <v>103</v>
      </c>
      <c r="C49" s="10" t="s">
        <v>93</v>
      </c>
      <c r="D49" s="11">
        <v>3084</v>
      </c>
      <c r="E49" s="11">
        <f>=ROUNDDOWN(32.2257053291536,0)</f>
      </c>
      <c r="F49" s="11">
        <v>860</v>
      </c>
      <c r="G49" s="12">
        <v>1</v>
      </c>
      <c r="H49" s="11"/>
      <c r="I49" s="11">
        <f>=ROUNDDOWN({0},0)</f>
      </c>
      <c r="J49" s="11"/>
      <c r="K49" s="12"/>
      <c r="L49" s="11">
        <v>1089</v>
      </c>
      <c r="M49" s="13">
        <v>22362.32</v>
      </c>
      <c r="N49" s="11">
        <v>15</v>
      </c>
      <c r="O49" s="14">
        <v>1490.82</v>
      </c>
      <c r="P49" s="11"/>
      <c r="Q49" s="13"/>
      <c r="R49" s="11"/>
      <c r="S49" s="14"/>
      <c r="T49" s="12"/>
      <c r="U49" s="12"/>
      <c r="V49" s="12"/>
      <c r="W49" s="12"/>
      <c r="X49" s="11">
        <v>248</v>
      </c>
      <c r="Y49" s="13">
        <v>5413.23</v>
      </c>
      <c r="Z49" s="11">
        <v>13</v>
      </c>
      <c r="AA49" s="11"/>
      <c r="AB49" s="13"/>
      <c r="AC49" s="11"/>
      <c r="AD49" s="12"/>
      <c r="AE49" s="12"/>
      <c r="AF49" s="11">
        <v>261</v>
      </c>
      <c r="AG49" s="13">
        <v>4893.13</v>
      </c>
      <c r="AH49" s="11">
        <v>15</v>
      </c>
      <c r="AI49" s="11"/>
      <c r="AJ49" s="13"/>
      <c r="AK49" s="11"/>
      <c r="AL49" s="12"/>
      <c r="AM49" s="12"/>
      <c r="AN49" s="11">
        <v>51</v>
      </c>
      <c r="AO49" s="13">
        <v>943.78</v>
      </c>
      <c r="AP49" s="11">
        <v>14</v>
      </c>
      <c r="AQ49" s="11"/>
      <c r="AR49" s="13"/>
      <c r="AS49" s="11"/>
      <c r="AT49" s="12"/>
      <c r="AU49" s="12"/>
      <c r="AV49" s="11"/>
      <c r="AW49" s="13"/>
      <c r="AX49" s="11"/>
      <c r="AY49" s="11"/>
      <c r="AZ49" s="13"/>
      <c r="BA49" s="11"/>
      <c r="BB49" s="12"/>
      <c r="BC49" s="12"/>
      <c r="BD49" s="11">
        <v>112</v>
      </c>
      <c r="BE49" s="13">
        <v>2125.99</v>
      </c>
      <c r="BF49" s="11">
        <v>14</v>
      </c>
      <c r="BG49" s="11"/>
      <c r="BH49" s="13"/>
      <c r="BI49" s="11"/>
      <c r="BJ49" s="12"/>
      <c r="BK49" s="12"/>
      <c r="BL49" s="11">
        <v>193</v>
      </c>
      <c r="BM49" s="13">
        <v>4031.41</v>
      </c>
      <c r="BN49" s="11">
        <v>15</v>
      </c>
      <c r="BO49" s="11"/>
      <c r="BP49" s="13"/>
      <c r="BQ49" s="11"/>
      <c r="BR49" s="12"/>
      <c r="BS49" s="12"/>
      <c r="BT49" s="11">
        <v>85</v>
      </c>
      <c r="BU49" s="13">
        <v>1717.79</v>
      </c>
      <c r="BV49" s="11">
        <v>15</v>
      </c>
      <c r="BW49" s="11"/>
      <c r="BX49" s="13"/>
      <c r="BY49" s="11"/>
      <c r="BZ49" s="12"/>
      <c r="CA49" s="12"/>
      <c r="CB49" s="11">
        <v>71</v>
      </c>
      <c r="CC49" s="13">
        <v>1550.63</v>
      </c>
      <c r="CD49" s="11">
        <v>9</v>
      </c>
      <c r="CE49" s="11"/>
      <c r="CF49" s="13"/>
      <c r="CG49" s="11"/>
      <c r="CH49" s="12"/>
      <c r="CI49" s="12"/>
      <c r="CJ49" s="11">
        <v>10</v>
      </c>
      <c r="CK49" s="13">
        <v>528.9</v>
      </c>
      <c r="CL49" s="11">
        <v>15</v>
      </c>
      <c r="CM49" s="11"/>
      <c r="CN49" s="13"/>
      <c r="CO49" s="11"/>
      <c r="CP49" s="12"/>
      <c r="CQ49" s="12"/>
      <c r="CR49" s="11"/>
      <c r="CS49" s="13"/>
      <c r="CT49" s="11"/>
      <c r="CU49" s="11"/>
      <c r="CV49" s="13"/>
      <c r="CW49" s="11"/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>
        <v>11</v>
      </c>
      <c r="DQ49" s="13">
        <v>182.22</v>
      </c>
      <c r="DR49" s="11">
        <v>15</v>
      </c>
      <c r="DS49" s="11"/>
      <c r="DT49" s="13"/>
      <c r="DU49" s="11"/>
      <c r="DV49" s="12"/>
      <c r="DW49" s="12"/>
      <c r="DX49" s="11">
        <v>32</v>
      </c>
      <c r="DY49" s="13">
        <v>638.83</v>
      </c>
      <c r="DZ49" s="11">
        <v>11</v>
      </c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>
        <v>2</v>
      </c>
      <c r="EO49" s="13">
        <v>79.18</v>
      </c>
      <c r="EP49" s="11">
        <v>15</v>
      </c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>
        <v>5</v>
      </c>
      <c r="FU49" s="13">
        <v>100.44</v>
      </c>
      <c r="FV49" s="11">
        <v>5</v>
      </c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>
        <v>6</v>
      </c>
      <c r="GU49" s="11"/>
      <c r="GV49" s="13"/>
      <c r="GW49" s="11"/>
      <c r="GX49" s="12"/>
      <c r="GY49" s="12"/>
      <c r="GZ49" s="11"/>
      <c r="HA49" s="13"/>
      <c r="HB49" s="11">
        <v>6</v>
      </c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>
        <v>8</v>
      </c>
      <c r="IW49" s="13">
        <v>156.79</v>
      </c>
      <c r="IX49" s="11">
        <v>14</v>
      </c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>
        <v>14</v>
      </c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  <c r="LH49" s="11"/>
      <c r="LI49" s="13"/>
      <c r="LJ49" s="11"/>
      <c r="LK49" s="11"/>
      <c r="LL49" s="13"/>
      <c r="LM49" s="11"/>
      <c r="LN49" s="12"/>
      <c r="LO49" s="12"/>
      <c r="LP49" s="11"/>
      <c r="LQ49" s="13"/>
      <c r="LR49" s="11"/>
      <c r="LS49" s="11"/>
      <c r="LT49" s="13"/>
      <c r="LU49" s="11"/>
      <c r="LV49" s="12"/>
      <c r="LW49" s="12"/>
    </row>
    <row r="50">
      <c r="A50" s="10" t="s">
        <v>72</v>
      </c>
      <c r="B50" s="10" t="s">
        <v>104</v>
      </c>
      <c r="C50" s="10" t="s">
        <v>77</v>
      </c>
      <c r="D50" s="11">
        <v>15305</v>
      </c>
      <c r="E50" s="11">
        <f>=ROUNDDOWN({0},0)</f>
      </c>
      <c r="F50" s="11">
        <v>3113</v>
      </c>
      <c r="G50" s="12"/>
      <c r="H50" s="11"/>
      <c r="I50" s="11">
        <f>=ROUNDDOWN({0},0)</f>
      </c>
      <c r="J50" s="11"/>
      <c r="K50" s="12"/>
      <c r="L50" s="11">
        <v>5422</v>
      </c>
      <c r="M50" s="13">
        <v>444251.54</v>
      </c>
      <c r="N50" s="11">
        <v>113</v>
      </c>
      <c r="O50" s="14">
        <v>3931.43</v>
      </c>
      <c r="P50" s="11"/>
      <c r="Q50" s="13"/>
      <c r="R50" s="11"/>
      <c r="S50" s="14"/>
      <c r="T50" s="12"/>
      <c r="U50" s="12"/>
      <c r="V50" s="12"/>
      <c r="W50" s="12"/>
      <c r="X50" s="11">
        <v>1311</v>
      </c>
      <c r="Y50" s="13">
        <v>102725</v>
      </c>
      <c r="Z50" s="11">
        <v>105</v>
      </c>
      <c r="AA50" s="11"/>
      <c r="AB50" s="13"/>
      <c r="AC50" s="11"/>
      <c r="AD50" s="12"/>
      <c r="AE50" s="12"/>
      <c r="AF50" s="11">
        <v>1056</v>
      </c>
      <c r="AG50" s="13">
        <v>70130.32</v>
      </c>
      <c r="AH50" s="11">
        <v>113</v>
      </c>
      <c r="AI50" s="11"/>
      <c r="AJ50" s="13"/>
      <c r="AK50" s="11"/>
      <c r="AL50" s="12"/>
      <c r="AM50" s="12"/>
      <c r="AN50" s="11">
        <v>412</v>
      </c>
      <c r="AO50" s="13">
        <v>40068.51</v>
      </c>
      <c r="AP50" s="11">
        <v>112</v>
      </c>
      <c r="AQ50" s="11"/>
      <c r="AR50" s="13"/>
      <c r="AS50" s="11"/>
      <c r="AT50" s="12"/>
      <c r="AU50" s="12"/>
      <c r="AV50" s="11"/>
      <c r="AW50" s="13"/>
      <c r="AX50" s="11"/>
      <c r="AY50" s="11"/>
      <c r="AZ50" s="13"/>
      <c r="BA50" s="11"/>
      <c r="BB50" s="12"/>
      <c r="BC50" s="12"/>
      <c r="BD50" s="11">
        <v>499</v>
      </c>
      <c r="BE50" s="13">
        <v>39867.79</v>
      </c>
      <c r="BF50" s="11">
        <v>109</v>
      </c>
      <c r="BG50" s="11"/>
      <c r="BH50" s="13"/>
      <c r="BI50" s="11"/>
      <c r="BJ50" s="12"/>
      <c r="BK50" s="12"/>
      <c r="BL50" s="11">
        <v>850</v>
      </c>
      <c r="BM50" s="13">
        <v>71680.69</v>
      </c>
      <c r="BN50" s="11">
        <v>113</v>
      </c>
      <c r="BO50" s="11"/>
      <c r="BP50" s="13"/>
      <c r="BQ50" s="11"/>
      <c r="BR50" s="12"/>
      <c r="BS50" s="12"/>
      <c r="BT50" s="11">
        <v>716</v>
      </c>
      <c r="BU50" s="13">
        <v>70883.34</v>
      </c>
      <c r="BV50" s="11">
        <v>113</v>
      </c>
      <c r="BW50" s="11"/>
      <c r="BX50" s="13"/>
      <c r="BY50" s="11"/>
      <c r="BZ50" s="12"/>
      <c r="CA50" s="12"/>
      <c r="CB50" s="11">
        <v>320</v>
      </c>
      <c r="CC50" s="13">
        <v>25837.94</v>
      </c>
      <c r="CD50" s="11">
        <v>81</v>
      </c>
      <c r="CE50" s="11"/>
      <c r="CF50" s="13"/>
      <c r="CG50" s="11"/>
      <c r="CH50" s="12"/>
      <c r="CI50" s="12"/>
      <c r="CJ50" s="11">
        <v>60</v>
      </c>
      <c r="CK50" s="13">
        <v>7641.14</v>
      </c>
      <c r="CL50" s="11">
        <v>113</v>
      </c>
      <c r="CM50" s="11"/>
      <c r="CN50" s="13"/>
      <c r="CO50" s="11"/>
      <c r="CP50" s="12"/>
      <c r="CQ50" s="12"/>
      <c r="CR50" s="11"/>
      <c r="CS50" s="13"/>
      <c r="CT50" s="11"/>
      <c r="CU50" s="11"/>
      <c r="CV50" s="13"/>
      <c r="CW50" s="11"/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>
        <v>1</v>
      </c>
      <c r="DI50" s="13">
        <v>81.65</v>
      </c>
      <c r="DJ50" s="11">
        <v>9</v>
      </c>
      <c r="DK50" s="11"/>
      <c r="DL50" s="13"/>
      <c r="DM50" s="11"/>
      <c r="DN50" s="12"/>
      <c r="DO50" s="12"/>
      <c r="DP50" s="11">
        <v>72</v>
      </c>
      <c r="DQ50" s="13">
        <v>6398.04</v>
      </c>
      <c r="DR50" s="11">
        <v>108</v>
      </c>
      <c r="DS50" s="11"/>
      <c r="DT50" s="13"/>
      <c r="DU50" s="11"/>
      <c r="DV50" s="12"/>
      <c r="DW50" s="12"/>
      <c r="DX50" s="11">
        <v>78</v>
      </c>
      <c r="DY50" s="13">
        <v>4633.93</v>
      </c>
      <c r="DZ50" s="11">
        <v>71</v>
      </c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>
        <v>4</v>
      </c>
      <c r="EO50" s="13">
        <v>512.36</v>
      </c>
      <c r="EP50" s="11">
        <v>113</v>
      </c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/>
      <c r="FO50" s="11"/>
      <c r="FP50" s="13"/>
      <c r="FQ50" s="11"/>
      <c r="FR50" s="12"/>
      <c r="FS50" s="12"/>
      <c r="FT50" s="11">
        <v>12</v>
      </c>
      <c r="FU50" s="13">
        <v>863.17</v>
      </c>
      <c r="FV50" s="11">
        <v>66</v>
      </c>
      <c r="FW50" s="11"/>
      <c r="FX50" s="13"/>
      <c r="FY50" s="11"/>
      <c r="FZ50" s="12"/>
      <c r="GA50" s="12"/>
      <c r="GB50" s="11">
        <v>5</v>
      </c>
      <c r="GC50" s="13">
        <v>695.97</v>
      </c>
      <c r="GD50" s="11">
        <v>14</v>
      </c>
      <c r="GE50" s="11"/>
      <c r="GF50" s="13"/>
      <c r="GG50" s="11"/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>
        <v>3</v>
      </c>
      <c r="GS50" s="13">
        <v>402.57</v>
      </c>
      <c r="GT50" s="11">
        <v>61</v>
      </c>
      <c r="GU50" s="11"/>
      <c r="GV50" s="13"/>
      <c r="GW50" s="11"/>
      <c r="GX50" s="12"/>
      <c r="GY50" s="12"/>
      <c r="GZ50" s="11">
        <v>5</v>
      </c>
      <c r="HA50" s="13">
        <v>608.69</v>
      </c>
      <c r="HB50" s="11">
        <v>27</v>
      </c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/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>
        <v>18</v>
      </c>
      <c r="IW50" s="13">
        <v>1220.43</v>
      </c>
      <c r="IX50" s="11">
        <v>83</v>
      </c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>
        <v>18</v>
      </c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  <c r="LH50" s="11"/>
      <c r="LI50" s="13"/>
      <c r="LJ50" s="11"/>
      <c r="LK50" s="11"/>
      <c r="LL50" s="13"/>
      <c r="LM50" s="11"/>
      <c r="LN50" s="12"/>
      <c r="LO50" s="12"/>
      <c r="LP50" s="11"/>
      <c r="LQ50" s="13"/>
      <c r="LR50" s="11"/>
      <c r="LS50" s="11"/>
      <c r="LT50" s="13"/>
      <c r="LU50" s="11"/>
      <c r="LV50" s="12"/>
      <c r="LW50" s="12"/>
    </row>
    <row r="51">
      <c r="A51" s="10" t="s">
        <v>72</v>
      </c>
      <c r="B51" s="10" t="s">
        <v>105</v>
      </c>
      <c r="C51" s="10" t="s">
        <v>74</v>
      </c>
      <c r="D51" s="11"/>
      <c r="E51" s="11">
        <f>=ROUNDDOWN({0},0)</f>
      </c>
      <c r="F51" s="11"/>
      <c r="G51" s="12"/>
      <c r="H51" s="11"/>
      <c r="I51" s="11">
        <f>=ROUNDDOWN({0},0)</f>
      </c>
      <c r="J51" s="11"/>
      <c r="K51" s="12"/>
      <c r="L51" s="11"/>
      <c r="M51" s="13"/>
      <c r="N51" s="11"/>
      <c r="O51" s="14"/>
      <c r="P51" s="11"/>
      <c r="Q51" s="13"/>
      <c r="R51" s="11"/>
      <c r="S51" s="14"/>
      <c r="T51" s="12"/>
      <c r="U51" s="12"/>
      <c r="V51" s="12"/>
      <c r="W51" s="12"/>
      <c r="X51" s="11"/>
      <c r="Y51" s="13"/>
      <c r="Z51" s="11"/>
      <c r="AA51" s="11"/>
      <c r="AB51" s="13"/>
      <c r="AC51" s="11"/>
      <c r="AD51" s="12"/>
      <c r="AE51" s="12"/>
      <c r="AF51" s="11"/>
      <c r="AG51" s="13"/>
      <c r="AH51" s="11"/>
      <c r="AI51" s="11"/>
      <c r="AJ51" s="13"/>
      <c r="AK51" s="11"/>
      <c r="AL51" s="12"/>
      <c r="AM51" s="12"/>
      <c r="AN51" s="11"/>
      <c r="AO51" s="13"/>
      <c r="AP51" s="11"/>
      <c r="AQ51" s="11"/>
      <c r="AR51" s="13"/>
      <c r="AS51" s="11"/>
      <c r="AT51" s="12"/>
      <c r="AU51" s="12"/>
      <c r="AV51" s="11"/>
      <c r="AW51" s="13"/>
      <c r="AX51" s="11"/>
      <c r="AY51" s="11"/>
      <c r="AZ51" s="13"/>
      <c r="BA51" s="11"/>
      <c r="BB51" s="12"/>
      <c r="BC51" s="12"/>
      <c r="BD51" s="11"/>
      <c r="BE51" s="13"/>
      <c r="BF51" s="11"/>
      <c r="BG51" s="11"/>
      <c r="BH51" s="13"/>
      <c r="BI51" s="11"/>
      <c r="BJ51" s="12"/>
      <c r="BK51" s="12"/>
      <c r="BL51" s="11"/>
      <c r="BM51" s="13"/>
      <c r="BN51" s="11"/>
      <c r="BO51" s="11"/>
      <c r="BP51" s="13"/>
      <c r="BQ51" s="11"/>
      <c r="BR51" s="12"/>
      <c r="BS51" s="12"/>
      <c r="BT51" s="11"/>
      <c r="BU51" s="13"/>
      <c r="BV51" s="11"/>
      <c r="BW51" s="11"/>
      <c r="BX51" s="13"/>
      <c r="BY51" s="11"/>
      <c r="BZ51" s="12"/>
      <c r="CA51" s="12"/>
      <c r="CB51" s="11"/>
      <c r="CC51" s="13"/>
      <c r="CD51" s="11"/>
      <c r="CE51" s="11"/>
      <c r="CF51" s="13"/>
      <c r="CG51" s="11"/>
      <c r="CH51" s="12"/>
      <c r="CI51" s="12"/>
      <c r="CJ51" s="11"/>
      <c r="CK51" s="13"/>
      <c r="CL51" s="11"/>
      <c r="CM51" s="11"/>
      <c r="CN51" s="13"/>
      <c r="CO51" s="11"/>
      <c r="CP51" s="12"/>
      <c r="CQ51" s="12"/>
      <c r="CR51" s="11"/>
      <c r="CS51" s="13"/>
      <c r="CT51" s="11"/>
      <c r="CU51" s="11"/>
      <c r="CV51" s="13"/>
      <c r="CW51" s="11"/>
      <c r="CX51" s="12"/>
      <c r="CY51" s="12"/>
      <c r="CZ51" s="11"/>
      <c r="DA51" s="13"/>
      <c r="DB51" s="11"/>
      <c r="DC51" s="11"/>
      <c r="DD51" s="13"/>
      <c r="DE51" s="11"/>
      <c r="DF51" s="12"/>
      <c r="DG51" s="12"/>
      <c r="DH51" s="11"/>
      <c r="DI51" s="13"/>
      <c r="DJ51" s="11"/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/>
      <c r="FO51" s="11"/>
      <c r="FP51" s="13"/>
      <c r="FQ51" s="11"/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/>
      <c r="GS51" s="13"/>
      <c r="GT51" s="11"/>
      <c r="GU51" s="11"/>
      <c r="GV51" s="13"/>
      <c r="GW51" s="11"/>
      <c r="GX51" s="12"/>
      <c r="GY51" s="12"/>
      <c r="GZ51" s="11"/>
      <c r="HA51" s="13"/>
      <c r="HB51" s="11"/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/>
      <c r="HT51" s="13"/>
      <c r="HU51" s="11"/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  <c r="LH51" s="11"/>
      <c r="LI51" s="13"/>
      <c r="LJ51" s="11"/>
      <c r="LK51" s="11"/>
      <c r="LL51" s="13"/>
      <c r="LM51" s="11"/>
      <c r="LN51" s="12"/>
      <c r="LO51" s="12"/>
      <c r="LP51" s="11"/>
      <c r="LQ51" s="13"/>
      <c r="LR51" s="11"/>
      <c r="LS51" s="11"/>
      <c r="LT51" s="13"/>
      <c r="LU51" s="11"/>
      <c r="LV51" s="12"/>
      <c r="LW51" s="12"/>
    </row>
    <row r="52">
      <c r="A52" s="10" t="s">
        <v>72</v>
      </c>
      <c r="B52" s="10" t="s">
        <v>106</v>
      </c>
      <c r="C52" s="10" t="s">
        <v>77</v>
      </c>
      <c r="D52" s="11"/>
      <c r="E52" s="11">
        <f>=ROUNDDOWN({0},0)</f>
      </c>
      <c r="F52" s="11"/>
      <c r="G52" s="12"/>
      <c r="H52" s="11"/>
      <c r="I52" s="11">
        <f>=ROUNDDOWN({0},0)</f>
      </c>
      <c r="J52" s="11"/>
      <c r="K52" s="12"/>
      <c r="L52" s="11"/>
      <c r="M52" s="13"/>
      <c r="N52" s="11"/>
      <c r="O52" s="14"/>
      <c r="P52" s="11"/>
      <c r="Q52" s="13"/>
      <c r="R52" s="11"/>
      <c r="S52" s="14"/>
      <c r="T52" s="12"/>
      <c r="U52" s="12"/>
      <c r="V52" s="12"/>
      <c r="W52" s="12"/>
      <c r="X52" s="11"/>
      <c r="Y52" s="13"/>
      <c r="Z52" s="11"/>
      <c r="AA52" s="11"/>
      <c r="AB52" s="13"/>
      <c r="AC52" s="11"/>
      <c r="AD52" s="12"/>
      <c r="AE52" s="12"/>
      <c r="AF52" s="11"/>
      <c r="AG52" s="13"/>
      <c r="AH52" s="11"/>
      <c r="AI52" s="11"/>
      <c r="AJ52" s="13"/>
      <c r="AK52" s="11"/>
      <c r="AL52" s="12"/>
      <c r="AM52" s="12"/>
      <c r="AN52" s="11"/>
      <c r="AO52" s="13"/>
      <c r="AP52" s="11"/>
      <c r="AQ52" s="11"/>
      <c r="AR52" s="13"/>
      <c r="AS52" s="11"/>
      <c r="AT52" s="12"/>
      <c r="AU52" s="12"/>
      <c r="AV52" s="11"/>
      <c r="AW52" s="13"/>
      <c r="AX52" s="11"/>
      <c r="AY52" s="11"/>
      <c r="AZ52" s="13"/>
      <c r="BA52" s="11"/>
      <c r="BB52" s="12"/>
      <c r="BC52" s="12"/>
      <c r="BD52" s="11"/>
      <c r="BE52" s="13"/>
      <c r="BF52" s="11"/>
      <c r="BG52" s="11"/>
      <c r="BH52" s="13"/>
      <c r="BI52" s="11"/>
      <c r="BJ52" s="12"/>
      <c r="BK52" s="12"/>
      <c r="BL52" s="11"/>
      <c r="BM52" s="13"/>
      <c r="BN52" s="11"/>
      <c r="BO52" s="11"/>
      <c r="BP52" s="13"/>
      <c r="BQ52" s="11"/>
      <c r="BR52" s="12"/>
      <c r="BS52" s="12"/>
      <c r="BT52" s="11"/>
      <c r="BU52" s="13"/>
      <c r="BV52" s="11"/>
      <c r="BW52" s="11"/>
      <c r="BX52" s="13"/>
      <c r="BY52" s="11"/>
      <c r="BZ52" s="12"/>
      <c r="CA52" s="12"/>
      <c r="CB52" s="11"/>
      <c r="CC52" s="13"/>
      <c r="CD52" s="11"/>
      <c r="CE52" s="11"/>
      <c r="CF52" s="13"/>
      <c r="CG52" s="11"/>
      <c r="CH52" s="12"/>
      <c r="CI52" s="12"/>
      <c r="CJ52" s="11"/>
      <c r="CK52" s="13"/>
      <c r="CL52" s="11"/>
      <c r="CM52" s="11"/>
      <c r="CN52" s="13"/>
      <c r="CO52" s="11"/>
      <c r="CP52" s="12"/>
      <c r="CQ52" s="12"/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  <c r="LH52" s="11"/>
      <c r="LI52" s="13"/>
      <c r="LJ52" s="11"/>
      <c r="LK52" s="11"/>
      <c r="LL52" s="13"/>
      <c r="LM52" s="11"/>
      <c r="LN52" s="12"/>
      <c r="LO52" s="12"/>
      <c r="LP52" s="11"/>
      <c r="LQ52" s="13"/>
      <c r="LR52" s="11"/>
      <c r="LS52" s="11"/>
      <c r="LT52" s="13"/>
      <c r="LU52" s="11"/>
      <c r="LV52" s="12"/>
      <c r="LW52" s="12"/>
    </row>
    <row r="53">
      <c r="A53" s="10" t="s">
        <v>72</v>
      </c>
      <c r="B53" s="10" t="s">
        <v>107</v>
      </c>
      <c r="C53" s="10" t="s">
        <v>92</v>
      </c>
      <c r="D53" s="11">
        <v>5230</v>
      </c>
      <c r="E53" s="11">
        <f>=ROUNDDOWN(26.9587628865979,0)</f>
      </c>
      <c r="F53" s="11">
        <v>2000</v>
      </c>
      <c r="G53" s="12">
        <v>1</v>
      </c>
      <c r="H53" s="11"/>
      <c r="I53" s="11">
        <f>=ROUNDDOWN({0},0)</f>
      </c>
      <c r="J53" s="11"/>
      <c r="K53" s="12"/>
      <c r="L53" s="11">
        <v>2676</v>
      </c>
      <c r="M53" s="13">
        <v>41738.77</v>
      </c>
      <c r="N53" s="11">
        <v>7</v>
      </c>
      <c r="O53" s="14">
        <v>5962.68</v>
      </c>
      <c r="P53" s="11"/>
      <c r="Q53" s="13"/>
      <c r="R53" s="11"/>
      <c r="S53" s="14"/>
      <c r="T53" s="12"/>
      <c r="U53" s="12"/>
      <c r="V53" s="12"/>
      <c r="W53" s="12"/>
      <c r="X53" s="11">
        <v>1598</v>
      </c>
      <c r="Y53" s="13">
        <v>25220.07</v>
      </c>
      <c r="Z53" s="11">
        <v>7</v>
      </c>
      <c r="AA53" s="11"/>
      <c r="AB53" s="13"/>
      <c r="AC53" s="11"/>
      <c r="AD53" s="12"/>
      <c r="AE53" s="12"/>
      <c r="AF53" s="11">
        <v>73</v>
      </c>
      <c r="AG53" s="13">
        <v>926.22</v>
      </c>
      <c r="AH53" s="11">
        <v>7</v>
      </c>
      <c r="AI53" s="11"/>
      <c r="AJ53" s="13"/>
      <c r="AK53" s="11"/>
      <c r="AL53" s="12"/>
      <c r="AM53" s="12"/>
      <c r="AN53" s="11">
        <v>125</v>
      </c>
      <c r="AO53" s="13">
        <v>1797.5</v>
      </c>
      <c r="AP53" s="11">
        <v>7</v>
      </c>
      <c r="AQ53" s="11"/>
      <c r="AR53" s="13"/>
      <c r="AS53" s="11"/>
      <c r="AT53" s="12"/>
      <c r="AU53" s="12"/>
      <c r="AV53" s="11">
        <v>177</v>
      </c>
      <c r="AW53" s="13">
        <v>2904.22</v>
      </c>
      <c r="AX53" s="11">
        <v>4</v>
      </c>
      <c r="AY53" s="11"/>
      <c r="AZ53" s="13"/>
      <c r="BA53" s="11"/>
      <c r="BB53" s="12"/>
      <c r="BC53" s="12"/>
      <c r="BD53" s="11">
        <v>211</v>
      </c>
      <c r="BE53" s="13">
        <v>3100.04</v>
      </c>
      <c r="BF53" s="11">
        <v>7</v>
      </c>
      <c r="BG53" s="11"/>
      <c r="BH53" s="13"/>
      <c r="BI53" s="11"/>
      <c r="BJ53" s="12"/>
      <c r="BK53" s="12"/>
      <c r="BL53" s="11">
        <v>116</v>
      </c>
      <c r="BM53" s="13">
        <v>1767.84</v>
      </c>
      <c r="BN53" s="11">
        <v>7</v>
      </c>
      <c r="BO53" s="11"/>
      <c r="BP53" s="13"/>
      <c r="BQ53" s="11"/>
      <c r="BR53" s="12"/>
      <c r="BS53" s="12"/>
      <c r="BT53" s="11">
        <v>245</v>
      </c>
      <c r="BU53" s="13">
        <v>3973.74</v>
      </c>
      <c r="BV53" s="11">
        <v>7</v>
      </c>
      <c r="BW53" s="11"/>
      <c r="BX53" s="13"/>
      <c r="BY53" s="11"/>
      <c r="BZ53" s="12"/>
      <c r="CA53" s="12"/>
      <c r="CB53" s="11">
        <v>15</v>
      </c>
      <c r="CC53" s="13">
        <v>245.55</v>
      </c>
      <c r="CD53" s="11">
        <v>3</v>
      </c>
      <c r="CE53" s="11"/>
      <c r="CF53" s="13"/>
      <c r="CG53" s="11"/>
      <c r="CH53" s="12"/>
      <c r="CI53" s="12"/>
      <c r="CJ53" s="11"/>
      <c r="CK53" s="13"/>
      <c r="CL53" s="11">
        <v>7</v>
      </c>
      <c r="CM53" s="11"/>
      <c r="CN53" s="13"/>
      <c r="CO53" s="11"/>
      <c r="CP53" s="12"/>
      <c r="CQ53" s="12"/>
      <c r="CR53" s="11"/>
      <c r="CS53" s="13"/>
      <c r="CT53" s="11"/>
      <c r="CU53" s="11"/>
      <c r="CV53" s="13"/>
      <c r="CW53" s="11"/>
      <c r="CX53" s="12"/>
      <c r="CY53" s="12"/>
      <c r="CZ53" s="11">
        <v>13</v>
      </c>
      <c r="DA53" s="13">
        <v>202.15</v>
      </c>
      <c r="DB53" s="11">
        <v>3</v>
      </c>
      <c r="DC53" s="11"/>
      <c r="DD53" s="13"/>
      <c r="DE53" s="11"/>
      <c r="DF53" s="12"/>
      <c r="DG53" s="12"/>
      <c r="DH53" s="11">
        <v>4</v>
      </c>
      <c r="DI53" s="13">
        <v>62.36</v>
      </c>
      <c r="DJ53" s="11">
        <v>2</v>
      </c>
      <c r="DK53" s="11"/>
      <c r="DL53" s="13"/>
      <c r="DM53" s="11"/>
      <c r="DN53" s="12"/>
      <c r="DO53" s="12"/>
      <c r="DP53" s="11">
        <v>35</v>
      </c>
      <c r="DQ53" s="13">
        <v>544.46</v>
      </c>
      <c r="DR53" s="11">
        <v>7</v>
      </c>
      <c r="DS53" s="11"/>
      <c r="DT53" s="13"/>
      <c r="DU53" s="11"/>
      <c r="DV53" s="12"/>
      <c r="DW53" s="12"/>
      <c r="DX53" s="11">
        <v>54</v>
      </c>
      <c r="DY53" s="13">
        <v>764.82</v>
      </c>
      <c r="DZ53" s="11">
        <v>5</v>
      </c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>
        <v>4</v>
      </c>
      <c r="EO53" s="13">
        <v>130.64</v>
      </c>
      <c r="EP53" s="11">
        <v>7</v>
      </c>
      <c r="EQ53" s="11"/>
      <c r="ER53" s="13"/>
      <c r="ES53" s="11"/>
      <c r="ET53" s="12"/>
      <c r="EU53" s="12"/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>
        <v>1</v>
      </c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>
        <v>2</v>
      </c>
      <c r="GS53" s="13">
        <v>33.68</v>
      </c>
      <c r="GT53" s="11">
        <v>7</v>
      </c>
      <c r="GU53" s="11"/>
      <c r="GV53" s="13"/>
      <c r="GW53" s="11"/>
      <c r="GX53" s="12"/>
      <c r="GY53" s="12"/>
      <c r="GZ53" s="11">
        <v>2</v>
      </c>
      <c r="HA53" s="13">
        <v>34.3</v>
      </c>
      <c r="HB53" s="11">
        <v>4</v>
      </c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>
        <v>2</v>
      </c>
      <c r="IW53" s="13">
        <v>31.18</v>
      </c>
      <c r="IX53" s="11">
        <v>7</v>
      </c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>
        <v>7</v>
      </c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  <c r="LH53" s="11"/>
      <c r="LI53" s="13"/>
      <c r="LJ53" s="11"/>
      <c r="LK53" s="11"/>
      <c r="LL53" s="13"/>
      <c r="LM53" s="11"/>
      <c r="LN53" s="12"/>
      <c r="LO53" s="12"/>
      <c r="LP53" s="11"/>
      <c r="LQ53" s="13"/>
      <c r="LR53" s="11"/>
      <c r="LS53" s="11"/>
      <c r="LT53" s="13"/>
      <c r="LU53" s="11"/>
      <c r="LV53" s="12"/>
      <c r="LW53" s="12"/>
    </row>
    <row r="54">
      <c r="A54" s="10" t="s">
        <v>72</v>
      </c>
      <c r="B54" s="10" t="s">
        <v>107</v>
      </c>
      <c r="C54" s="10" t="s">
        <v>74</v>
      </c>
      <c r="D54" s="11">
        <v>34947</v>
      </c>
      <c r="E54" s="11">
        <f>=ROUNDDOWN(54.6901408450704,0)</f>
      </c>
      <c r="F54" s="11">
        <v>4320</v>
      </c>
      <c r="G54" s="12">
        <v>1</v>
      </c>
      <c r="H54" s="11"/>
      <c r="I54" s="11">
        <f>=ROUNDDOWN({0},0)</f>
      </c>
      <c r="J54" s="11"/>
      <c r="K54" s="12">
        <v>0.3406</v>
      </c>
      <c r="L54" s="11">
        <v>7197</v>
      </c>
      <c r="M54" s="13">
        <v>536972.69</v>
      </c>
      <c r="N54" s="11">
        <v>66</v>
      </c>
      <c r="O54" s="14">
        <v>8135.95</v>
      </c>
      <c r="P54" s="11"/>
      <c r="Q54" s="13"/>
      <c r="R54" s="11"/>
      <c r="S54" s="14"/>
      <c r="T54" s="12"/>
      <c r="U54" s="12"/>
      <c r="V54" s="12"/>
      <c r="W54" s="12"/>
      <c r="X54" s="11">
        <v>2324</v>
      </c>
      <c r="Y54" s="13">
        <v>182170.17</v>
      </c>
      <c r="Z54" s="11">
        <v>62</v>
      </c>
      <c r="AA54" s="11"/>
      <c r="AB54" s="13"/>
      <c r="AC54" s="11"/>
      <c r="AD54" s="12"/>
      <c r="AE54" s="12"/>
      <c r="AF54" s="11">
        <v>731</v>
      </c>
      <c r="AG54" s="13">
        <v>46097.67</v>
      </c>
      <c r="AH54" s="11">
        <v>62</v>
      </c>
      <c r="AI54" s="11"/>
      <c r="AJ54" s="13"/>
      <c r="AK54" s="11"/>
      <c r="AL54" s="12"/>
      <c r="AM54" s="12"/>
      <c r="AN54" s="11">
        <v>875</v>
      </c>
      <c r="AO54" s="13">
        <v>60979.52</v>
      </c>
      <c r="AP54" s="11">
        <v>62</v>
      </c>
      <c r="AQ54" s="11"/>
      <c r="AR54" s="13"/>
      <c r="AS54" s="11"/>
      <c r="AT54" s="12"/>
      <c r="AU54" s="12"/>
      <c r="AV54" s="11">
        <v>728</v>
      </c>
      <c r="AW54" s="13">
        <v>55420.56</v>
      </c>
      <c r="AX54" s="11">
        <v>50</v>
      </c>
      <c r="AY54" s="11"/>
      <c r="AZ54" s="13"/>
      <c r="BA54" s="11"/>
      <c r="BB54" s="12"/>
      <c r="BC54" s="12"/>
      <c r="BD54" s="11">
        <v>830</v>
      </c>
      <c r="BE54" s="13">
        <v>65020.12</v>
      </c>
      <c r="BF54" s="11">
        <v>62</v>
      </c>
      <c r="BG54" s="11"/>
      <c r="BH54" s="13"/>
      <c r="BI54" s="11"/>
      <c r="BJ54" s="12"/>
      <c r="BK54" s="12"/>
      <c r="BL54" s="11">
        <v>422</v>
      </c>
      <c r="BM54" s="13">
        <v>33119.65</v>
      </c>
      <c r="BN54" s="11">
        <v>62</v>
      </c>
      <c r="BO54" s="11"/>
      <c r="BP54" s="13"/>
      <c r="BQ54" s="11"/>
      <c r="BR54" s="12"/>
      <c r="BS54" s="12"/>
      <c r="BT54" s="11">
        <v>648</v>
      </c>
      <c r="BU54" s="13">
        <v>47951.44</v>
      </c>
      <c r="BV54" s="11">
        <v>62</v>
      </c>
      <c r="BW54" s="11"/>
      <c r="BX54" s="13"/>
      <c r="BY54" s="11"/>
      <c r="BZ54" s="12"/>
      <c r="CA54" s="12"/>
      <c r="CB54" s="11">
        <v>251</v>
      </c>
      <c r="CC54" s="13">
        <v>17523.28</v>
      </c>
      <c r="CD54" s="11">
        <v>60</v>
      </c>
      <c r="CE54" s="11"/>
      <c r="CF54" s="13"/>
      <c r="CG54" s="11"/>
      <c r="CH54" s="12"/>
      <c r="CI54" s="12"/>
      <c r="CJ54" s="11">
        <v>15</v>
      </c>
      <c r="CK54" s="13">
        <v>1687.37</v>
      </c>
      <c r="CL54" s="11">
        <v>62</v>
      </c>
      <c r="CM54" s="11"/>
      <c r="CN54" s="13"/>
      <c r="CO54" s="11"/>
      <c r="CP54" s="12"/>
      <c r="CQ54" s="12"/>
      <c r="CR54" s="11"/>
      <c r="CS54" s="13"/>
      <c r="CT54" s="11"/>
      <c r="CU54" s="11"/>
      <c r="CV54" s="13"/>
      <c r="CW54" s="11"/>
      <c r="CX54" s="12"/>
      <c r="CY54" s="12"/>
      <c r="CZ54" s="11">
        <v>36</v>
      </c>
      <c r="DA54" s="13">
        <v>2685.6</v>
      </c>
      <c r="DB54" s="11">
        <v>21</v>
      </c>
      <c r="DC54" s="11"/>
      <c r="DD54" s="13"/>
      <c r="DE54" s="11"/>
      <c r="DF54" s="12"/>
      <c r="DG54" s="12"/>
      <c r="DH54" s="11">
        <v>56</v>
      </c>
      <c r="DI54" s="13">
        <v>3945.68</v>
      </c>
      <c r="DJ54" s="11">
        <v>20</v>
      </c>
      <c r="DK54" s="11"/>
      <c r="DL54" s="13"/>
      <c r="DM54" s="11"/>
      <c r="DN54" s="12"/>
      <c r="DO54" s="12"/>
      <c r="DP54" s="11">
        <v>101</v>
      </c>
      <c r="DQ54" s="13">
        <v>6262.19</v>
      </c>
      <c r="DR54" s="11">
        <v>48</v>
      </c>
      <c r="DS54" s="11"/>
      <c r="DT54" s="13"/>
      <c r="DU54" s="11"/>
      <c r="DV54" s="12"/>
      <c r="DW54" s="12"/>
      <c r="DX54" s="11">
        <v>15</v>
      </c>
      <c r="DY54" s="13">
        <v>1119.71</v>
      </c>
      <c r="DZ54" s="11">
        <v>4</v>
      </c>
      <c r="EA54" s="11"/>
      <c r="EB54" s="13"/>
      <c r="EC54" s="11"/>
      <c r="ED54" s="12"/>
      <c r="EE54" s="12"/>
      <c r="EF54" s="11"/>
      <c r="EG54" s="13"/>
      <c r="EH54" s="11"/>
      <c r="EI54" s="11"/>
      <c r="EJ54" s="13"/>
      <c r="EK54" s="11"/>
      <c r="EL54" s="12"/>
      <c r="EM54" s="12"/>
      <c r="EN54" s="11">
        <v>5</v>
      </c>
      <c r="EO54" s="13">
        <v>689.71</v>
      </c>
      <c r="EP54" s="11">
        <v>64</v>
      </c>
      <c r="EQ54" s="11"/>
      <c r="ER54" s="13"/>
      <c r="ES54" s="11"/>
      <c r="ET54" s="12"/>
      <c r="EU54" s="12"/>
      <c r="EV54" s="11"/>
      <c r="EW54" s="13"/>
      <c r="EX54" s="11"/>
      <c r="EY54" s="11"/>
      <c r="EZ54" s="13"/>
      <c r="FA54" s="11"/>
      <c r="FB54" s="12"/>
      <c r="FC54" s="12"/>
      <c r="FD54" s="11">
        <v>17</v>
      </c>
      <c r="FE54" s="13">
        <v>1298.59</v>
      </c>
      <c r="FF54" s="11">
        <v>26</v>
      </c>
      <c r="FG54" s="11"/>
      <c r="FH54" s="13"/>
      <c r="FI54" s="11"/>
      <c r="FJ54" s="12"/>
      <c r="FK54" s="12"/>
      <c r="FL54" s="11">
        <v>96</v>
      </c>
      <c r="FM54" s="13">
        <v>7570.81</v>
      </c>
      <c r="FN54" s="11">
        <v>46</v>
      </c>
      <c r="FO54" s="11"/>
      <c r="FP54" s="13"/>
      <c r="FQ54" s="11"/>
      <c r="FR54" s="12"/>
      <c r="FS54" s="12"/>
      <c r="FT54" s="11">
        <v>17</v>
      </c>
      <c r="FU54" s="13">
        <v>1204.3</v>
      </c>
      <c r="FV54" s="11">
        <v>34</v>
      </c>
      <c r="FW54" s="11"/>
      <c r="FX54" s="13"/>
      <c r="FY54" s="11"/>
      <c r="FZ54" s="12"/>
      <c r="GA54" s="12"/>
      <c r="GB54" s="11">
        <v>12</v>
      </c>
      <c r="GC54" s="13">
        <v>930.46</v>
      </c>
      <c r="GD54" s="11">
        <v>40</v>
      </c>
      <c r="GE54" s="11"/>
      <c r="GF54" s="13"/>
      <c r="GG54" s="11"/>
      <c r="GH54" s="12"/>
      <c r="GI54" s="12"/>
      <c r="GJ54" s="11">
        <v>4</v>
      </c>
      <c r="GK54" s="13">
        <v>283.37</v>
      </c>
      <c r="GL54" s="11">
        <v>16</v>
      </c>
      <c r="GM54" s="11"/>
      <c r="GN54" s="13"/>
      <c r="GO54" s="11"/>
      <c r="GP54" s="12"/>
      <c r="GQ54" s="12"/>
      <c r="GR54" s="11">
        <v>4</v>
      </c>
      <c r="GS54" s="13">
        <v>289.76</v>
      </c>
      <c r="GT54" s="11">
        <v>37</v>
      </c>
      <c r="GU54" s="11"/>
      <c r="GV54" s="13"/>
      <c r="GW54" s="11"/>
      <c r="GX54" s="12"/>
      <c r="GY54" s="12"/>
      <c r="GZ54" s="11">
        <v>3</v>
      </c>
      <c r="HA54" s="13">
        <v>245.82</v>
      </c>
      <c r="HB54" s="11">
        <v>22</v>
      </c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/>
      <c r="HQ54" s="13"/>
      <c r="HR54" s="11"/>
      <c r="HS54" s="11"/>
      <c r="HT54" s="13"/>
      <c r="HU54" s="11"/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>
        <v>7</v>
      </c>
      <c r="IW54" s="13">
        <v>476.91</v>
      </c>
      <c r="IX54" s="11">
        <v>28</v>
      </c>
      <c r="IY54" s="11"/>
      <c r="IZ54" s="13"/>
      <c r="JA54" s="11"/>
      <c r="JB54" s="12"/>
      <c r="JC54" s="12"/>
      <c r="JD54" s="11"/>
      <c r="JE54" s="13"/>
      <c r="JF54" s="11">
        <v>4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  <c r="LH54" s="11"/>
      <c r="LI54" s="13"/>
      <c r="LJ54" s="11"/>
      <c r="LK54" s="11"/>
      <c r="LL54" s="13"/>
      <c r="LM54" s="11"/>
      <c r="LN54" s="12"/>
      <c r="LO54" s="12"/>
      <c r="LP54" s="11"/>
      <c r="LQ54" s="13"/>
      <c r="LR54" s="11"/>
      <c r="LS54" s="11"/>
      <c r="LT54" s="13"/>
      <c r="LU54" s="11"/>
      <c r="LV54" s="12"/>
      <c r="LW54" s="12"/>
    </row>
    <row r="55">
      <c r="A55" s="10" t="s">
        <v>72</v>
      </c>
      <c r="B55" s="10" t="s">
        <v>107</v>
      </c>
      <c r="C55" s="10" t="s">
        <v>75</v>
      </c>
      <c r="D55" s="11">
        <v>2648</v>
      </c>
      <c r="E55" s="11">
        <f>=ROUNDDOWN(31.636798088411,0)</f>
      </c>
      <c r="F55" s="11">
        <v>97</v>
      </c>
      <c r="G55" s="12">
        <v>0.971</v>
      </c>
      <c r="H55" s="11"/>
      <c r="I55" s="11">
        <f>=ROUNDDOWN({0},0)</f>
      </c>
      <c r="J55" s="11"/>
      <c r="K55" s="12"/>
      <c r="L55" s="11">
        <v>1296</v>
      </c>
      <c r="M55" s="13">
        <v>72813.3</v>
      </c>
      <c r="N55" s="11">
        <v>12</v>
      </c>
      <c r="O55" s="14">
        <v>6067.78</v>
      </c>
      <c r="P55" s="11"/>
      <c r="Q55" s="13"/>
      <c r="R55" s="11"/>
      <c r="S55" s="14"/>
      <c r="T55" s="12"/>
      <c r="U55" s="12"/>
      <c r="V55" s="12"/>
      <c r="W55" s="12"/>
      <c r="X55" s="11">
        <v>326</v>
      </c>
      <c r="Y55" s="13">
        <v>19017.83</v>
      </c>
      <c r="Z55" s="11">
        <v>12</v>
      </c>
      <c r="AA55" s="11"/>
      <c r="AB55" s="13"/>
      <c r="AC55" s="11"/>
      <c r="AD55" s="12"/>
      <c r="AE55" s="12"/>
      <c r="AF55" s="11">
        <v>306</v>
      </c>
      <c r="AG55" s="13">
        <v>12013.82</v>
      </c>
      <c r="AH55" s="11">
        <v>11</v>
      </c>
      <c r="AI55" s="11"/>
      <c r="AJ55" s="13"/>
      <c r="AK55" s="11"/>
      <c r="AL55" s="12"/>
      <c r="AM55" s="12"/>
      <c r="AN55" s="11">
        <v>128</v>
      </c>
      <c r="AO55" s="13">
        <v>7830.96</v>
      </c>
      <c r="AP55" s="11">
        <v>11</v>
      </c>
      <c r="AQ55" s="11"/>
      <c r="AR55" s="13"/>
      <c r="AS55" s="11"/>
      <c r="AT55" s="12"/>
      <c r="AU55" s="12"/>
      <c r="AV55" s="11">
        <v>84</v>
      </c>
      <c r="AW55" s="13">
        <v>6269.08</v>
      </c>
      <c r="AX55" s="11">
        <v>11</v>
      </c>
      <c r="AY55" s="11"/>
      <c r="AZ55" s="13"/>
      <c r="BA55" s="11"/>
      <c r="BB55" s="12"/>
      <c r="BC55" s="12"/>
      <c r="BD55" s="11">
        <v>117</v>
      </c>
      <c r="BE55" s="13">
        <v>8367.77</v>
      </c>
      <c r="BF55" s="11">
        <v>11</v>
      </c>
      <c r="BG55" s="11"/>
      <c r="BH55" s="13"/>
      <c r="BI55" s="11"/>
      <c r="BJ55" s="12"/>
      <c r="BK55" s="12"/>
      <c r="BL55" s="11">
        <v>119</v>
      </c>
      <c r="BM55" s="13">
        <v>5793.97</v>
      </c>
      <c r="BN55" s="11">
        <v>12</v>
      </c>
      <c r="BO55" s="11"/>
      <c r="BP55" s="13"/>
      <c r="BQ55" s="11"/>
      <c r="BR55" s="12"/>
      <c r="BS55" s="12"/>
      <c r="BT55" s="11">
        <v>22</v>
      </c>
      <c r="BU55" s="13">
        <v>1706.43</v>
      </c>
      <c r="BV55" s="11">
        <v>11</v>
      </c>
      <c r="BW55" s="11"/>
      <c r="BX55" s="13"/>
      <c r="BY55" s="11"/>
      <c r="BZ55" s="12"/>
      <c r="CA55" s="12"/>
      <c r="CB55" s="11">
        <v>136</v>
      </c>
      <c r="CC55" s="13">
        <v>8205.15</v>
      </c>
      <c r="CD55" s="11">
        <v>11</v>
      </c>
      <c r="CE55" s="11"/>
      <c r="CF55" s="13"/>
      <c r="CG55" s="11"/>
      <c r="CH55" s="12"/>
      <c r="CI55" s="12"/>
      <c r="CJ55" s="11"/>
      <c r="CK55" s="13"/>
      <c r="CL55" s="11">
        <v>11</v>
      </c>
      <c r="CM55" s="11"/>
      <c r="CN55" s="13"/>
      <c r="CO55" s="11"/>
      <c r="CP55" s="12"/>
      <c r="CQ55" s="12"/>
      <c r="CR55" s="11"/>
      <c r="CS55" s="13"/>
      <c r="CT55" s="11"/>
      <c r="CU55" s="11"/>
      <c r="CV55" s="13"/>
      <c r="CW55" s="11"/>
      <c r="CX55" s="12"/>
      <c r="CY55" s="12"/>
      <c r="CZ55" s="11"/>
      <c r="DA55" s="13"/>
      <c r="DB55" s="11">
        <v>3</v>
      </c>
      <c r="DC55" s="11"/>
      <c r="DD55" s="13"/>
      <c r="DE55" s="11"/>
      <c r="DF55" s="12"/>
      <c r="DG55" s="12"/>
      <c r="DH55" s="11"/>
      <c r="DI55" s="13"/>
      <c r="DJ55" s="11">
        <v>7</v>
      </c>
      <c r="DK55" s="11"/>
      <c r="DL55" s="13"/>
      <c r="DM55" s="11"/>
      <c r="DN55" s="12"/>
      <c r="DO55" s="12"/>
      <c r="DP55" s="11">
        <v>34</v>
      </c>
      <c r="DQ55" s="13">
        <v>1870.38</v>
      </c>
      <c r="DR55" s="11">
        <v>9</v>
      </c>
      <c r="DS55" s="11"/>
      <c r="DT55" s="13"/>
      <c r="DU55" s="11"/>
      <c r="DV55" s="12"/>
      <c r="DW55" s="12"/>
      <c r="DX55" s="11"/>
      <c r="DY55" s="13"/>
      <c r="DZ55" s="11">
        <v>2</v>
      </c>
      <c r="EA55" s="11"/>
      <c r="EB55" s="13"/>
      <c r="EC55" s="11"/>
      <c r="ED55" s="12"/>
      <c r="EE55" s="12"/>
      <c r="EF55" s="11"/>
      <c r="EG55" s="13"/>
      <c r="EH55" s="11"/>
      <c r="EI55" s="11"/>
      <c r="EJ55" s="13"/>
      <c r="EK55" s="11"/>
      <c r="EL55" s="12"/>
      <c r="EM55" s="12"/>
      <c r="EN55" s="11">
        <v>11</v>
      </c>
      <c r="EO55" s="13">
        <v>733.89</v>
      </c>
      <c r="EP55" s="11">
        <v>12</v>
      </c>
      <c r="EQ55" s="11"/>
      <c r="ER55" s="13"/>
      <c r="ES55" s="11"/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>
        <v>5</v>
      </c>
      <c r="FM55" s="13">
        <v>394.17</v>
      </c>
      <c r="FN55" s="11">
        <v>11</v>
      </c>
      <c r="FO55" s="11"/>
      <c r="FP55" s="13"/>
      <c r="FQ55" s="11"/>
      <c r="FR55" s="12"/>
      <c r="FS55" s="12"/>
      <c r="FT55" s="11">
        <v>1</v>
      </c>
      <c r="FU55" s="13">
        <v>66.88</v>
      </c>
      <c r="FV55" s="11">
        <v>3</v>
      </c>
      <c r="FW55" s="11"/>
      <c r="FX55" s="13"/>
      <c r="FY55" s="11"/>
      <c r="FZ55" s="12"/>
      <c r="GA55" s="12"/>
      <c r="GB55" s="11"/>
      <c r="GC55" s="13"/>
      <c r="GD55" s="11"/>
      <c r="GE55" s="11"/>
      <c r="GF55" s="13"/>
      <c r="GG55" s="11"/>
      <c r="GH55" s="12"/>
      <c r="GI55" s="12"/>
      <c r="GJ55" s="11"/>
      <c r="GK55" s="13"/>
      <c r="GL55" s="11">
        <v>2</v>
      </c>
      <c r="GM55" s="11"/>
      <c r="GN55" s="13"/>
      <c r="GO55" s="11"/>
      <c r="GP55" s="12"/>
      <c r="GQ55" s="12"/>
      <c r="GR55" s="11">
        <v>3</v>
      </c>
      <c r="GS55" s="13">
        <v>255.37</v>
      </c>
      <c r="GT55" s="11">
        <v>9</v>
      </c>
      <c r="GU55" s="11"/>
      <c r="GV55" s="13"/>
      <c r="GW55" s="11"/>
      <c r="GX55" s="12"/>
      <c r="GY55" s="12"/>
      <c r="GZ55" s="11">
        <v>3</v>
      </c>
      <c r="HA55" s="13">
        <v>220.71</v>
      </c>
      <c r="HB55" s="11">
        <v>3</v>
      </c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/>
      <c r="HQ55" s="13"/>
      <c r="HR55" s="11"/>
      <c r="HS55" s="11"/>
      <c r="HT55" s="13"/>
      <c r="HU55" s="11"/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>
        <v>1</v>
      </c>
      <c r="IW55" s="13">
        <v>66.89</v>
      </c>
      <c r="IX55" s="11">
        <v>6</v>
      </c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  <c r="LH55" s="11"/>
      <c r="LI55" s="13"/>
      <c r="LJ55" s="11"/>
      <c r="LK55" s="11"/>
      <c r="LL55" s="13"/>
      <c r="LM55" s="11"/>
      <c r="LN55" s="12"/>
      <c r="LO55" s="12"/>
      <c r="LP55" s="11"/>
      <c r="LQ55" s="13"/>
      <c r="LR55" s="11"/>
      <c r="LS55" s="11"/>
      <c r="LT55" s="13"/>
      <c r="LU55" s="11"/>
      <c r="LV55" s="12"/>
      <c r="LW55" s="12"/>
    </row>
    <row r="56">
      <c r="A56" s="10" t="s">
        <v>72</v>
      </c>
      <c r="B56" s="10" t="s">
        <v>107</v>
      </c>
      <c r="C56" s="10" t="s">
        <v>83</v>
      </c>
      <c r="D56" s="11">
        <v>19694</v>
      </c>
      <c r="E56" s="11">
        <f>=ROUNDDOWN(57.166908563135,0)</f>
      </c>
      <c r="F56" s="11">
        <v>1942</v>
      </c>
      <c r="G56" s="12">
        <v>1</v>
      </c>
      <c r="H56" s="11"/>
      <c r="I56" s="11">
        <f>=ROUNDDOWN({0},0)</f>
      </c>
      <c r="J56" s="11"/>
      <c r="K56" s="12">
        <v>0.1468</v>
      </c>
      <c r="L56" s="11">
        <v>4007</v>
      </c>
      <c r="M56" s="13">
        <v>248908.43</v>
      </c>
      <c r="N56" s="11">
        <v>65</v>
      </c>
      <c r="O56" s="14">
        <v>3829.36</v>
      </c>
      <c r="P56" s="11"/>
      <c r="Q56" s="13"/>
      <c r="R56" s="11"/>
      <c r="S56" s="14"/>
      <c r="T56" s="12"/>
      <c r="U56" s="12"/>
      <c r="V56" s="12"/>
      <c r="W56" s="12"/>
      <c r="X56" s="11">
        <v>1363</v>
      </c>
      <c r="Y56" s="13">
        <v>88191.88</v>
      </c>
      <c r="Z56" s="11">
        <v>56</v>
      </c>
      <c r="AA56" s="11"/>
      <c r="AB56" s="13"/>
      <c r="AC56" s="11"/>
      <c r="AD56" s="12"/>
      <c r="AE56" s="12"/>
      <c r="AF56" s="11">
        <v>460</v>
      </c>
      <c r="AG56" s="13">
        <v>24080.84</v>
      </c>
      <c r="AH56" s="11">
        <v>65</v>
      </c>
      <c r="AI56" s="11"/>
      <c r="AJ56" s="13"/>
      <c r="AK56" s="11"/>
      <c r="AL56" s="12"/>
      <c r="AM56" s="12"/>
      <c r="AN56" s="11">
        <v>319</v>
      </c>
      <c r="AO56" s="13">
        <v>18848.29</v>
      </c>
      <c r="AP56" s="11">
        <v>65</v>
      </c>
      <c r="AQ56" s="11"/>
      <c r="AR56" s="13"/>
      <c r="AS56" s="11"/>
      <c r="AT56" s="12"/>
      <c r="AU56" s="12"/>
      <c r="AV56" s="11">
        <v>734</v>
      </c>
      <c r="AW56" s="13">
        <v>43660.49</v>
      </c>
      <c r="AX56" s="11">
        <v>56</v>
      </c>
      <c r="AY56" s="11"/>
      <c r="AZ56" s="13"/>
      <c r="BA56" s="11"/>
      <c r="BB56" s="12"/>
      <c r="BC56" s="12"/>
      <c r="BD56" s="11">
        <v>537</v>
      </c>
      <c r="BE56" s="13">
        <v>35574.29</v>
      </c>
      <c r="BF56" s="11">
        <v>65</v>
      </c>
      <c r="BG56" s="11"/>
      <c r="BH56" s="13"/>
      <c r="BI56" s="11"/>
      <c r="BJ56" s="12"/>
      <c r="BK56" s="12"/>
      <c r="BL56" s="11">
        <v>283</v>
      </c>
      <c r="BM56" s="13">
        <v>18335.78</v>
      </c>
      <c r="BN56" s="11">
        <v>65</v>
      </c>
      <c r="BO56" s="11"/>
      <c r="BP56" s="13"/>
      <c r="BQ56" s="11"/>
      <c r="BR56" s="12"/>
      <c r="BS56" s="12"/>
      <c r="BT56" s="11">
        <v>65</v>
      </c>
      <c r="BU56" s="13">
        <v>4363.99</v>
      </c>
      <c r="BV56" s="11">
        <v>65</v>
      </c>
      <c r="BW56" s="11"/>
      <c r="BX56" s="13"/>
      <c r="BY56" s="11"/>
      <c r="BZ56" s="12"/>
      <c r="CA56" s="12"/>
      <c r="CB56" s="11">
        <v>132</v>
      </c>
      <c r="CC56" s="13">
        <v>8664.68</v>
      </c>
      <c r="CD56" s="11">
        <v>60</v>
      </c>
      <c r="CE56" s="11"/>
      <c r="CF56" s="13"/>
      <c r="CG56" s="11"/>
      <c r="CH56" s="12"/>
      <c r="CI56" s="12"/>
      <c r="CJ56" s="11">
        <v>11</v>
      </c>
      <c r="CK56" s="13">
        <v>1005.86</v>
      </c>
      <c r="CL56" s="11">
        <v>65</v>
      </c>
      <c r="CM56" s="11"/>
      <c r="CN56" s="13"/>
      <c r="CO56" s="11"/>
      <c r="CP56" s="12"/>
      <c r="CQ56" s="12"/>
      <c r="CR56" s="11"/>
      <c r="CS56" s="13"/>
      <c r="CT56" s="11"/>
      <c r="CU56" s="11"/>
      <c r="CV56" s="13"/>
      <c r="CW56" s="11"/>
      <c r="CX56" s="12"/>
      <c r="CY56" s="12"/>
      <c r="CZ56" s="11">
        <v>6</v>
      </c>
      <c r="DA56" s="13">
        <v>419.98</v>
      </c>
      <c r="DB56" s="11">
        <v>7</v>
      </c>
      <c r="DC56" s="11"/>
      <c r="DD56" s="13"/>
      <c r="DE56" s="11"/>
      <c r="DF56" s="12"/>
      <c r="DG56" s="12"/>
      <c r="DH56" s="11">
        <v>2</v>
      </c>
      <c r="DI56" s="13">
        <v>141.24</v>
      </c>
      <c r="DJ56" s="11">
        <v>11</v>
      </c>
      <c r="DK56" s="11"/>
      <c r="DL56" s="13"/>
      <c r="DM56" s="11"/>
      <c r="DN56" s="12"/>
      <c r="DO56" s="12"/>
      <c r="DP56" s="11">
        <v>31</v>
      </c>
      <c r="DQ56" s="13">
        <v>1304.08</v>
      </c>
      <c r="DR56" s="11">
        <v>48</v>
      </c>
      <c r="DS56" s="11"/>
      <c r="DT56" s="13"/>
      <c r="DU56" s="11"/>
      <c r="DV56" s="12"/>
      <c r="DW56" s="12"/>
      <c r="DX56" s="11"/>
      <c r="DY56" s="13"/>
      <c r="DZ56" s="11">
        <v>4</v>
      </c>
      <c r="EA56" s="11"/>
      <c r="EB56" s="13"/>
      <c r="EC56" s="11"/>
      <c r="ED56" s="12"/>
      <c r="EE56" s="12"/>
      <c r="EF56" s="11"/>
      <c r="EG56" s="13"/>
      <c r="EH56" s="11"/>
      <c r="EI56" s="11"/>
      <c r="EJ56" s="13"/>
      <c r="EK56" s="11"/>
      <c r="EL56" s="12"/>
      <c r="EM56" s="12"/>
      <c r="EN56" s="11">
        <v>4</v>
      </c>
      <c r="EO56" s="13">
        <v>317.83</v>
      </c>
      <c r="EP56" s="11">
        <v>65</v>
      </c>
      <c r="EQ56" s="11"/>
      <c r="ER56" s="13"/>
      <c r="ES56" s="11"/>
      <c r="ET56" s="12"/>
      <c r="EU56" s="12"/>
      <c r="EV56" s="11"/>
      <c r="EW56" s="13"/>
      <c r="EX56" s="11"/>
      <c r="EY56" s="11"/>
      <c r="EZ56" s="13"/>
      <c r="FA56" s="11"/>
      <c r="FB56" s="12"/>
      <c r="FC56" s="12"/>
      <c r="FD56" s="11"/>
      <c r="FE56" s="13"/>
      <c r="FF56" s="11"/>
      <c r="FG56" s="11"/>
      <c r="FH56" s="13"/>
      <c r="FI56" s="11"/>
      <c r="FJ56" s="12"/>
      <c r="FK56" s="12"/>
      <c r="FL56" s="11">
        <v>48</v>
      </c>
      <c r="FM56" s="13">
        <v>3230.88</v>
      </c>
      <c r="FN56" s="11">
        <v>47</v>
      </c>
      <c r="FO56" s="11"/>
      <c r="FP56" s="13"/>
      <c r="FQ56" s="11"/>
      <c r="FR56" s="12"/>
      <c r="FS56" s="12"/>
      <c r="FT56" s="11">
        <v>5</v>
      </c>
      <c r="FU56" s="13">
        <v>299.79</v>
      </c>
      <c r="FV56" s="11">
        <v>6</v>
      </c>
      <c r="FW56" s="11"/>
      <c r="FX56" s="13"/>
      <c r="FY56" s="11"/>
      <c r="FZ56" s="12"/>
      <c r="GA56" s="12"/>
      <c r="GB56" s="11">
        <v>1</v>
      </c>
      <c r="GC56" s="13">
        <v>58.17</v>
      </c>
      <c r="GD56" s="11">
        <v>8</v>
      </c>
      <c r="GE56" s="11"/>
      <c r="GF56" s="13"/>
      <c r="GG56" s="11"/>
      <c r="GH56" s="12"/>
      <c r="GI56" s="12"/>
      <c r="GJ56" s="11"/>
      <c r="GK56" s="13"/>
      <c r="GL56" s="11"/>
      <c r="GM56" s="11"/>
      <c r="GN56" s="13"/>
      <c r="GO56" s="11"/>
      <c r="GP56" s="12"/>
      <c r="GQ56" s="12"/>
      <c r="GR56" s="11">
        <v>4</v>
      </c>
      <c r="GS56" s="13">
        <v>275.4</v>
      </c>
      <c r="GT56" s="11">
        <v>39</v>
      </c>
      <c r="GU56" s="11"/>
      <c r="GV56" s="13"/>
      <c r="GW56" s="11"/>
      <c r="GX56" s="12"/>
      <c r="GY56" s="12"/>
      <c r="GZ56" s="11">
        <v>2</v>
      </c>
      <c r="HA56" s="13">
        <v>134.96</v>
      </c>
      <c r="HB56" s="11">
        <v>5</v>
      </c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/>
      <c r="HS56" s="11"/>
      <c r="HT56" s="13"/>
      <c r="HU56" s="11"/>
      <c r="HV56" s="12"/>
      <c r="HW56" s="12"/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>
        <v>26</v>
      </c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>
        <v>4</v>
      </c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/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  <c r="LH56" s="11"/>
      <c r="LI56" s="13"/>
      <c r="LJ56" s="11"/>
      <c r="LK56" s="11"/>
      <c r="LL56" s="13"/>
      <c r="LM56" s="11"/>
      <c r="LN56" s="12"/>
      <c r="LO56" s="12"/>
      <c r="LP56" s="11"/>
      <c r="LQ56" s="13"/>
      <c r="LR56" s="11"/>
      <c r="LS56" s="11"/>
      <c r="LT56" s="13"/>
      <c r="LU56" s="11"/>
      <c r="LV56" s="12"/>
      <c r="LW56" s="12"/>
    </row>
    <row r="57">
      <c r="A57" s="10" t="s">
        <v>72</v>
      </c>
      <c r="B57" s="10" t="s">
        <v>107</v>
      </c>
      <c r="C57" s="10" t="s">
        <v>93</v>
      </c>
      <c r="D57" s="11">
        <v>3306</v>
      </c>
      <c r="E57" s="11">
        <f>=ROUNDDOWN(35.0583244962884,0)</f>
      </c>
      <c r="F57" s="11"/>
      <c r="G57" s="12">
        <v>1</v>
      </c>
      <c r="H57" s="11"/>
      <c r="I57" s="11">
        <f>=ROUNDDOWN({0},0)</f>
      </c>
      <c r="J57" s="11"/>
      <c r="K57" s="12"/>
      <c r="L57" s="11">
        <v>1249</v>
      </c>
      <c r="M57" s="13">
        <v>18927.31</v>
      </c>
      <c r="N57" s="11">
        <v>9</v>
      </c>
      <c r="O57" s="14">
        <v>2103.03</v>
      </c>
      <c r="P57" s="11"/>
      <c r="Q57" s="13"/>
      <c r="R57" s="11"/>
      <c r="S57" s="14"/>
      <c r="T57" s="12"/>
      <c r="U57" s="12"/>
      <c r="V57" s="12"/>
      <c r="W57" s="12"/>
      <c r="X57" s="11">
        <v>600</v>
      </c>
      <c r="Y57" s="13">
        <v>9887.13</v>
      </c>
      <c r="Z57" s="11">
        <v>9</v>
      </c>
      <c r="AA57" s="11"/>
      <c r="AB57" s="13"/>
      <c r="AC57" s="11"/>
      <c r="AD57" s="12"/>
      <c r="AE57" s="12"/>
      <c r="AF57" s="11">
        <v>58</v>
      </c>
      <c r="AG57" s="13">
        <v>613.86</v>
      </c>
      <c r="AH57" s="11">
        <v>9</v>
      </c>
      <c r="AI57" s="11"/>
      <c r="AJ57" s="13"/>
      <c r="AK57" s="11"/>
      <c r="AL57" s="12"/>
      <c r="AM57" s="12"/>
      <c r="AN57" s="11">
        <v>78</v>
      </c>
      <c r="AO57" s="13">
        <v>1008.2</v>
      </c>
      <c r="AP57" s="11">
        <v>9</v>
      </c>
      <c r="AQ57" s="11"/>
      <c r="AR57" s="13"/>
      <c r="AS57" s="11"/>
      <c r="AT57" s="12"/>
      <c r="AU57" s="12"/>
      <c r="AV57" s="11">
        <v>61</v>
      </c>
      <c r="AW57" s="13">
        <v>906.38</v>
      </c>
      <c r="AX57" s="11">
        <v>9</v>
      </c>
      <c r="AY57" s="11"/>
      <c r="AZ57" s="13"/>
      <c r="BA57" s="11"/>
      <c r="BB57" s="12"/>
      <c r="BC57" s="12"/>
      <c r="BD57" s="11">
        <v>240</v>
      </c>
      <c r="BE57" s="13">
        <v>3291.83</v>
      </c>
      <c r="BF57" s="11">
        <v>9</v>
      </c>
      <c r="BG57" s="11"/>
      <c r="BH57" s="13"/>
      <c r="BI57" s="11"/>
      <c r="BJ57" s="12"/>
      <c r="BK57" s="12"/>
      <c r="BL57" s="11">
        <v>16</v>
      </c>
      <c r="BM57" s="13">
        <v>256.81</v>
      </c>
      <c r="BN57" s="11">
        <v>9</v>
      </c>
      <c r="BO57" s="11"/>
      <c r="BP57" s="13"/>
      <c r="BQ57" s="11"/>
      <c r="BR57" s="12"/>
      <c r="BS57" s="12"/>
      <c r="BT57" s="11">
        <v>82</v>
      </c>
      <c r="BU57" s="13">
        <v>1354.02</v>
      </c>
      <c r="BV57" s="11">
        <v>9</v>
      </c>
      <c r="BW57" s="11"/>
      <c r="BX57" s="13"/>
      <c r="BY57" s="11"/>
      <c r="BZ57" s="12"/>
      <c r="CA57" s="12"/>
      <c r="CB57" s="11">
        <v>31</v>
      </c>
      <c r="CC57" s="13">
        <v>470.73</v>
      </c>
      <c r="CD57" s="11">
        <v>9</v>
      </c>
      <c r="CE57" s="11"/>
      <c r="CF57" s="13"/>
      <c r="CG57" s="11"/>
      <c r="CH57" s="12"/>
      <c r="CI57" s="12"/>
      <c r="CJ57" s="11"/>
      <c r="CK57" s="13"/>
      <c r="CL57" s="11">
        <v>9</v>
      </c>
      <c r="CM57" s="11"/>
      <c r="CN57" s="13"/>
      <c r="CO57" s="11"/>
      <c r="CP57" s="12"/>
      <c r="CQ57" s="12"/>
      <c r="CR57" s="11"/>
      <c r="CS57" s="13"/>
      <c r="CT57" s="11"/>
      <c r="CU57" s="11"/>
      <c r="CV57" s="13"/>
      <c r="CW57" s="11"/>
      <c r="CX57" s="12"/>
      <c r="CY57" s="12"/>
      <c r="CZ57" s="11">
        <v>2</v>
      </c>
      <c r="DA57" s="13">
        <v>33.52</v>
      </c>
      <c r="DB57" s="11">
        <v>4</v>
      </c>
      <c r="DC57" s="11"/>
      <c r="DD57" s="13"/>
      <c r="DE57" s="11"/>
      <c r="DF57" s="12"/>
      <c r="DG57" s="12"/>
      <c r="DH57" s="11">
        <v>4</v>
      </c>
      <c r="DI57" s="13">
        <v>61.32</v>
      </c>
      <c r="DJ57" s="11">
        <v>6</v>
      </c>
      <c r="DK57" s="11"/>
      <c r="DL57" s="13"/>
      <c r="DM57" s="11"/>
      <c r="DN57" s="12"/>
      <c r="DO57" s="12"/>
      <c r="DP57" s="11">
        <v>59</v>
      </c>
      <c r="DQ57" s="13">
        <v>699.64</v>
      </c>
      <c r="DR57" s="11">
        <v>8</v>
      </c>
      <c r="DS57" s="11"/>
      <c r="DT57" s="13"/>
      <c r="DU57" s="11"/>
      <c r="DV57" s="12"/>
      <c r="DW57" s="12"/>
      <c r="DX57" s="11">
        <v>2</v>
      </c>
      <c r="DY57" s="13">
        <v>20.72</v>
      </c>
      <c r="DZ57" s="11">
        <v>1</v>
      </c>
      <c r="EA57" s="11"/>
      <c r="EB57" s="13"/>
      <c r="EC57" s="11"/>
      <c r="ED57" s="12"/>
      <c r="EE57" s="12"/>
      <c r="EF57" s="11"/>
      <c r="EG57" s="13"/>
      <c r="EH57" s="11"/>
      <c r="EI57" s="11"/>
      <c r="EJ57" s="13"/>
      <c r="EK57" s="11"/>
      <c r="EL57" s="12"/>
      <c r="EM57" s="12"/>
      <c r="EN57" s="11">
        <v>4</v>
      </c>
      <c r="EO57" s="13">
        <v>132.04</v>
      </c>
      <c r="EP57" s="11">
        <v>9</v>
      </c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/>
      <c r="FM57" s="13"/>
      <c r="FN57" s="11"/>
      <c r="FO57" s="11"/>
      <c r="FP57" s="13"/>
      <c r="FQ57" s="11"/>
      <c r="FR57" s="12"/>
      <c r="FS57" s="12"/>
      <c r="FT57" s="11"/>
      <c r="FU57" s="13"/>
      <c r="FV57" s="11">
        <v>1</v>
      </c>
      <c r="FW57" s="11"/>
      <c r="FX57" s="13"/>
      <c r="FY57" s="11"/>
      <c r="FZ57" s="12"/>
      <c r="GA57" s="12"/>
      <c r="GB57" s="11"/>
      <c r="GC57" s="13"/>
      <c r="GD57" s="11"/>
      <c r="GE57" s="11"/>
      <c r="GF57" s="13"/>
      <c r="GG57" s="11"/>
      <c r="GH57" s="12"/>
      <c r="GI57" s="12"/>
      <c r="GJ57" s="11">
        <v>4</v>
      </c>
      <c r="GK57" s="13">
        <v>65.28</v>
      </c>
      <c r="GL57" s="11">
        <v>2</v>
      </c>
      <c r="GM57" s="11"/>
      <c r="GN57" s="13"/>
      <c r="GO57" s="11"/>
      <c r="GP57" s="12"/>
      <c r="GQ57" s="12"/>
      <c r="GR57" s="11">
        <v>2</v>
      </c>
      <c r="GS57" s="13">
        <v>32.65</v>
      </c>
      <c r="GT57" s="11">
        <v>8</v>
      </c>
      <c r="GU57" s="11"/>
      <c r="GV57" s="13"/>
      <c r="GW57" s="11"/>
      <c r="GX57" s="12"/>
      <c r="GY57" s="12"/>
      <c r="GZ57" s="11">
        <v>3</v>
      </c>
      <c r="HA57" s="13">
        <v>46.98</v>
      </c>
      <c r="HB57" s="11">
        <v>2</v>
      </c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/>
      <c r="HQ57" s="13"/>
      <c r="HR57" s="11"/>
      <c r="HS57" s="11"/>
      <c r="HT57" s="13"/>
      <c r="HU57" s="11"/>
      <c r="HV57" s="12"/>
      <c r="HW57" s="12"/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>
        <v>3</v>
      </c>
      <c r="IW57" s="13">
        <v>46.2</v>
      </c>
      <c r="IX57" s="11">
        <v>4</v>
      </c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/>
      <c r="JP57" s="13"/>
      <c r="JQ57" s="11"/>
      <c r="JR57" s="12"/>
      <c r="JS57" s="12"/>
      <c r="JT57" s="11"/>
      <c r="JU57" s="13"/>
      <c r="JV57" s="11">
        <v>9</v>
      </c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  <c r="LH57" s="11"/>
      <c r="LI57" s="13"/>
      <c r="LJ57" s="11"/>
      <c r="LK57" s="11"/>
      <c r="LL57" s="13"/>
      <c r="LM57" s="11"/>
      <c r="LN57" s="12"/>
      <c r="LO57" s="12"/>
      <c r="LP57" s="11"/>
      <c r="LQ57" s="13"/>
      <c r="LR57" s="11"/>
      <c r="LS57" s="11"/>
      <c r="LT57" s="13"/>
      <c r="LU57" s="11"/>
      <c r="LV57" s="12"/>
      <c r="LW57" s="12"/>
    </row>
    <row r="58">
      <c r="A58" s="10" t="s">
        <v>72</v>
      </c>
      <c r="B58" s="10" t="s">
        <v>108</v>
      </c>
      <c r="C58" s="10" t="s">
        <v>77</v>
      </c>
      <c r="D58" s="11">
        <v>65825</v>
      </c>
      <c r="E58" s="11">
        <f>=ROUNDDOWN({0},0)</f>
      </c>
      <c r="F58" s="11">
        <v>8359</v>
      </c>
      <c r="G58" s="12"/>
      <c r="H58" s="11"/>
      <c r="I58" s="11">
        <f>=ROUNDDOWN({0},0)</f>
      </c>
      <c r="J58" s="11"/>
      <c r="K58" s="12"/>
      <c r="L58" s="11">
        <v>16425</v>
      </c>
      <c r="M58" s="13">
        <v>919360.5</v>
      </c>
      <c r="N58" s="11">
        <v>159</v>
      </c>
      <c r="O58" s="14">
        <v>5782.14</v>
      </c>
      <c r="P58" s="11"/>
      <c r="Q58" s="13"/>
      <c r="R58" s="11"/>
      <c r="S58" s="14"/>
      <c r="T58" s="12"/>
      <c r="U58" s="12"/>
      <c r="V58" s="12"/>
      <c r="W58" s="12"/>
      <c r="X58" s="11">
        <v>6211</v>
      </c>
      <c r="Y58" s="13">
        <v>324487.08</v>
      </c>
      <c r="Z58" s="11">
        <v>146</v>
      </c>
      <c r="AA58" s="11"/>
      <c r="AB58" s="13"/>
      <c r="AC58" s="11"/>
      <c r="AD58" s="12"/>
      <c r="AE58" s="12"/>
      <c r="AF58" s="11">
        <v>1628</v>
      </c>
      <c r="AG58" s="13">
        <v>83732.41</v>
      </c>
      <c r="AH58" s="11">
        <v>154</v>
      </c>
      <c r="AI58" s="11"/>
      <c r="AJ58" s="13"/>
      <c r="AK58" s="11"/>
      <c r="AL58" s="12"/>
      <c r="AM58" s="12"/>
      <c r="AN58" s="11">
        <v>1525</v>
      </c>
      <c r="AO58" s="13">
        <v>90464.47</v>
      </c>
      <c r="AP58" s="11">
        <v>154</v>
      </c>
      <c r="AQ58" s="11"/>
      <c r="AR58" s="13"/>
      <c r="AS58" s="11"/>
      <c r="AT58" s="12"/>
      <c r="AU58" s="12"/>
      <c r="AV58" s="11">
        <v>1784</v>
      </c>
      <c r="AW58" s="13">
        <v>109160.73</v>
      </c>
      <c r="AX58" s="11">
        <v>130</v>
      </c>
      <c r="AY58" s="11"/>
      <c r="AZ58" s="13"/>
      <c r="BA58" s="11"/>
      <c r="BB58" s="12"/>
      <c r="BC58" s="12"/>
      <c r="BD58" s="11">
        <v>1935</v>
      </c>
      <c r="BE58" s="13">
        <v>115354.05</v>
      </c>
      <c r="BF58" s="11">
        <v>154</v>
      </c>
      <c r="BG58" s="11"/>
      <c r="BH58" s="13"/>
      <c r="BI58" s="11"/>
      <c r="BJ58" s="12"/>
      <c r="BK58" s="12"/>
      <c r="BL58" s="11">
        <v>956</v>
      </c>
      <c r="BM58" s="13">
        <v>59274.05</v>
      </c>
      <c r="BN58" s="11">
        <v>155</v>
      </c>
      <c r="BO58" s="11"/>
      <c r="BP58" s="13"/>
      <c r="BQ58" s="11"/>
      <c r="BR58" s="12"/>
      <c r="BS58" s="12"/>
      <c r="BT58" s="11">
        <v>1062</v>
      </c>
      <c r="BU58" s="13">
        <v>59349.62</v>
      </c>
      <c r="BV58" s="11">
        <v>154</v>
      </c>
      <c r="BW58" s="11"/>
      <c r="BX58" s="13"/>
      <c r="BY58" s="11"/>
      <c r="BZ58" s="12"/>
      <c r="CA58" s="12"/>
      <c r="CB58" s="11">
        <v>565</v>
      </c>
      <c r="CC58" s="13">
        <v>35109.39</v>
      </c>
      <c r="CD58" s="11">
        <v>143</v>
      </c>
      <c r="CE58" s="11"/>
      <c r="CF58" s="13"/>
      <c r="CG58" s="11"/>
      <c r="CH58" s="12"/>
      <c r="CI58" s="12"/>
      <c r="CJ58" s="11">
        <v>26</v>
      </c>
      <c r="CK58" s="13">
        <v>2693.23</v>
      </c>
      <c r="CL58" s="11">
        <v>154</v>
      </c>
      <c r="CM58" s="11"/>
      <c r="CN58" s="13"/>
      <c r="CO58" s="11"/>
      <c r="CP58" s="12"/>
      <c r="CQ58" s="12"/>
      <c r="CR58" s="11"/>
      <c r="CS58" s="13"/>
      <c r="CT58" s="11"/>
      <c r="CU58" s="11"/>
      <c r="CV58" s="13"/>
      <c r="CW58" s="11"/>
      <c r="CX58" s="12"/>
      <c r="CY58" s="12"/>
      <c r="CZ58" s="11">
        <v>57</v>
      </c>
      <c r="DA58" s="13">
        <v>3341.25</v>
      </c>
      <c r="DB58" s="11">
        <v>38</v>
      </c>
      <c r="DC58" s="11"/>
      <c r="DD58" s="13"/>
      <c r="DE58" s="11"/>
      <c r="DF58" s="12"/>
      <c r="DG58" s="12"/>
      <c r="DH58" s="11">
        <v>66</v>
      </c>
      <c r="DI58" s="13">
        <v>4210.6</v>
      </c>
      <c r="DJ58" s="11">
        <v>46</v>
      </c>
      <c r="DK58" s="11"/>
      <c r="DL58" s="13"/>
      <c r="DM58" s="11"/>
      <c r="DN58" s="12"/>
      <c r="DO58" s="12"/>
      <c r="DP58" s="11">
        <v>260</v>
      </c>
      <c r="DQ58" s="13">
        <v>10680.75</v>
      </c>
      <c r="DR58" s="11">
        <v>120</v>
      </c>
      <c r="DS58" s="11"/>
      <c r="DT58" s="13"/>
      <c r="DU58" s="11"/>
      <c r="DV58" s="12"/>
      <c r="DW58" s="12"/>
      <c r="DX58" s="11">
        <v>71</v>
      </c>
      <c r="DY58" s="13">
        <v>1905.25</v>
      </c>
      <c r="DZ58" s="11">
        <v>16</v>
      </c>
      <c r="EA58" s="11"/>
      <c r="EB58" s="13"/>
      <c r="EC58" s="11"/>
      <c r="ED58" s="12"/>
      <c r="EE58" s="12"/>
      <c r="EF58" s="11"/>
      <c r="EG58" s="13"/>
      <c r="EH58" s="11"/>
      <c r="EI58" s="11"/>
      <c r="EJ58" s="13"/>
      <c r="EK58" s="11"/>
      <c r="EL58" s="12"/>
      <c r="EM58" s="12"/>
      <c r="EN58" s="11">
        <v>28</v>
      </c>
      <c r="EO58" s="13">
        <v>2004.11</v>
      </c>
      <c r="EP58" s="11">
        <v>157</v>
      </c>
      <c r="EQ58" s="11"/>
      <c r="ER58" s="13"/>
      <c r="ES58" s="11"/>
      <c r="ET58" s="12"/>
      <c r="EU58" s="12"/>
      <c r="EV58" s="11"/>
      <c r="EW58" s="13"/>
      <c r="EX58" s="11"/>
      <c r="EY58" s="11"/>
      <c r="EZ58" s="13"/>
      <c r="FA58" s="11"/>
      <c r="FB58" s="12"/>
      <c r="FC58" s="12"/>
      <c r="FD58" s="11">
        <v>17</v>
      </c>
      <c r="FE58" s="13">
        <v>1298.59</v>
      </c>
      <c r="FF58" s="11">
        <v>26</v>
      </c>
      <c r="FG58" s="11"/>
      <c r="FH58" s="13"/>
      <c r="FI58" s="11"/>
      <c r="FJ58" s="12"/>
      <c r="FK58" s="12"/>
      <c r="FL58" s="11">
        <v>149</v>
      </c>
      <c r="FM58" s="13">
        <v>11195.86</v>
      </c>
      <c r="FN58" s="11">
        <v>104</v>
      </c>
      <c r="FO58" s="11"/>
      <c r="FP58" s="13"/>
      <c r="FQ58" s="11"/>
      <c r="FR58" s="12"/>
      <c r="FS58" s="12"/>
      <c r="FT58" s="11">
        <v>23</v>
      </c>
      <c r="FU58" s="13">
        <v>1570.97</v>
      </c>
      <c r="FV58" s="11">
        <v>45</v>
      </c>
      <c r="FW58" s="11"/>
      <c r="FX58" s="13"/>
      <c r="FY58" s="11"/>
      <c r="FZ58" s="12"/>
      <c r="GA58" s="12"/>
      <c r="GB58" s="11">
        <v>13</v>
      </c>
      <c r="GC58" s="13">
        <v>988.63</v>
      </c>
      <c r="GD58" s="11">
        <v>48</v>
      </c>
      <c r="GE58" s="11"/>
      <c r="GF58" s="13"/>
      <c r="GG58" s="11"/>
      <c r="GH58" s="12"/>
      <c r="GI58" s="12"/>
      <c r="GJ58" s="11">
        <v>8</v>
      </c>
      <c r="GK58" s="13">
        <v>348.65</v>
      </c>
      <c r="GL58" s="11">
        <v>20</v>
      </c>
      <c r="GM58" s="11"/>
      <c r="GN58" s="13"/>
      <c r="GO58" s="11"/>
      <c r="GP58" s="12"/>
      <c r="GQ58" s="12"/>
      <c r="GR58" s="11">
        <v>15</v>
      </c>
      <c r="GS58" s="13">
        <v>886.86</v>
      </c>
      <c r="GT58" s="11">
        <v>100</v>
      </c>
      <c r="GU58" s="11"/>
      <c r="GV58" s="13"/>
      <c r="GW58" s="11"/>
      <c r="GX58" s="12"/>
      <c r="GY58" s="12"/>
      <c r="GZ58" s="11">
        <v>13</v>
      </c>
      <c r="HA58" s="13">
        <v>682.77</v>
      </c>
      <c r="HB58" s="11">
        <v>36</v>
      </c>
      <c r="HC58" s="11"/>
      <c r="HD58" s="13"/>
      <c r="HE58" s="11"/>
      <c r="HF58" s="12"/>
      <c r="HG58" s="12"/>
      <c r="HH58" s="11"/>
      <c r="HI58" s="13"/>
      <c r="HJ58" s="11"/>
      <c r="HK58" s="11"/>
      <c r="HL58" s="13"/>
      <c r="HM58" s="11"/>
      <c r="HN58" s="12"/>
      <c r="HO58" s="12"/>
      <c r="HP58" s="11"/>
      <c r="HQ58" s="13"/>
      <c r="HR58" s="11"/>
      <c r="HS58" s="11"/>
      <c r="HT58" s="13"/>
      <c r="HU58" s="11"/>
      <c r="HV58" s="12"/>
      <c r="HW58" s="12"/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>
        <v>13</v>
      </c>
      <c r="IW58" s="13">
        <v>621.18</v>
      </c>
      <c r="IX58" s="11">
        <v>71</v>
      </c>
      <c r="IY58" s="11"/>
      <c r="IZ58" s="13"/>
      <c r="JA58" s="11"/>
      <c r="JB58" s="12"/>
      <c r="JC58" s="12"/>
      <c r="JD58" s="11"/>
      <c r="JE58" s="13"/>
      <c r="JF58" s="11">
        <v>4</v>
      </c>
      <c r="JG58" s="11"/>
      <c r="JH58" s="13"/>
      <c r="JI58" s="11"/>
      <c r="JJ58" s="12"/>
      <c r="JK58" s="12"/>
      <c r="JL58" s="11"/>
      <c r="JM58" s="13"/>
      <c r="JN58" s="11"/>
      <c r="JO58" s="11"/>
      <c r="JP58" s="13"/>
      <c r="JQ58" s="11"/>
      <c r="JR58" s="12"/>
      <c r="JS58" s="12"/>
      <c r="JT58" s="11"/>
      <c r="JU58" s="13"/>
      <c r="JV58" s="11">
        <v>20</v>
      </c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/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  <c r="LH58" s="11"/>
      <c r="LI58" s="13"/>
      <c r="LJ58" s="11"/>
      <c r="LK58" s="11"/>
      <c r="LL58" s="13"/>
      <c r="LM58" s="11"/>
      <c r="LN58" s="12"/>
      <c r="LO58" s="12"/>
      <c r="LP58" s="11"/>
      <c r="LQ58" s="13"/>
      <c r="LR58" s="11"/>
      <c r="LS58" s="11"/>
      <c r="LT58" s="13"/>
      <c r="LU58" s="11"/>
      <c r="LV58" s="12"/>
      <c r="LW58" s="12"/>
    </row>
    <row r="59">
      <c r="A59" s="10" t="s">
        <v>72</v>
      </c>
      <c r="B59" s="10" t="s">
        <v>109</v>
      </c>
      <c r="C59" s="10" t="s">
        <v>83</v>
      </c>
      <c r="D59" s="11">
        <v>72</v>
      </c>
      <c r="E59" s="11">
        <f>=ROUNDDOWN(4.86486486486486,0)</f>
      </c>
      <c r="F59" s="11"/>
      <c r="G59" s="12"/>
      <c r="H59" s="11"/>
      <c r="I59" s="11">
        <f>=ROUNDDOWN({0},0)</f>
      </c>
      <c r="J59" s="11"/>
      <c r="K59" s="12"/>
      <c r="L59" s="11">
        <v>149</v>
      </c>
      <c r="M59" s="13">
        <v>4077.85</v>
      </c>
      <c r="N59" s="11">
        <v>2</v>
      </c>
      <c r="O59" s="14">
        <v>2038.92</v>
      </c>
      <c r="P59" s="11"/>
      <c r="Q59" s="13"/>
      <c r="R59" s="11"/>
      <c r="S59" s="14"/>
      <c r="T59" s="12"/>
      <c r="U59" s="12"/>
      <c r="V59" s="12"/>
      <c r="W59" s="12"/>
      <c r="X59" s="11">
        <v>143</v>
      </c>
      <c r="Y59" s="13">
        <v>3911.65</v>
      </c>
      <c r="Z59" s="11">
        <v>2</v>
      </c>
      <c r="AA59" s="11"/>
      <c r="AB59" s="13"/>
      <c r="AC59" s="11"/>
      <c r="AD59" s="12"/>
      <c r="AE59" s="12"/>
      <c r="AF59" s="11"/>
      <c r="AG59" s="13"/>
      <c r="AH59" s="11"/>
      <c r="AI59" s="11"/>
      <c r="AJ59" s="13"/>
      <c r="AK59" s="11"/>
      <c r="AL59" s="12"/>
      <c r="AM59" s="12"/>
      <c r="AN59" s="11"/>
      <c r="AO59" s="13"/>
      <c r="AP59" s="11"/>
      <c r="AQ59" s="11"/>
      <c r="AR59" s="13"/>
      <c r="AS59" s="11"/>
      <c r="AT59" s="12"/>
      <c r="AU59" s="12"/>
      <c r="AV59" s="11"/>
      <c r="AW59" s="13"/>
      <c r="AX59" s="11"/>
      <c r="AY59" s="11"/>
      <c r="AZ59" s="13"/>
      <c r="BA59" s="11"/>
      <c r="BB59" s="12"/>
      <c r="BC59" s="12"/>
      <c r="BD59" s="11"/>
      <c r="BE59" s="13"/>
      <c r="BF59" s="11"/>
      <c r="BG59" s="11"/>
      <c r="BH59" s="13"/>
      <c r="BI59" s="11"/>
      <c r="BJ59" s="12"/>
      <c r="BK59" s="12"/>
      <c r="BL59" s="11">
        <v>6</v>
      </c>
      <c r="BM59" s="13">
        <v>166.2</v>
      </c>
      <c r="BN59" s="11"/>
      <c r="BO59" s="11"/>
      <c r="BP59" s="13"/>
      <c r="BQ59" s="11"/>
      <c r="BR59" s="12"/>
      <c r="BS59" s="12"/>
      <c r="BT59" s="11"/>
      <c r="BU59" s="13"/>
      <c r="BV59" s="11"/>
      <c r="BW59" s="11"/>
      <c r="BX59" s="13"/>
      <c r="BY59" s="11"/>
      <c r="BZ59" s="12"/>
      <c r="CA59" s="12"/>
      <c r="CB59" s="11"/>
      <c r="CC59" s="13"/>
      <c r="CD59" s="11"/>
      <c r="CE59" s="11"/>
      <c r="CF59" s="13"/>
      <c r="CG59" s="11"/>
      <c r="CH59" s="12"/>
      <c r="CI59" s="12"/>
      <c r="CJ59" s="11"/>
      <c r="CK59" s="13"/>
      <c r="CL59" s="11"/>
      <c r="CM59" s="11"/>
      <c r="CN59" s="13"/>
      <c r="CO59" s="11"/>
      <c r="CP59" s="12"/>
      <c r="CQ59" s="12"/>
      <c r="CR59" s="11"/>
      <c r="CS59" s="13"/>
      <c r="CT59" s="11"/>
      <c r="CU59" s="11"/>
      <c r="CV59" s="13"/>
      <c r="CW59" s="11"/>
      <c r="CX59" s="12"/>
      <c r="CY59" s="12"/>
      <c r="CZ59" s="11"/>
      <c r="DA59" s="13"/>
      <c r="DB59" s="11"/>
      <c r="DC59" s="11"/>
      <c r="DD59" s="13"/>
      <c r="DE59" s="11"/>
      <c r="DF59" s="12"/>
      <c r="DG59" s="12"/>
      <c r="DH59" s="11"/>
      <c r="DI59" s="13"/>
      <c r="DJ59" s="11"/>
      <c r="DK59" s="11"/>
      <c r="DL59" s="13"/>
      <c r="DM59" s="11"/>
      <c r="DN59" s="12"/>
      <c r="DO59" s="12"/>
      <c r="DP59" s="11"/>
      <c r="DQ59" s="13"/>
      <c r="DR59" s="11"/>
      <c r="DS59" s="11"/>
      <c r="DT59" s="13"/>
      <c r="DU59" s="11"/>
      <c r="DV59" s="12"/>
      <c r="DW59" s="12"/>
      <c r="DX59" s="11"/>
      <c r="DY59" s="13"/>
      <c r="DZ59" s="11"/>
      <c r="EA59" s="11"/>
      <c r="EB59" s="13"/>
      <c r="EC59" s="11"/>
      <c r="ED59" s="12"/>
      <c r="EE59" s="12"/>
      <c r="EF59" s="11"/>
      <c r="EG59" s="13"/>
      <c r="EH59" s="11"/>
      <c r="EI59" s="11"/>
      <c r="EJ59" s="13"/>
      <c r="EK59" s="11"/>
      <c r="EL59" s="12"/>
      <c r="EM59" s="12"/>
      <c r="EN59" s="11"/>
      <c r="EO59" s="13"/>
      <c r="EP59" s="11">
        <v>2</v>
      </c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/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/>
      <c r="FU59" s="13"/>
      <c r="FV59" s="11"/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/>
      <c r="GS59" s="13"/>
      <c r="GT59" s="11"/>
      <c r="GU59" s="11"/>
      <c r="GV59" s="13"/>
      <c r="GW59" s="11"/>
      <c r="GX59" s="12"/>
      <c r="GY59" s="12"/>
      <c r="GZ59" s="11"/>
      <c r="HA59" s="13"/>
      <c r="HB59" s="11"/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/>
      <c r="JP59" s="13"/>
      <c r="JQ59" s="11"/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/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  <c r="LH59" s="11"/>
      <c r="LI59" s="13"/>
      <c r="LJ59" s="11"/>
      <c r="LK59" s="11"/>
      <c r="LL59" s="13"/>
      <c r="LM59" s="11"/>
      <c r="LN59" s="12"/>
      <c r="LO59" s="12"/>
      <c r="LP59" s="11"/>
      <c r="LQ59" s="13"/>
      <c r="LR59" s="11"/>
      <c r="LS59" s="11"/>
      <c r="LT59" s="13"/>
      <c r="LU59" s="11"/>
      <c r="LV59" s="12"/>
      <c r="LW59" s="12"/>
    </row>
    <row r="60">
      <c r="A60" s="10" t="s">
        <v>72</v>
      </c>
      <c r="B60" s="10" t="s">
        <v>110</v>
      </c>
      <c r="C60" s="10" t="s">
        <v>77</v>
      </c>
      <c r="D60" s="11">
        <v>72</v>
      </c>
      <c r="E60" s="11">
        <f>=ROUNDDOWN({0},0)</f>
      </c>
      <c r="F60" s="11"/>
      <c r="G60" s="12"/>
      <c r="H60" s="11"/>
      <c r="I60" s="11">
        <f>=ROUNDDOWN({0},0)</f>
      </c>
      <c r="J60" s="11"/>
      <c r="K60" s="12"/>
      <c r="L60" s="11">
        <v>149</v>
      </c>
      <c r="M60" s="13">
        <v>4077.85</v>
      </c>
      <c r="N60" s="11">
        <v>2</v>
      </c>
      <c r="O60" s="14">
        <v>2038.92</v>
      </c>
      <c r="P60" s="11"/>
      <c r="Q60" s="13"/>
      <c r="R60" s="11"/>
      <c r="S60" s="14"/>
      <c r="T60" s="12"/>
      <c r="U60" s="12"/>
      <c r="V60" s="12"/>
      <c r="W60" s="12"/>
      <c r="X60" s="11">
        <v>143</v>
      </c>
      <c r="Y60" s="13">
        <v>3911.65</v>
      </c>
      <c r="Z60" s="11">
        <v>2</v>
      </c>
      <c r="AA60" s="11"/>
      <c r="AB60" s="13"/>
      <c r="AC60" s="11"/>
      <c r="AD60" s="12"/>
      <c r="AE60" s="12"/>
      <c r="AF60" s="11"/>
      <c r="AG60" s="13"/>
      <c r="AH60" s="11"/>
      <c r="AI60" s="11"/>
      <c r="AJ60" s="13"/>
      <c r="AK60" s="11"/>
      <c r="AL60" s="12"/>
      <c r="AM60" s="12"/>
      <c r="AN60" s="11"/>
      <c r="AO60" s="13"/>
      <c r="AP60" s="11"/>
      <c r="AQ60" s="11"/>
      <c r="AR60" s="13"/>
      <c r="AS60" s="11"/>
      <c r="AT60" s="12"/>
      <c r="AU60" s="12"/>
      <c r="AV60" s="11"/>
      <c r="AW60" s="13"/>
      <c r="AX60" s="11"/>
      <c r="AY60" s="11"/>
      <c r="AZ60" s="13"/>
      <c r="BA60" s="11"/>
      <c r="BB60" s="12"/>
      <c r="BC60" s="12"/>
      <c r="BD60" s="11"/>
      <c r="BE60" s="13"/>
      <c r="BF60" s="11"/>
      <c r="BG60" s="11"/>
      <c r="BH60" s="13"/>
      <c r="BI60" s="11"/>
      <c r="BJ60" s="12"/>
      <c r="BK60" s="12"/>
      <c r="BL60" s="11">
        <v>6</v>
      </c>
      <c r="BM60" s="13">
        <v>166.2</v>
      </c>
      <c r="BN60" s="11"/>
      <c r="BO60" s="11"/>
      <c r="BP60" s="13"/>
      <c r="BQ60" s="11"/>
      <c r="BR60" s="12"/>
      <c r="BS60" s="12"/>
      <c r="BT60" s="11"/>
      <c r="BU60" s="13"/>
      <c r="BV60" s="11"/>
      <c r="BW60" s="11"/>
      <c r="BX60" s="13"/>
      <c r="BY60" s="11"/>
      <c r="BZ60" s="12"/>
      <c r="CA60" s="12"/>
      <c r="CB60" s="11"/>
      <c r="CC60" s="13"/>
      <c r="CD60" s="11"/>
      <c r="CE60" s="11"/>
      <c r="CF60" s="13"/>
      <c r="CG60" s="11"/>
      <c r="CH60" s="12"/>
      <c r="CI60" s="12"/>
      <c r="CJ60" s="11"/>
      <c r="CK60" s="13"/>
      <c r="CL60" s="11"/>
      <c r="CM60" s="11"/>
      <c r="CN60" s="13"/>
      <c r="CO60" s="11"/>
      <c r="CP60" s="12"/>
      <c r="CQ60" s="12"/>
      <c r="CR60" s="11"/>
      <c r="CS60" s="13"/>
      <c r="CT60" s="11"/>
      <c r="CU60" s="11"/>
      <c r="CV60" s="13"/>
      <c r="CW60" s="11"/>
      <c r="CX60" s="12"/>
      <c r="CY60" s="12"/>
      <c r="CZ60" s="11"/>
      <c r="DA60" s="13"/>
      <c r="DB60" s="11"/>
      <c r="DC60" s="11"/>
      <c r="DD60" s="13"/>
      <c r="DE60" s="11"/>
      <c r="DF60" s="12"/>
      <c r="DG60" s="12"/>
      <c r="DH60" s="11"/>
      <c r="DI60" s="13"/>
      <c r="DJ60" s="11"/>
      <c r="DK60" s="11"/>
      <c r="DL60" s="13"/>
      <c r="DM60" s="11"/>
      <c r="DN60" s="12"/>
      <c r="DO60" s="12"/>
      <c r="DP60" s="11"/>
      <c r="DQ60" s="13"/>
      <c r="DR60" s="11"/>
      <c r="DS60" s="11"/>
      <c r="DT60" s="13"/>
      <c r="DU60" s="11"/>
      <c r="DV60" s="12"/>
      <c r="DW60" s="12"/>
      <c r="DX60" s="11"/>
      <c r="DY60" s="13"/>
      <c r="DZ60" s="11"/>
      <c r="EA60" s="11"/>
      <c r="EB60" s="13"/>
      <c r="EC60" s="11"/>
      <c r="ED60" s="12"/>
      <c r="EE60" s="12"/>
      <c r="EF60" s="11"/>
      <c r="EG60" s="13"/>
      <c r="EH60" s="11"/>
      <c r="EI60" s="11"/>
      <c r="EJ60" s="13"/>
      <c r="EK60" s="11"/>
      <c r="EL60" s="12"/>
      <c r="EM60" s="12"/>
      <c r="EN60" s="11"/>
      <c r="EO60" s="13"/>
      <c r="EP60" s="11">
        <v>2</v>
      </c>
      <c r="EQ60" s="11"/>
      <c r="ER60" s="13"/>
      <c r="ES60" s="11"/>
      <c r="ET60" s="12"/>
      <c r="EU60" s="12"/>
      <c r="EV60" s="11"/>
      <c r="EW60" s="13"/>
      <c r="EX60" s="11"/>
      <c r="EY60" s="11"/>
      <c r="EZ60" s="13"/>
      <c r="FA60" s="11"/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/>
      <c r="FO60" s="11"/>
      <c r="FP60" s="13"/>
      <c r="FQ60" s="11"/>
      <c r="FR60" s="12"/>
      <c r="FS60" s="12"/>
      <c r="FT60" s="11"/>
      <c r="FU60" s="13"/>
      <c r="FV60" s="11"/>
      <c r="FW60" s="11"/>
      <c r="FX60" s="13"/>
      <c r="FY60" s="11"/>
      <c r="FZ60" s="12"/>
      <c r="GA60" s="12"/>
      <c r="GB60" s="11"/>
      <c r="GC60" s="13"/>
      <c r="GD60" s="11"/>
      <c r="GE60" s="11"/>
      <c r="GF60" s="13"/>
      <c r="GG60" s="11"/>
      <c r="GH60" s="12"/>
      <c r="GI60" s="12"/>
      <c r="GJ60" s="11"/>
      <c r="GK60" s="13"/>
      <c r="GL60" s="11"/>
      <c r="GM60" s="11"/>
      <c r="GN60" s="13"/>
      <c r="GO60" s="11"/>
      <c r="GP60" s="12"/>
      <c r="GQ60" s="12"/>
      <c r="GR60" s="11"/>
      <c r="GS60" s="13"/>
      <c r="GT60" s="11"/>
      <c r="GU60" s="11"/>
      <c r="GV60" s="13"/>
      <c r="GW60" s="11"/>
      <c r="GX60" s="12"/>
      <c r="GY60" s="12"/>
      <c r="GZ60" s="11"/>
      <c r="HA60" s="13"/>
      <c r="HB60" s="11"/>
      <c r="HC60" s="11"/>
      <c r="HD60" s="13"/>
      <c r="HE60" s="11"/>
      <c r="HF60" s="12"/>
      <c r="HG60" s="12"/>
      <c r="HH60" s="11"/>
      <c r="HI60" s="13"/>
      <c r="HJ60" s="11"/>
      <c r="HK60" s="11"/>
      <c r="HL60" s="13"/>
      <c r="HM60" s="11"/>
      <c r="HN60" s="12"/>
      <c r="HO60" s="12"/>
      <c r="HP60" s="11"/>
      <c r="HQ60" s="13"/>
      <c r="HR60" s="11"/>
      <c r="HS60" s="11"/>
      <c r="HT60" s="13"/>
      <c r="HU60" s="11"/>
      <c r="HV60" s="12"/>
      <c r="HW60" s="12"/>
      <c r="HX60" s="11"/>
      <c r="HY60" s="13"/>
      <c r="HZ60" s="11"/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/>
      <c r="JP60" s="13"/>
      <c r="JQ60" s="11"/>
      <c r="JR60" s="12"/>
      <c r="JS60" s="12"/>
      <c r="JT60" s="11"/>
      <c r="JU60" s="13"/>
      <c r="JV60" s="11"/>
      <c r="JW60" s="11"/>
      <c r="JX60" s="13"/>
      <c r="JY60" s="11"/>
      <c r="JZ60" s="12"/>
      <c r="KA60" s="12"/>
      <c r="KB60" s="11"/>
      <c r="KC60" s="13"/>
      <c r="KD60" s="11"/>
      <c r="KE60" s="11"/>
      <c r="KF60" s="13"/>
      <c r="KG60" s="11"/>
      <c r="KH60" s="12"/>
      <c r="KI60" s="12"/>
      <c r="KJ60" s="11"/>
      <c r="KK60" s="13"/>
      <c r="KL60" s="11"/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  <c r="LH60" s="11"/>
      <c r="LI60" s="13"/>
      <c r="LJ60" s="11"/>
      <c r="LK60" s="11"/>
      <c r="LL60" s="13"/>
      <c r="LM60" s="11"/>
      <c r="LN60" s="12"/>
      <c r="LO60" s="12"/>
      <c r="LP60" s="11"/>
      <c r="LQ60" s="13"/>
      <c r="LR60" s="11"/>
      <c r="LS60" s="11"/>
      <c r="LT60" s="13"/>
      <c r="LU60" s="11"/>
      <c r="LV60" s="12"/>
      <c r="LW60" s="12"/>
    </row>
    <row r="61">
      <c r="A61" s="10" t="s">
        <v>72</v>
      </c>
      <c r="B61" s="10" t="s">
        <v>111</v>
      </c>
      <c r="C61" s="10" t="s">
        <v>74</v>
      </c>
      <c r="D61" s="11"/>
      <c r="E61" s="11">
        <f>=ROUNDDOWN({0},0)</f>
      </c>
      <c r="F61" s="11"/>
      <c r="G61" s="12"/>
      <c r="H61" s="11"/>
      <c r="I61" s="11">
        <f>=ROUNDDOWN({0},0)</f>
      </c>
      <c r="J61" s="11"/>
      <c r="K61" s="12"/>
      <c r="L61" s="11"/>
      <c r="M61" s="13"/>
      <c r="N61" s="11"/>
      <c r="O61" s="14"/>
      <c r="P61" s="11"/>
      <c r="Q61" s="13"/>
      <c r="R61" s="11"/>
      <c r="S61" s="14"/>
      <c r="T61" s="12"/>
      <c r="U61" s="12"/>
      <c r="V61" s="12"/>
      <c r="W61" s="12"/>
      <c r="X61" s="11"/>
      <c r="Y61" s="13"/>
      <c r="Z61" s="11"/>
      <c r="AA61" s="11"/>
      <c r="AB61" s="13"/>
      <c r="AC61" s="11"/>
      <c r="AD61" s="12"/>
      <c r="AE61" s="12"/>
      <c r="AF61" s="11"/>
      <c r="AG61" s="13"/>
      <c r="AH61" s="11"/>
      <c r="AI61" s="11"/>
      <c r="AJ61" s="13"/>
      <c r="AK61" s="11"/>
      <c r="AL61" s="12"/>
      <c r="AM61" s="12"/>
      <c r="AN61" s="11"/>
      <c r="AO61" s="13"/>
      <c r="AP61" s="11"/>
      <c r="AQ61" s="11"/>
      <c r="AR61" s="13"/>
      <c r="AS61" s="11"/>
      <c r="AT61" s="12"/>
      <c r="AU61" s="12"/>
      <c r="AV61" s="11"/>
      <c r="AW61" s="13"/>
      <c r="AX61" s="11"/>
      <c r="AY61" s="11"/>
      <c r="AZ61" s="13"/>
      <c r="BA61" s="11"/>
      <c r="BB61" s="12"/>
      <c r="BC61" s="12"/>
      <c r="BD61" s="11"/>
      <c r="BE61" s="13"/>
      <c r="BF61" s="11"/>
      <c r="BG61" s="11"/>
      <c r="BH61" s="13"/>
      <c r="BI61" s="11"/>
      <c r="BJ61" s="12"/>
      <c r="BK61" s="12"/>
      <c r="BL61" s="11"/>
      <c r="BM61" s="13"/>
      <c r="BN61" s="11"/>
      <c r="BO61" s="11"/>
      <c r="BP61" s="13"/>
      <c r="BQ61" s="11"/>
      <c r="BR61" s="12"/>
      <c r="BS61" s="12"/>
      <c r="BT61" s="11"/>
      <c r="BU61" s="13"/>
      <c r="BV61" s="11"/>
      <c r="BW61" s="11"/>
      <c r="BX61" s="13"/>
      <c r="BY61" s="11"/>
      <c r="BZ61" s="12"/>
      <c r="CA61" s="12"/>
      <c r="CB61" s="11"/>
      <c r="CC61" s="13"/>
      <c r="CD61" s="11"/>
      <c r="CE61" s="11"/>
      <c r="CF61" s="13"/>
      <c r="CG61" s="11"/>
      <c r="CH61" s="12"/>
      <c r="CI61" s="12"/>
      <c r="CJ61" s="11"/>
      <c r="CK61" s="13"/>
      <c r="CL61" s="11"/>
      <c r="CM61" s="11"/>
      <c r="CN61" s="13"/>
      <c r="CO61" s="11"/>
      <c r="CP61" s="12"/>
      <c r="CQ61" s="12"/>
      <c r="CR61" s="11"/>
      <c r="CS61" s="13"/>
      <c r="CT61" s="11"/>
      <c r="CU61" s="11"/>
      <c r="CV61" s="13"/>
      <c r="CW61" s="11"/>
      <c r="CX61" s="12"/>
      <c r="CY61" s="12"/>
      <c r="CZ61" s="11"/>
      <c r="DA61" s="13"/>
      <c r="DB61" s="11"/>
      <c r="DC61" s="11"/>
      <c r="DD61" s="13"/>
      <c r="DE61" s="11"/>
      <c r="DF61" s="12"/>
      <c r="DG61" s="12"/>
      <c r="DH61" s="11"/>
      <c r="DI61" s="13"/>
      <c r="DJ61" s="11"/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/>
      <c r="DV61" s="12"/>
      <c r="DW61" s="12"/>
      <c r="DX61" s="11"/>
      <c r="DY61" s="13"/>
      <c r="DZ61" s="11"/>
      <c r="EA61" s="11"/>
      <c r="EB61" s="13"/>
      <c r="EC61" s="11"/>
      <c r="ED61" s="12"/>
      <c r="EE61" s="12"/>
      <c r="EF61" s="11"/>
      <c r="EG61" s="13"/>
      <c r="EH61" s="11"/>
      <c r="EI61" s="11"/>
      <c r="EJ61" s="13"/>
      <c r="EK61" s="11"/>
      <c r="EL61" s="12"/>
      <c r="EM61" s="12"/>
      <c r="EN61" s="11"/>
      <c r="EO61" s="13"/>
      <c r="EP61" s="11"/>
      <c r="EQ61" s="11"/>
      <c r="ER61" s="13"/>
      <c r="ES61" s="11"/>
      <c r="ET61" s="12"/>
      <c r="EU61" s="12"/>
      <c r="EV61" s="11"/>
      <c r="EW61" s="13"/>
      <c r="EX61" s="11"/>
      <c r="EY61" s="11"/>
      <c r="EZ61" s="13"/>
      <c r="FA61" s="11"/>
      <c r="FB61" s="12"/>
      <c r="FC61" s="12"/>
      <c r="FD61" s="11"/>
      <c r="FE61" s="13"/>
      <c r="FF61" s="11"/>
      <c r="FG61" s="11"/>
      <c r="FH61" s="13"/>
      <c r="FI61" s="11"/>
      <c r="FJ61" s="12"/>
      <c r="FK61" s="12"/>
      <c r="FL61" s="11"/>
      <c r="FM61" s="13"/>
      <c r="FN61" s="11"/>
      <c r="FO61" s="11"/>
      <c r="FP61" s="13"/>
      <c r="FQ61" s="11"/>
      <c r="FR61" s="12"/>
      <c r="FS61" s="12"/>
      <c r="FT61" s="11"/>
      <c r="FU61" s="13"/>
      <c r="FV61" s="11"/>
      <c r="FW61" s="11"/>
      <c r="FX61" s="13"/>
      <c r="FY61" s="11"/>
      <c r="FZ61" s="12"/>
      <c r="GA61" s="12"/>
      <c r="GB61" s="11"/>
      <c r="GC61" s="13"/>
      <c r="GD61" s="11"/>
      <c r="GE61" s="11"/>
      <c r="GF61" s="13"/>
      <c r="GG61" s="11"/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/>
      <c r="GS61" s="13"/>
      <c r="GT61" s="11"/>
      <c r="GU61" s="11"/>
      <c r="GV61" s="13"/>
      <c r="GW61" s="11"/>
      <c r="GX61" s="12"/>
      <c r="GY61" s="12"/>
      <c r="GZ61" s="11"/>
      <c r="HA61" s="13"/>
      <c r="HB61" s="11"/>
      <c r="HC61" s="11"/>
      <c r="HD61" s="13"/>
      <c r="HE61" s="11"/>
      <c r="HF61" s="12"/>
      <c r="HG61" s="12"/>
      <c r="HH61" s="11"/>
      <c r="HI61" s="13"/>
      <c r="HJ61" s="11"/>
      <c r="HK61" s="11"/>
      <c r="HL61" s="13"/>
      <c r="HM61" s="11"/>
      <c r="HN61" s="12"/>
      <c r="HO61" s="12"/>
      <c r="HP61" s="11"/>
      <c r="HQ61" s="13"/>
      <c r="HR61" s="11"/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/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/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/>
      <c r="JW61" s="11"/>
      <c r="JX61" s="13"/>
      <c r="JY61" s="11"/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/>
      <c r="KM61" s="11"/>
      <c r="KN61" s="13"/>
      <c r="KO61" s="11"/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  <c r="LH61" s="11"/>
      <c r="LI61" s="13"/>
      <c r="LJ61" s="11"/>
      <c r="LK61" s="11"/>
      <c r="LL61" s="13"/>
      <c r="LM61" s="11"/>
      <c r="LN61" s="12"/>
      <c r="LO61" s="12"/>
      <c r="LP61" s="11"/>
      <c r="LQ61" s="13"/>
      <c r="LR61" s="11"/>
      <c r="LS61" s="11"/>
      <c r="LT61" s="13"/>
      <c r="LU61" s="11"/>
      <c r="LV61" s="12"/>
      <c r="LW61" s="12"/>
    </row>
    <row r="62">
      <c r="A62" s="10" t="s">
        <v>72</v>
      </c>
      <c r="B62" s="10" t="s">
        <v>112</v>
      </c>
      <c r="C62" s="10" t="s">
        <v>77</v>
      </c>
      <c r="D62" s="11"/>
      <c r="E62" s="11">
        <f>=ROUNDDOWN({0},0)</f>
      </c>
      <c r="F62" s="11"/>
      <c r="G62" s="12"/>
      <c r="H62" s="11"/>
      <c r="I62" s="11">
        <f>=ROUNDDOWN({0},0)</f>
      </c>
      <c r="J62" s="11"/>
      <c r="K62" s="12"/>
      <c r="L62" s="11"/>
      <c r="M62" s="13"/>
      <c r="N62" s="11"/>
      <c r="O62" s="14"/>
      <c r="P62" s="11"/>
      <c r="Q62" s="13"/>
      <c r="R62" s="11"/>
      <c r="S62" s="14"/>
      <c r="T62" s="12"/>
      <c r="U62" s="12"/>
      <c r="V62" s="12"/>
      <c r="W62" s="12"/>
      <c r="X62" s="11"/>
      <c r="Y62" s="13"/>
      <c r="Z62" s="11"/>
      <c r="AA62" s="11"/>
      <c r="AB62" s="13"/>
      <c r="AC62" s="11"/>
      <c r="AD62" s="12"/>
      <c r="AE62" s="12"/>
      <c r="AF62" s="11"/>
      <c r="AG62" s="13"/>
      <c r="AH62" s="11"/>
      <c r="AI62" s="11"/>
      <c r="AJ62" s="13"/>
      <c r="AK62" s="11"/>
      <c r="AL62" s="12"/>
      <c r="AM62" s="12"/>
      <c r="AN62" s="11"/>
      <c r="AO62" s="13"/>
      <c r="AP62" s="11"/>
      <c r="AQ62" s="11"/>
      <c r="AR62" s="13"/>
      <c r="AS62" s="11"/>
      <c r="AT62" s="12"/>
      <c r="AU62" s="12"/>
      <c r="AV62" s="11"/>
      <c r="AW62" s="13"/>
      <c r="AX62" s="11"/>
      <c r="AY62" s="11"/>
      <c r="AZ62" s="13"/>
      <c r="BA62" s="11"/>
      <c r="BB62" s="12"/>
      <c r="BC62" s="12"/>
      <c r="BD62" s="11"/>
      <c r="BE62" s="13"/>
      <c r="BF62" s="11"/>
      <c r="BG62" s="11"/>
      <c r="BH62" s="13"/>
      <c r="BI62" s="11"/>
      <c r="BJ62" s="12"/>
      <c r="BK62" s="12"/>
      <c r="BL62" s="11"/>
      <c r="BM62" s="13"/>
      <c r="BN62" s="11"/>
      <c r="BO62" s="11"/>
      <c r="BP62" s="13"/>
      <c r="BQ62" s="11"/>
      <c r="BR62" s="12"/>
      <c r="BS62" s="12"/>
      <c r="BT62" s="11"/>
      <c r="BU62" s="13"/>
      <c r="BV62" s="11"/>
      <c r="BW62" s="11"/>
      <c r="BX62" s="13"/>
      <c r="BY62" s="11"/>
      <c r="BZ62" s="12"/>
      <c r="CA62" s="12"/>
      <c r="CB62" s="11"/>
      <c r="CC62" s="13"/>
      <c r="CD62" s="11"/>
      <c r="CE62" s="11"/>
      <c r="CF62" s="13"/>
      <c r="CG62" s="11"/>
      <c r="CH62" s="12"/>
      <c r="CI62" s="12"/>
      <c r="CJ62" s="11"/>
      <c r="CK62" s="13"/>
      <c r="CL62" s="11"/>
      <c r="CM62" s="11"/>
      <c r="CN62" s="13"/>
      <c r="CO62" s="11"/>
      <c r="CP62" s="12"/>
      <c r="CQ62" s="12"/>
      <c r="CR62" s="11"/>
      <c r="CS62" s="13"/>
      <c r="CT62" s="11"/>
      <c r="CU62" s="11"/>
      <c r="CV62" s="13"/>
      <c r="CW62" s="11"/>
      <c r="CX62" s="12"/>
      <c r="CY62" s="12"/>
      <c r="CZ62" s="11"/>
      <c r="DA62" s="13"/>
      <c r="DB62" s="11"/>
      <c r="DC62" s="11"/>
      <c r="DD62" s="13"/>
      <c r="DE62" s="11"/>
      <c r="DF62" s="12"/>
      <c r="DG62" s="12"/>
      <c r="DH62" s="11"/>
      <c r="DI62" s="13"/>
      <c r="DJ62" s="11"/>
      <c r="DK62" s="11"/>
      <c r="DL62" s="13"/>
      <c r="DM62" s="11"/>
      <c r="DN62" s="12"/>
      <c r="DO62" s="12"/>
      <c r="DP62" s="11"/>
      <c r="DQ62" s="13"/>
      <c r="DR62" s="11"/>
      <c r="DS62" s="11"/>
      <c r="DT62" s="13"/>
      <c r="DU62" s="11"/>
      <c r="DV62" s="12"/>
      <c r="DW62" s="12"/>
      <c r="DX62" s="11"/>
      <c r="DY62" s="13"/>
      <c r="DZ62" s="11"/>
      <c r="EA62" s="11"/>
      <c r="EB62" s="13"/>
      <c r="EC62" s="11"/>
      <c r="ED62" s="12"/>
      <c r="EE62" s="12"/>
      <c r="EF62" s="11"/>
      <c r="EG62" s="13"/>
      <c r="EH62" s="11"/>
      <c r="EI62" s="11"/>
      <c r="EJ62" s="13"/>
      <c r="EK62" s="11"/>
      <c r="EL62" s="12"/>
      <c r="EM62" s="12"/>
      <c r="EN62" s="11"/>
      <c r="EO62" s="13"/>
      <c r="EP62" s="11"/>
      <c r="EQ62" s="11"/>
      <c r="ER62" s="13"/>
      <c r="ES62" s="11"/>
      <c r="ET62" s="12"/>
      <c r="EU62" s="12"/>
      <c r="EV62" s="11"/>
      <c r="EW62" s="13"/>
      <c r="EX62" s="11"/>
      <c r="EY62" s="11"/>
      <c r="EZ62" s="13"/>
      <c r="FA62" s="11"/>
      <c r="FB62" s="12"/>
      <c r="FC62" s="12"/>
      <c r="FD62" s="11"/>
      <c r="FE62" s="13"/>
      <c r="FF62" s="11"/>
      <c r="FG62" s="11"/>
      <c r="FH62" s="13"/>
      <c r="FI62" s="11"/>
      <c r="FJ62" s="12"/>
      <c r="FK62" s="12"/>
      <c r="FL62" s="11"/>
      <c r="FM62" s="13"/>
      <c r="FN62" s="11"/>
      <c r="FO62" s="11"/>
      <c r="FP62" s="13"/>
      <c r="FQ62" s="11"/>
      <c r="FR62" s="12"/>
      <c r="FS62" s="12"/>
      <c r="FT62" s="11"/>
      <c r="FU62" s="13"/>
      <c r="FV62" s="11"/>
      <c r="FW62" s="11"/>
      <c r="FX62" s="13"/>
      <c r="FY62" s="11"/>
      <c r="FZ62" s="12"/>
      <c r="GA62" s="12"/>
      <c r="GB62" s="11"/>
      <c r="GC62" s="13"/>
      <c r="GD62" s="11"/>
      <c r="GE62" s="11"/>
      <c r="GF62" s="13"/>
      <c r="GG62" s="11"/>
      <c r="GH62" s="12"/>
      <c r="GI62" s="12"/>
      <c r="GJ62" s="11"/>
      <c r="GK62" s="13"/>
      <c r="GL62" s="11"/>
      <c r="GM62" s="11"/>
      <c r="GN62" s="13"/>
      <c r="GO62" s="11"/>
      <c r="GP62" s="12"/>
      <c r="GQ62" s="12"/>
      <c r="GR62" s="11"/>
      <c r="GS62" s="13"/>
      <c r="GT62" s="11"/>
      <c r="GU62" s="11"/>
      <c r="GV62" s="13"/>
      <c r="GW62" s="11"/>
      <c r="GX62" s="12"/>
      <c r="GY62" s="12"/>
      <c r="GZ62" s="11"/>
      <c r="HA62" s="13"/>
      <c r="HB62" s="11"/>
      <c r="HC62" s="11"/>
      <c r="HD62" s="13"/>
      <c r="HE62" s="11"/>
      <c r="HF62" s="12"/>
      <c r="HG62" s="12"/>
      <c r="HH62" s="11"/>
      <c r="HI62" s="13"/>
      <c r="HJ62" s="11"/>
      <c r="HK62" s="11"/>
      <c r="HL62" s="13"/>
      <c r="HM62" s="11"/>
      <c r="HN62" s="12"/>
      <c r="HO62" s="12"/>
      <c r="HP62" s="11"/>
      <c r="HQ62" s="13"/>
      <c r="HR62" s="11"/>
      <c r="HS62" s="11"/>
      <c r="HT62" s="13"/>
      <c r="HU62" s="11"/>
      <c r="HV62" s="12"/>
      <c r="HW62" s="12"/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/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/>
      <c r="JO62" s="11"/>
      <c r="JP62" s="13"/>
      <c r="JQ62" s="11"/>
      <c r="JR62" s="12"/>
      <c r="JS62" s="12"/>
      <c r="JT62" s="11"/>
      <c r="JU62" s="13"/>
      <c r="JV62" s="11"/>
      <c r="JW62" s="11"/>
      <c r="JX62" s="13"/>
      <c r="JY62" s="11"/>
      <c r="JZ62" s="12"/>
      <c r="KA62" s="12"/>
      <c r="KB62" s="11"/>
      <c r="KC62" s="13"/>
      <c r="KD62" s="11"/>
      <c r="KE62" s="11"/>
      <c r="KF62" s="13"/>
      <c r="KG62" s="11"/>
      <c r="KH62" s="12"/>
      <c r="KI62" s="12"/>
      <c r="KJ62" s="11"/>
      <c r="KK62" s="13"/>
      <c r="KL62" s="11"/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  <c r="LH62" s="11"/>
      <c r="LI62" s="13"/>
      <c r="LJ62" s="11"/>
      <c r="LK62" s="11"/>
      <c r="LL62" s="13"/>
      <c r="LM62" s="11"/>
      <c r="LN62" s="12"/>
      <c r="LO62" s="12"/>
      <c r="LP62" s="11"/>
      <c r="LQ62" s="13"/>
      <c r="LR62" s="11"/>
      <c r="LS62" s="11"/>
      <c r="LT62" s="13"/>
      <c r="LU62" s="11"/>
      <c r="LV62" s="12"/>
      <c r="LW62" s="12"/>
    </row>
    <row r="63">
      <c r="A63" s="10" t="s">
        <v>72</v>
      </c>
      <c r="B63" s="10" t="s">
        <v>113</v>
      </c>
      <c r="C63" s="10" t="s">
        <v>92</v>
      </c>
      <c r="D63" s="11">
        <v>3792</v>
      </c>
      <c r="E63" s="11">
        <f>=ROUNDDOWN(23.1219512195122,0)</f>
      </c>
      <c r="F63" s="11">
        <v>2994</v>
      </c>
      <c r="G63" s="12">
        <v>1</v>
      </c>
      <c r="H63" s="11"/>
      <c r="I63" s="11">
        <f>=ROUNDDOWN({0},0)</f>
      </c>
      <c r="J63" s="11"/>
      <c r="K63" s="12"/>
      <c r="L63" s="11">
        <v>2235</v>
      </c>
      <c r="M63" s="13">
        <v>15527.97</v>
      </c>
      <c r="N63" s="11">
        <v>4</v>
      </c>
      <c r="O63" s="14">
        <v>3881.99</v>
      </c>
      <c r="P63" s="11"/>
      <c r="Q63" s="13"/>
      <c r="R63" s="11"/>
      <c r="S63" s="14"/>
      <c r="T63" s="12"/>
      <c r="U63" s="12"/>
      <c r="V63" s="12"/>
      <c r="W63" s="12"/>
      <c r="X63" s="11">
        <v>1226</v>
      </c>
      <c r="Y63" s="13">
        <v>8567.06</v>
      </c>
      <c r="Z63" s="11">
        <v>4</v>
      </c>
      <c r="AA63" s="11"/>
      <c r="AB63" s="13"/>
      <c r="AC63" s="11"/>
      <c r="AD63" s="12"/>
      <c r="AE63" s="12"/>
      <c r="AF63" s="11">
        <v>61</v>
      </c>
      <c r="AG63" s="13">
        <v>383.95</v>
      </c>
      <c r="AH63" s="11">
        <v>4</v>
      </c>
      <c r="AI63" s="11"/>
      <c r="AJ63" s="13"/>
      <c r="AK63" s="11"/>
      <c r="AL63" s="12"/>
      <c r="AM63" s="12"/>
      <c r="AN63" s="11">
        <v>227</v>
      </c>
      <c r="AO63" s="13">
        <v>1523.17</v>
      </c>
      <c r="AP63" s="11">
        <v>4</v>
      </c>
      <c r="AQ63" s="11"/>
      <c r="AR63" s="13"/>
      <c r="AS63" s="11"/>
      <c r="AT63" s="12"/>
      <c r="AU63" s="12"/>
      <c r="AV63" s="11">
        <v>466</v>
      </c>
      <c r="AW63" s="13">
        <v>3154.82</v>
      </c>
      <c r="AX63" s="11">
        <v>4</v>
      </c>
      <c r="AY63" s="11"/>
      <c r="AZ63" s="13"/>
      <c r="BA63" s="11"/>
      <c r="BB63" s="12"/>
      <c r="BC63" s="12"/>
      <c r="BD63" s="11"/>
      <c r="BE63" s="13"/>
      <c r="BF63" s="11"/>
      <c r="BG63" s="11"/>
      <c r="BH63" s="13"/>
      <c r="BI63" s="11"/>
      <c r="BJ63" s="12"/>
      <c r="BK63" s="12"/>
      <c r="BL63" s="11">
        <v>28</v>
      </c>
      <c r="BM63" s="13">
        <v>199.36</v>
      </c>
      <c r="BN63" s="11">
        <v>4</v>
      </c>
      <c r="BO63" s="11"/>
      <c r="BP63" s="13"/>
      <c r="BQ63" s="11"/>
      <c r="BR63" s="12"/>
      <c r="BS63" s="12"/>
      <c r="BT63" s="11">
        <v>62</v>
      </c>
      <c r="BU63" s="13">
        <v>444.26</v>
      </c>
      <c r="BV63" s="11">
        <v>4</v>
      </c>
      <c r="BW63" s="11"/>
      <c r="BX63" s="13"/>
      <c r="BY63" s="11"/>
      <c r="BZ63" s="12"/>
      <c r="CA63" s="12"/>
      <c r="CB63" s="11">
        <v>149</v>
      </c>
      <c r="CC63" s="13">
        <v>1051.94</v>
      </c>
      <c r="CD63" s="11">
        <v>4</v>
      </c>
      <c r="CE63" s="11"/>
      <c r="CF63" s="13"/>
      <c r="CG63" s="11"/>
      <c r="CH63" s="12"/>
      <c r="CI63" s="12"/>
      <c r="CJ63" s="11">
        <v>7</v>
      </c>
      <c r="CK63" s="13">
        <v>131.98</v>
      </c>
      <c r="CL63" s="11">
        <v>4</v>
      </c>
      <c r="CM63" s="11"/>
      <c r="CN63" s="13"/>
      <c r="CO63" s="11"/>
      <c r="CP63" s="12"/>
      <c r="CQ63" s="12"/>
      <c r="CR63" s="11"/>
      <c r="CS63" s="13"/>
      <c r="CT63" s="11"/>
      <c r="CU63" s="11"/>
      <c r="CV63" s="13"/>
      <c r="CW63" s="11"/>
      <c r="CX63" s="12"/>
      <c r="CY63" s="12"/>
      <c r="CZ63" s="11"/>
      <c r="DA63" s="13"/>
      <c r="DB63" s="11"/>
      <c r="DC63" s="11"/>
      <c r="DD63" s="13"/>
      <c r="DE63" s="11"/>
      <c r="DF63" s="12"/>
      <c r="DG63" s="12"/>
      <c r="DH63" s="11"/>
      <c r="DI63" s="13"/>
      <c r="DJ63" s="11"/>
      <c r="DK63" s="11"/>
      <c r="DL63" s="13"/>
      <c r="DM63" s="11"/>
      <c r="DN63" s="12"/>
      <c r="DO63" s="12"/>
      <c r="DP63" s="11"/>
      <c r="DQ63" s="13"/>
      <c r="DR63" s="11">
        <v>4</v>
      </c>
      <c r="DS63" s="11"/>
      <c r="DT63" s="13"/>
      <c r="DU63" s="11"/>
      <c r="DV63" s="12"/>
      <c r="DW63" s="12"/>
      <c r="DX63" s="11"/>
      <c r="DY63" s="13"/>
      <c r="DZ63" s="11"/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>
        <v>1</v>
      </c>
      <c r="EO63" s="13">
        <v>15.99</v>
      </c>
      <c r="EP63" s="11">
        <v>4</v>
      </c>
      <c r="EQ63" s="11"/>
      <c r="ER63" s="13"/>
      <c r="ES63" s="11"/>
      <c r="ET63" s="12"/>
      <c r="EU63" s="12"/>
      <c r="EV63" s="11">
        <v>8</v>
      </c>
      <c r="EW63" s="13">
        <v>55.44</v>
      </c>
      <c r="EX63" s="11">
        <v>1</v>
      </c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/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/>
      <c r="GS63" s="13"/>
      <c r="GT63" s="11"/>
      <c r="GU63" s="11"/>
      <c r="GV63" s="13"/>
      <c r="GW63" s="11"/>
      <c r="GX63" s="12"/>
      <c r="GY63" s="12"/>
      <c r="GZ63" s="11"/>
      <c r="HA63" s="13"/>
      <c r="HB63" s="11"/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/>
      <c r="HY63" s="13"/>
      <c r="HZ63" s="11"/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>
        <v>4</v>
      </c>
      <c r="JW63" s="11"/>
      <c r="JX63" s="13"/>
      <c r="JY63" s="11"/>
      <c r="JZ63" s="12"/>
      <c r="KA63" s="12"/>
      <c r="KB63" s="11"/>
      <c r="KC63" s="13"/>
      <c r="KD63" s="11"/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  <c r="LH63" s="11"/>
      <c r="LI63" s="13"/>
      <c r="LJ63" s="11"/>
      <c r="LK63" s="11"/>
      <c r="LL63" s="13"/>
      <c r="LM63" s="11"/>
      <c r="LN63" s="12"/>
      <c r="LO63" s="12"/>
      <c r="LP63" s="11"/>
      <c r="LQ63" s="13"/>
      <c r="LR63" s="11"/>
      <c r="LS63" s="11"/>
      <c r="LT63" s="13"/>
      <c r="LU63" s="11"/>
      <c r="LV63" s="12"/>
      <c r="LW63" s="12"/>
    </row>
    <row r="64">
      <c r="A64" s="10" t="s">
        <v>72</v>
      </c>
      <c r="B64" s="10" t="s">
        <v>113</v>
      </c>
      <c r="C64" s="10" t="s">
        <v>74</v>
      </c>
      <c r="D64" s="11">
        <v>217325</v>
      </c>
      <c r="E64" s="11">
        <f>=ROUNDDOWN(29.5636027261226,0)</f>
      </c>
      <c r="F64" s="11">
        <v>84694</v>
      </c>
      <c r="G64" s="12">
        <v>0.9621</v>
      </c>
      <c r="H64" s="11"/>
      <c r="I64" s="11">
        <f>=ROUNDDOWN({0},0)</f>
      </c>
      <c r="J64" s="11"/>
      <c r="K64" s="12">
        <v>0.1096</v>
      </c>
      <c r="L64" s="11">
        <v>80980</v>
      </c>
      <c r="M64" s="13">
        <v>5635252.93</v>
      </c>
      <c r="N64" s="11">
        <v>525</v>
      </c>
      <c r="O64" s="14">
        <v>10733.82</v>
      </c>
      <c r="P64" s="11"/>
      <c r="Q64" s="13"/>
      <c r="R64" s="11"/>
      <c r="S64" s="14"/>
      <c r="T64" s="12"/>
      <c r="U64" s="12"/>
      <c r="V64" s="12"/>
      <c r="W64" s="12"/>
      <c r="X64" s="11">
        <v>24211</v>
      </c>
      <c r="Y64" s="13">
        <v>1947920.61</v>
      </c>
      <c r="Z64" s="11">
        <v>457</v>
      </c>
      <c r="AA64" s="11"/>
      <c r="AB64" s="13"/>
      <c r="AC64" s="11"/>
      <c r="AD64" s="12"/>
      <c r="AE64" s="12"/>
      <c r="AF64" s="11">
        <v>10713</v>
      </c>
      <c r="AG64" s="13">
        <v>630125.85</v>
      </c>
      <c r="AH64" s="11">
        <v>525</v>
      </c>
      <c r="AI64" s="11"/>
      <c r="AJ64" s="13"/>
      <c r="AK64" s="11"/>
      <c r="AL64" s="12"/>
      <c r="AM64" s="12"/>
      <c r="AN64" s="11">
        <v>16563</v>
      </c>
      <c r="AO64" s="13">
        <v>887417.94</v>
      </c>
      <c r="AP64" s="11">
        <v>525</v>
      </c>
      <c r="AQ64" s="11"/>
      <c r="AR64" s="13"/>
      <c r="AS64" s="11"/>
      <c r="AT64" s="12"/>
      <c r="AU64" s="12"/>
      <c r="AV64" s="11">
        <v>4364</v>
      </c>
      <c r="AW64" s="13">
        <v>327219.22</v>
      </c>
      <c r="AX64" s="11">
        <v>396</v>
      </c>
      <c r="AY64" s="11"/>
      <c r="AZ64" s="13"/>
      <c r="BA64" s="11"/>
      <c r="BB64" s="12"/>
      <c r="BC64" s="12"/>
      <c r="BD64" s="11">
        <v>6955</v>
      </c>
      <c r="BE64" s="13">
        <v>488260.09</v>
      </c>
      <c r="BF64" s="11">
        <v>477</v>
      </c>
      <c r="BG64" s="11"/>
      <c r="BH64" s="13"/>
      <c r="BI64" s="11"/>
      <c r="BJ64" s="12"/>
      <c r="BK64" s="12"/>
      <c r="BL64" s="11">
        <v>5914</v>
      </c>
      <c r="BM64" s="13">
        <v>458799.21</v>
      </c>
      <c r="BN64" s="11">
        <v>525</v>
      </c>
      <c r="BO64" s="11"/>
      <c r="BP64" s="13"/>
      <c r="BQ64" s="11"/>
      <c r="BR64" s="12"/>
      <c r="BS64" s="12"/>
      <c r="BT64" s="11">
        <v>2210</v>
      </c>
      <c r="BU64" s="13">
        <v>163964.98</v>
      </c>
      <c r="BV64" s="11">
        <v>525</v>
      </c>
      <c r="BW64" s="11"/>
      <c r="BX64" s="13"/>
      <c r="BY64" s="11"/>
      <c r="BZ64" s="12"/>
      <c r="CA64" s="12"/>
      <c r="CB64" s="11">
        <v>4348</v>
      </c>
      <c r="CC64" s="13">
        <v>304747.11</v>
      </c>
      <c r="CD64" s="11">
        <v>511</v>
      </c>
      <c r="CE64" s="11"/>
      <c r="CF64" s="13"/>
      <c r="CG64" s="11"/>
      <c r="CH64" s="12"/>
      <c r="CI64" s="12"/>
      <c r="CJ64" s="11">
        <v>1421</v>
      </c>
      <c r="CK64" s="13">
        <v>103793.86</v>
      </c>
      <c r="CL64" s="11">
        <v>504</v>
      </c>
      <c r="CM64" s="11"/>
      <c r="CN64" s="13"/>
      <c r="CO64" s="11"/>
      <c r="CP64" s="12"/>
      <c r="CQ64" s="12"/>
      <c r="CR64" s="11"/>
      <c r="CS64" s="13"/>
      <c r="CT64" s="11"/>
      <c r="CU64" s="11"/>
      <c r="CV64" s="13"/>
      <c r="CW64" s="11"/>
      <c r="CX64" s="12"/>
      <c r="CY64" s="12"/>
      <c r="CZ64" s="11">
        <v>270</v>
      </c>
      <c r="DA64" s="13">
        <v>17426.13</v>
      </c>
      <c r="DB64" s="11">
        <v>44</v>
      </c>
      <c r="DC64" s="11"/>
      <c r="DD64" s="13"/>
      <c r="DE64" s="11"/>
      <c r="DF64" s="12"/>
      <c r="DG64" s="12"/>
      <c r="DH64" s="11">
        <v>279</v>
      </c>
      <c r="DI64" s="13">
        <v>19775.77</v>
      </c>
      <c r="DJ64" s="11">
        <v>219</v>
      </c>
      <c r="DK64" s="11"/>
      <c r="DL64" s="13"/>
      <c r="DM64" s="11"/>
      <c r="DN64" s="12"/>
      <c r="DO64" s="12"/>
      <c r="DP64" s="11">
        <v>2181</v>
      </c>
      <c r="DQ64" s="13">
        <v>163767.46</v>
      </c>
      <c r="DR64" s="11">
        <v>515</v>
      </c>
      <c r="DS64" s="11"/>
      <c r="DT64" s="13"/>
      <c r="DU64" s="11"/>
      <c r="DV64" s="12"/>
      <c r="DW64" s="12"/>
      <c r="DX64" s="11">
        <v>220</v>
      </c>
      <c r="DY64" s="13">
        <v>15506.95</v>
      </c>
      <c r="DZ64" s="11">
        <v>59</v>
      </c>
      <c r="EA64" s="11"/>
      <c r="EB64" s="13"/>
      <c r="EC64" s="11"/>
      <c r="ED64" s="12"/>
      <c r="EE64" s="12"/>
      <c r="EF64" s="11"/>
      <c r="EG64" s="13"/>
      <c r="EH64" s="11"/>
      <c r="EI64" s="11"/>
      <c r="EJ64" s="13"/>
      <c r="EK64" s="11"/>
      <c r="EL64" s="12"/>
      <c r="EM64" s="12"/>
      <c r="EN64" s="11">
        <v>171</v>
      </c>
      <c r="EO64" s="13">
        <v>19799</v>
      </c>
      <c r="EP64" s="11">
        <v>525</v>
      </c>
      <c r="EQ64" s="11"/>
      <c r="ER64" s="13"/>
      <c r="ES64" s="11"/>
      <c r="ET64" s="12"/>
      <c r="EU64" s="12"/>
      <c r="EV64" s="11">
        <v>161</v>
      </c>
      <c r="EW64" s="13">
        <v>12530.04</v>
      </c>
      <c r="EX64" s="11">
        <v>41</v>
      </c>
      <c r="EY64" s="11"/>
      <c r="EZ64" s="13"/>
      <c r="FA64" s="11"/>
      <c r="FB64" s="12"/>
      <c r="FC64" s="12"/>
      <c r="FD64" s="11">
        <v>518</v>
      </c>
      <c r="FE64" s="13">
        <v>37331.76</v>
      </c>
      <c r="FF64" s="11">
        <v>133</v>
      </c>
      <c r="FG64" s="11"/>
      <c r="FH64" s="13"/>
      <c r="FI64" s="11"/>
      <c r="FJ64" s="12"/>
      <c r="FK64" s="12"/>
      <c r="FL64" s="11">
        <v>24</v>
      </c>
      <c r="FM64" s="13">
        <v>1929.08</v>
      </c>
      <c r="FN64" s="11">
        <v>60</v>
      </c>
      <c r="FO64" s="11"/>
      <c r="FP64" s="13"/>
      <c r="FQ64" s="11"/>
      <c r="FR64" s="12"/>
      <c r="FS64" s="12"/>
      <c r="FT64" s="11">
        <v>119</v>
      </c>
      <c r="FU64" s="13">
        <v>8914.79</v>
      </c>
      <c r="FV64" s="11">
        <v>210</v>
      </c>
      <c r="FW64" s="11"/>
      <c r="FX64" s="13"/>
      <c r="FY64" s="11"/>
      <c r="FZ64" s="12"/>
      <c r="GA64" s="12"/>
      <c r="GB64" s="11">
        <v>71</v>
      </c>
      <c r="GC64" s="13">
        <v>5755.5</v>
      </c>
      <c r="GD64" s="11">
        <v>117</v>
      </c>
      <c r="GE64" s="11"/>
      <c r="GF64" s="13"/>
      <c r="GG64" s="11"/>
      <c r="GH64" s="12"/>
      <c r="GI64" s="12"/>
      <c r="GJ64" s="11">
        <v>28</v>
      </c>
      <c r="GK64" s="13">
        <v>2328.57</v>
      </c>
      <c r="GL64" s="11">
        <v>110</v>
      </c>
      <c r="GM64" s="11"/>
      <c r="GN64" s="13"/>
      <c r="GO64" s="11"/>
      <c r="GP64" s="12"/>
      <c r="GQ64" s="12"/>
      <c r="GR64" s="11">
        <v>18</v>
      </c>
      <c r="GS64" s="13">
        <v>1438.53</v>
      </c>
      <c r="GT64" s="11">
        <v>323</v>
      </c>
      <c r="GU64" s="11"/>
      <c r="GV64" s="13"/>
      <c r="GW64" s="11"/>
      <c r="GX64" s="12"/>
      <c r="GY64" s="12"/>
      <c r="GZ64" s="11">
        <v>114</v>
      </c>
      <c r="HA64" s="13">
        <v>8616.17</v>
      </c>
      <c r="HB64" s="11">
        <v>203</v>
      </c>
      <c r="HC64" s="11"/>
      <c r="HD64" s="13"/>
      <c r="HE64" s="11"/>
      <c r="HF64" s="12"/>
      <c r="HG64" s="12"/>
      <c r="HH64" s="11">
        <v>36</v>
      </c>
      <c r="HI64" s="13">
        <v>2781.92</v>
      </c>
      <c r="HJ64" s="11"/>
      <c r="HK64" s="11"/>
      <c r="HL64" s="13"/>
      <c r="HM64" s="11"/>
      <c r="HN64" s="12"/>
      <c r="HO64" s="12"/>
      <c r="HP64" s="11"/>
      <c r="HQ64" s="13"/>
      <c r="HR64" s="11"/>
      <c r="HS64" s="11"/>
      <c r="HT64" s="13"/>
      <c r="HU64" s="11"/>
      <c r="HV64" s="12"/>
      <c r="HW64" s="12"/>
      <c r="HX64" s="11">
        <v>37</v>
      </c>
      <c r="HY64" s="13">
        <v>2500.01</v>
      </c>
      <c r="HZ64" s="11">
        <v>204</v>
      </c>
      <c r="IA64" s="11"/>
      <c r="IB64" s="13"/>
      <c r="IC64" s="11"/>
      <c r="ID64" s="12"/>
      <c r="IE64" s="12"/>
      <c r="IF64" s="11"/>
      <c r="IG64" s="13"/>
      <c r="IH64" s="11"/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>
        <v>27</v>
      </c>
      <c r="IW64" s="13">
        <v>2056.85</v>
      </c>
      <c r="IX64" s="11">
        <v>208</v>
      </c>
      <c r="IY64" s="11"/>
      <c r="IZ64" s="13"/>
      <c r="JA64" s="11"/>
      <c r="JB64" s="12"/>
      <c r="JC64" s="12"/>
      <c r="JD64" s="11">
        <v>7</v>
      </c>
      <c r="JE64" s="13">
        <v>545.53</v>
      </c>
      <c r="JF64" s="11">
        <v>17</v>
      </c>
      <c r="JG64" s="11"/>
      <c r="JH64" s="13"/>
      <c r="JI64" s="11"/>
      <c r="JJ64" s="12"/>
      <c r="JK64" s="12"/>
      <c r="JL64" s="11"/>
      <c r="JM64" s="13"/>
      <c r="JN64" s="11"/>
      <c r="JO64" s="11"/>
      <c r="JP64" s="13"/>
      <c r="JQ64" s="11"/>
      <c r="JR64" s="12"/>
      <c r="JS64" s="12"/>
      <c r="JT64" s="11"/>
      <c r="JU64" s="13"/>
      <c r="JV64" s="11">
        <v>3</v>
      </c>
      <c r="JW64" s="11"/>
      <c r="JX64" s="13"/>
      <c r="JY64" s="11"/>
      <c r="JZ64" s="12"/>
      <c r="KA64" s="12"/>
      <c r="KB64" s="11"/>
      <c r="KC64" s="13"/>
      <c r="KD64" s="11"/>
      <c r="KE64" s="11"/>
      <c r="KF64" s="13"/>
      <c r="KG64" s="11"/>
      <c r="KH64" s="12"/>
      <c r="KI64" s="12"/>
      <c r="KJ64" s="11"/>
      <c r="KK64" s="13"/>
      <c r="KL64" s="11"/>
      <c r="KM64" s="11"/>
      <c r="KN64" s="13"/>
      <c r="KO64" s="11"/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  <c r="LH64" s="11"/>
      <c r="LI64" s="13"/>
      <c r="LJ64" s="11"/>
      <c r="LK64" s="11"/>
      <c r="LL64" s="13"/>
      <c r="LM64" s="11"/>
      <c r="LN64" s="12"/>
      <c r="LO64" s="12"/>
      <c r="LP64" s="11"/>
      <c r="LQ64" s="13"/>
      <c r="LR64" s="11"/>
      <c r="LS64" s="11"/>
      <c r="LT64" s="13"/>
      <c r="LU64" s="11"/>
      <c r="LV64" s="12"/>
      <c r="LW64" s="12"/>
    </row>
    <row r="65">
      <c r="A65" s="10" t="s">
        <v>72</v>
      </c>
      <c r="B65" s="10" t="s">
        <v>113</v>
      </c>
      <c r="C65" s="10" t="s">
        <v>75</v>
      </c>
      <c r="D65" s="11">
        <v>214143</v>
      </c>
      <c r="E65" s="11">
        <f>=ROUNDDOWN(39.9803965497928,0)</f>
      </c>
      <c r="F65" s="11">
        <v>38840</v>
      </c>
      <c r="G65" s="12">
        <v>0.9971</v>
      </c>
      <c r="H65" s="11"/>
      <c r="I65" s="11">
        <f>=ROUNDDOWN({0},0)</f>
      </c>
      <c r="J65" s="11"/>
      <c r="K65" s="12"/>
      <c r="L65" s="11">
        <v>67246</v>
      </c>
      <c r="M65" s="13">
        <v>3570446.5</v>
      </c>
      <c r="N65" s="11">
        <v>293</v>
      </c>
      <c r="O65" s="14">
        <v>12185.82</v>
      </c>
      <c r="P65" s="11"/>
      <c r="Q65" s="13"/>
      <c r="R65" s="11"/>
      <c r="S65" s="14"/>
      <c r="T65" s="12"/>
      <c r="U65" s="12"/>
      <c r="V65" s="12"/>
      <c r="W65" s="12"/>
      <c r="X65" s="11">
        <v>14907</v>
      </c>
      <c r="Y65" s="13">
        <v>831860.51</v>
      </c>
      <c r="Z65" s="11">
        <v>266</v>
      </c>
      <c r="AA65" s="11"/>
      <c r="AB65" s="13"/>
      <c r="AC65" s="11"/>
      <c r="AD65" s="12"/>
      <c r="AE65" s="12"/>
      <c r="AF65" s="11">
        <v>8902</v>
      </c>
      <c r="AG65" s="13">
        <v>403127.13</v>
      </c>
      <c r="AH65" s="11">
        <v>292</v>
      </c>
      <c r="AI65" s="11"/>
      <c r="AJ65" s="13"/>
      <c r="AK65" s="11"/>
      <c r="AL65" s="12"/>
      <c r="AM65" s="12"/>
      <c r="AN65" s="11">
        <v>10427</v>
      </c>
      <c r="AO65" s="13">
        <v>484842.19</v>
      </c>
      <c r="AP65" s="11">
        <v>293</v>
      </c>
      <c r="AQ65" s="11"/>
      <c r="AR65" s="13"/>
      <c r="AS65" s="11"/>
      <c r="AT65" s="12"/>
      <c r="AU65" s="12"/>
      <c r="AV65" s="11">
        <v>3709</v>
      </c>
      <c r="AW65" s="13">
        <v>198169.51</v>
      </c>
      <c r="AX65" s="11">
        <v>219</v>
      </c>
      <c r="AY65" s="11"/>
      <c r="AZ65" s="13"/>
      <c r="BA65" s="11"/>
      <c r="BB65" s="12"/>
      <c r="BC65" s="12"/>
      <c r="BD65" s="11">
        <v>14064</v>
      </c>
      <c r="BE65" s="13">
        <v>837818.77</v>
      </c>
      <c r="BF65" s="11">
        <v>273</v>
      </c>
      <c r="BG65" s="11"/>
      <c r="BH65" s="13"/>
      <c r="BI65" s="11"/>
      <c r="BJ65" s="12"/>
      <c r="BK65" s="12"/>
      <c r="BL65" s="11">
        <v>3242</v>
      </c>
      <c r="BM65" s="13">
        <v>194585.59</v>
      </c>
      <c r="BN65" s="11">
        <v>293</v>
      </c>
      <c r="BO65" s="11"/>
      <c r="BP65" s="13"/>
      <c r="BQ65" s="11"/>
      <c r="BR65" s="12"/>
      <c r="BS65" s="12"/>
      <c r="BT65" s="11">
        <v>2200</v>
      </c>
      <c r="BU65" s="13">
        <v>109706.85</v>
      </c>
      <c r="BV65" s="11">
        <v>293</v>
      </c>
      <c r="BW65" s="11"/>
      <c r="BX65" s="13"/>
      <c r="BY65" s="11"/>
      <c r="BZ65" s="12"/>
      <c r="CA65" s="12"/>
      <c r="CB65" s="11">
        <v>6809</v>
      </c>
      <c r="CC65" s="13">
        <v>345644.92</v>
      </c>
      <c r="CD65" s="11">
        <v>286</v>
      </c>
      <c r="CE65" s="11"/>
      <c r="CF65" s="13"/>
      <c r="CG65" s="11"/>
      <c r="CH65" s="12"/>
      <c r="CI65" s="12"/>
      <c r="CJ65" s="11">
        <v>125</v>
      </c>
      <c r="CK65" s="13">
        <v>8988.01</v>
      </c>
      <c r="CL65" s="11">
        <v>286</v>
      </c>
      <c r="CM65" s="11"/>
      <c r="CN65" s="13"/>
      <c r="CO65" s="11"/>
      <c r="CP65" s="12"/>
      <c r="CQ65" s="12"/>
      <c r="CR65" s="11"/>
      <c r="CS65" s="13"/>
      <c r="CT65" s="11"/>
      <c r="CU65" s="11"/>
      <c r="CV65" s="13"/>
      <c r="CW65" s="11"/>
      <c r="CX65" s="12"/>
      <c r="CY65" s="12"/>
      <c r="CZ65" s="11">
        <v>91</v>
      </c>
      <c r="DA65" s="13">
        <v>3727.07</v>
      </c>
      <c r="DB65" s="11">
        <v>11</v>
      </c>
      <c r="DC65" s="11"/>
      <c r="DD65" s="13"/>
      <c r="DE65" s="11"/>
      <c r="DF65" s="12"/>
      <c r="DG65" s="12"/>
      <c r="DH65" s="11">
        <v>168</v>
      </c>
      <c r="DI65" s="13">
        <v>7600.56</v>
      </c>
      <c r="DJ65" s="11">
        <v>148</v>
      </c>
      <c r="DK65" s="11"/>
      <c r="DL65" s="13"/>
      <c r="DM65" s="11"/>
      <c r="DN65" s="12"/>
      <c r="DO65" s="12"/>
      <c r="DP65" s="11">
        <v>1698</v>
      </c>
      <c r="DQ65" s="13">
        <v>94043.29</v>
      </c>
      <c r="DR65" s="11">
        <v>272</v>
      </c>
      <c r="DS65" s="11"/>
      <c r="DT65" s="13"/>
      <c r="DU65" s="11"/>
      <c r="DV65" s="12"/>
      <c r="DW65" s="12"/>
      <c r="DX65" s="11">
        <v>185</v>
      </c>
      <c r="DY65" s="13">
        <v>9328</v>
      </c>
      <c r="DZ65" s="11">
        <v>96</v>
      </c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>
        <v>101</v>
      </c>
      <c r="EO65" s="13">
        <v>7693.42</v>
      </c>
      <c r="EP65" s="11">
        <v>293</v>
      </c>
      <c r="EQ65" s="11"/>
      <c r="ER65" s="13"/>
      <c r="ES65" s="11"/>
      <c r="ET65" s="12"/>
      <c r="EU65" s="12"/>
      <c r="EV65" s="11">
        <v>217</v>
      </c>
      <c r="EW65" s="13">
        <v>10438.07</v>
      </c>
      <c r="EX65" s="11">
        <v>51</v>
      </c>
      <c r="EY65" s="11"/>
      <c r="EZ65" s="13"/>
      <c r="FA65" s="11"/>
      <c r="FB65" s="12"/>
      <c r="FC65" s="12"/>
      <c r="FD65" s="11">
        <v>80</v>
      </c>
      <c r="FE65" s="13">
        <v>4689.91</v>
      </c>
      <c r="FF65" s="11">
        <v>20</v>
      </c>
      <c r="FG65" s="11"/>
      <c r="FH65" s="13"/>
      <c r="FI65" s="11"/>
      <c r="FJ65" s="12"/>
      <c r="FK65" s="12"/>
      <c r="FL65" s="11">
        <v>19</v>
      </c>
      <c r="FM65" s="13">
        <v>1030.34</v>
      </c>
      <c r="FN65" s="11">
        <v>21</v>
      </c>
      <c r="FO65" s="11"/>
      <c r="FP65" s="13"/>
      <c r="FQ65" s="11"/>
      <c r="FR65" s="12"/>
      <c r="FS65" s="12"/>
      <c r="FT65" s="11">
        <v>55</v>
      </c>
      <c r="FU65" s="13">
        <v>3044.34</v>
      </c>
      <c r="FV65" s="11">
        <v>149</v>
      </c>
      <c r="FW65" s="11"/>
      <c r="FX65" s="13"/>
      <c r="FY65" s="11"/>
      <c r="FZ65" s="12"/>
      <c r="GA65" s="12"/>
      <c r="GB65" s="11">
        <v>16</v>
      </c>
      <c r="GC65" s="13">
        <v>747.25</v>
      </c>
      <c r="GD65" s="11">
        <v>35</v>
      </c>
      <c r="GE65" s="11"/>
      <c r="GF65" s="13"/>
      <c r="GG65" s="11"/>
      <c r="GH65" s="12"/>
      <c r="GI65" s="12"/>
      <c r="GJ65" s="11">
        <v>17</v>
      </c>
      <c r="GK65" s="13">
        <v>1099.46</v>
      </c>
      <c r="GL65" s="11">
        <v>32</v>
      </c>
      <c r="GM65" s="11"/>
      <c r="GN65" s="13"/>
      <c r="GO65" s="11"/>
      <c r="GP65" s="12"/>
      <c r="GQ65" s="12"/>
      <c r="GR65" s="11">
        <v>32</v>
      </c>
      <c r="GS65" s="13">
        <v>1817.15</v>
      </c>
      <c r="GT65" s="11">
        <v>247</v>
      </c>
      <c r="GU65" s="11"/>
      <c r="GV65" s="13"/>
      <c r="GW65" s="11"/>
      <c r="GX65" s="12"/>
      <c r="GY65" s="12"/>
      <c r="GZ65" s="11">
        <v>108</v>
      </c>
      <c r="HA65" s="13">
        <v>6142.02</v>
      </c>
      <c r="HB65" s="11">
        <v>121</v>
      </c>
      <c r="HC65" s="11"/>
      <c r="HD65" s="13"/>
      <c r="HE65" s="11"/>
      <c r="HF65" s="12"/>
      <c r="HG65" s="12"/>
      <c r="HH65" s="11">
        <v>16</v>
      </c>
      <c r="HI65" s="13">
        <v>1021.53</v>
      </c>
      <c r="HJ65" s="11"/>
      <c r="HK65" s="11"/>
      <c r="HL65" s="13"/>
      <c r="HM65" s="11"/>
      <c r="HN65" s="12"/>
      <c r="HO65" s="12"/>
      <c r="HP65" s="11"/>
      <c r="HQ65" s="13"/>
      <c r="HR65" s="11"/>
      <c r="HS65" s="11"/>
      <c r="HT65" s="13"/>
      <c r="HU65" s="11"/>
      <c r="HV65" s="12"/>
      <c r="HW65" s="12"/>
      <c r="HX65" s="11">
        <v>7</v>
      </c>
      <c r="HY65" s="13">
        <v>297.49</v>
      </c>
      <c r="HZ65" s="11">
        <v>46</v>
      </c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>
        <v>7</v>
      </c>
      <c r="IQ65" s="11"/>
      <c r="IR65" s="13"/>
      <c r="IS65" s="11"/>
      <c r="IT65" s="12"/>
      <c r="IU65" s="12"/>
      <c r="IV65" s="11">
        <v>50</v>
      </c>
      <c r="IW65" s="13">
        <v>2911.05</v>
      </c>
      <c r="IX65" s="11">
        <v>142</v>
      </c>
      <c r="IY65" s="11"/>
      <c r="IZ65" s="13"/>
      <c r="JA65" s="11"/>
      <c r="JB65" s="12"/>
      <c r="JC65" s="12"/>
      <c r="JD65" s="11">
        <v>1</v>
      </c>
      <c r="JE65" s="13">
        <v>72.07</v>
      </c>
      <c r="JF65" s="11">
        <v>6</v>
      </c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>
        <v>71</v>
      </c>
      <c r="JW65" s="11"/>
      <c r="JX65" s="13"/>
      <c r="JY65" s="11"/>
      <c r="JZ65" s="12"/>
      <c r="KA65" s="12"/>
      <c r="KB65" s="11"/>
      <c r="KC65" s="13"/>
      <c r="KD65" s="11"/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  <c r="LH65" s="11"/>
      <c r="LI65" s="13"/>
      <c r="LJ65" s="11"/>
      <c r="LK65" s="11"/>
      <c r="LL65" s="13"/>
      <c r="LM65" s="11"/>
      <c r="LN65" s="12"/>
      <c r="LO65" s="12"/>
      <c r="LP65" s="11"/>
      <c r="LQ65" s="13"/>
      <c r="LR65" s="11"/>
      <c r="LS65" s="11"/>
      <c r="LT65" s="13"/>
      <c r="LU65" s="11"/>
      <c r="LV65" s="12"/>
      <c r="LW65" s="12"/>
    </row>
    <row r="66">
      <c r="A66" s="10" t="s">
        <v>72</v>
      </c>
      <c r="B66" s="10" t="s">
        <v>113</v>
      </c>
      <c r="C66" s="10" t="s">
        <v>83</v>
      </c>
      <c r="D66" s="11">
        <v>25620</v>
      </c>
      <c r="E66" s="11">
        <f>=ROUNDDOWN(39.8444790046656,0)</f>
      </c>
      <c r="F66" s="11">
        <v>2191</v>
      </c>
      <c r="G66" s="12">
        <v>0.9849</v>
      </c>
      <c r="H66" s="11"/>
      <c r="I66" s="11">
        <f>=ROUNDDOWN({0},0)</f>
      </c>
      <c r="J66" s="11"/>
      <c r="K66" s="12"/>
      <c r="L66" s="11">
        <v>7187</v>
      </c>
      <c r="M66" s="13">
        <v>379750.56</v>
      </c>
      <c r="N66" s="11">
        <v>114</v>
      </c>
      <c r="O66" s="14">
        <v>3331.15</v>
      </c>
      <c r="P66" s="11"/>
      <c r="Q66" s="13"/>
      <c r="R66" s="11"/>
      <c r="S66" s="14"/>
      <c r="T66" s="12"/>
      <c r="U66" s="12"/>
      <c r="V66" s="12"/>
      <c r="W66" s="12"/>
      <c r="X66" s="11">
        <v>1319</v>
      </c>
      <c r="Y66" s="13">
        <v>79852.23</v>
      </c>
      <c r="Z66" s="11">
        <v>63</v>
      </c>
      <c r="AA66" s="11"/>
      <c r="AB66" s="13"/>
      <c r="AC66" s="11"/>
      <c r="AD66" s="12"/>
      <c r="AE66" s="12"/>
      <c r="AF66" s="11">
        <v>1162</v>
      </c>
      <c r="AG66" s="13">
        <v>52660.14</v>
      </c>
      <c r="AH66" s="11">
        <v>114</v>
      </c>
      <c r="AI66" s="11"/>
      <c r="AJ66" s="13"/>
      <c r="AK66" s="11"/>
      <c r="AL66" s="12"/>
      <c r="AM66" s="12"/>
      <c r="AN66" s="11">
        <v>759</v>
      </c>
      <c r="AO66" s="13">
        <v>35884.99</v>
      </c>
      <c r="AP66" s="11">
        <v>114</v>
      </c>
      <c r="AQ66" s="11"/>
      <c r="AR66" s="13"/>
      <c r="AS66" s="11"/>
      <c r="AT66" s="12"/>
      <c r="AU66" s="12"/>
      <c r="AV66" s="11">
        <v>986</v>
      </c>
      <c r="AW66" s="13">
        <v>53821.77</v>
      </c>
      <c r="AX66" s="11">
        <v>100</v>
      </c>
      <c r="AY66" s="11"/>
      <c r="AZ66" s="13"/>
      <c r="BA66" s="11"/>
      <c r="BB66" s="12"/>
      <c r="BC66" s="12"/>
      <c r="BD66" s="11">
        <v>1346</v>
      </c>
      <c r="BE66" s="13">
        <v>68632.23</v>
      </c>
      <c r="BF66" s="11">
        <v>103</v>
      </c>
      <c r="BG66" s="11"/>
      <c r="BH66" s="13"/>
      <c r="BI66" s="11"/>
      <c r="BJ66" s="12"/>
      <c r="BK66" s="12"/>
      <c r="BL66" s="11">
        <v>696</v>
      </c>
      <c r="BM66" s="13">
        <v>40023.07</v>
      </c>
      <c r="BN66" s="11">
        <v>114</v>
      </c>
      <c r="BO66" s="11"/>
      <c r="BP66" s="13"/>
      <c r="BQ66" s="11"/>
      <c r="BR66" s="12"/>
      <c r="BS66" s="12"/>
      <c r="BT66" s="11">
        <v>168</v>
      </c>
      <c r="BU66" s="13">
        <v>8759.94</v>
      </c>
      <c r="BV66" s="11">
        <v>114</v>
      </c>
      <c r="BW66" s="11"/>
      <c r="BX66" s="13"/>
      <c r="BY66" s="11"/>
      <c r="BZ66" s="12"/>
      <c r="CA66" s="12"/>
      <c r="CB66" s="11">
        <v>478</v>
      </c>
      <c r="CC66" s="13">
        <v>24189.5</v>
      </c>
      <c r="CD66" s="11">
        <v>96</v>
      </c>
      <c r="CE66" s="11"/>
      <c r="CF66" s="13"/>
      <c r="CG66" s="11"/>
      <c r="CH66" s="12"/>
      <c r="CI66" s="12"/>
      <c r="CJ66" s="11">
        <v>48</v>
      </c>
      <c r="CK66" s="13">
        <v>3082.34</v>
      </c>
      <c r="CL66" s="11">
        <v>113</v>
      </c>
      <c r="CM66" s="11"/>
      <c r="CN66" s="13"/>
      <c r="CO66" s="11"/>
      <c r="CP66" s="12"/>
      <c r="CQ66" s="12"/>
      <c r="CR66" s="11"/>
      <c r="CS66" s="13"/>
      <c r="CT66" s="11"/>
      <c r="CU66" s="11"/>
      <c r="CV66" s="13"/>
      <c r="CW66" s="11"/>
      <c r="CX66" s="12"/>
      <c r="CY66" s="12"/>
      <c r="CZ66" s="11"/>
      <c r="DA66" s="13"/>
      <c r="DB66" s="11">
        <v>1</v>
      </c>
      <c r="DC66" s="11"/>
      <c r="DD66" s="13"/>
      <c r="DE66" s="11"/>
      <c r="DF66" s="12"/>
      <c r="DG66" s="12"/>
      <c r="DH66" s="11">
        <v>21</v>
      </c>
      <c r="DI66" s="13">
        <v>1151.23</v>
      </c>
      <c r="DJ66" s="11">
        <v>48</v>
      </c>
      <c r="DK66" s="11"/>
      <c r="DL66" s="13"/>
      <c r="DM66" s="11"/>
      <c r="DN66" s="12"/>
      <c r="DO66" s="12"/>
      <c r="DP66" s="11">
        <v>90</v>
      </c>
      <c r="DQ66" s="13">
        <v>5027.74</v>
      </c>
      <c r="DR66" s="11">
        <v>92</v>
      </c>
      <c r="DS66" s="11"/>
      <c r="DT66" s="13"/>
      <c r="DU66" s="11"/>
      <c r="DV66" s="12"/>
      <c r="DW66" s="12"/>
      <c r="DX66" s="11">
        <v>13</v>
      </c>
      <c r="DY66" s="13">
        <v>604.56</v>
      </c>
      <c r="DZ66" s="11">
        <v>6</v>
      </c>
      <c r="EA66" s="11"/>
      <c r="EB66" s="13"/>
      <c r="EC66" s="11"/>
      <c r="ED66" s="12"/>
      <c r="EE66" s="12"/>
      <c r="EF66" s="11"/>
      <c r="EG66" s="13"/>
      <c r="EH66" s="11"/>
      <c r="EI66" s="11"/>
      <c r="EJ66" s="13"/>
      <c r="EK66" s="11"/>
      <c r="EL66" s="12"/>
      <c r="EM66" s="12"/>
      <c r="EN66" s="11">
        <v>14</v>
      </c>
      <c r="EO66" s="13">
        <v>1357.42</v>
      </c>
      <c r="EP66" s="11">
        <v>114</v>
      </c>
      <c r="EQ66" s="11"/>
      <c r="ER66" s="13"/>
      <c r="ES66" s="11"/>
      <c r="ET66" s="12"/>
      <c r="EU66" s="12"/>
      <c r="EV66" s="11">
        <v>30</v>
      </c>
      <c r="EW66" s="13">
        <v>1498.12</v>
      </c>
      <c r="EX66" s="11">
        <v>45</v>
      </c>
      <c r="EY66" s="11"/>
      <c r="EZ66" s="13"/>
      <c r="FA66" s="11"/>
      <c r="FB66" s="12"/>
      <c r="FC66" s="12"/>
      <c r="FD66" s="11"/>
      <c r="FE66" s="13"/>
      <c r="FF66" s="11"/>
      <c r="FG66" s="11"/>
      <c r="FH66" s="13"/>
      <c r="FI66" s="11"/>
      <c r="FJ66" s="12"/>
      <c r="FK66" s="12"/>
      <c r="FL66" s="11">
        <v>18</v>
      </c>
      <c r="FM66" s="13">
        <v>1192.37</v>
      </c>
      <c r="FN66" s="11">
        <v>17</v>
      </c>
      <c r="FO66" s="11"/>
      <c r="FP66" s="13"/>
      <c r="FQ66" s="11"/>
      <c r="FR66" s="12"/>
      <c r="FS66" s="12"/>
      <c r="FT66" s="11">
        <v>7</v>
      </c>
      <c r="FU66" s="13">
        <v>438.91</v>
      </c>
      <c r="FV66" s="11">
        <v>15</v>
      </c>
      <c r="FW66" s="11"/>
      <c r="FX66" s="13"/>
      <c r="FY66" s="11"/>
      <c r="FZ66" s="12"/>
      <c r="GA66" s="12"/>
      <c r="GB66" s="11">
        <v>4</v>
      </c>
      <c r="GC66" s="13">
        <v>214.07</v>
      </c>
      <c r="GD66" s="11">
        <v>21</v>
      </c>
      <c r="GE66" s="11"/>
      <c r="GF66" s="13"/>
      <c r="GG66" s="11"/>
      <c r="GH66" s="12"/>
      <c r="GI66" s="12"/>
      <c r="GJ66" s="11"/>
      <c r="GK66" s="13"/>
      <c r="GL66" s="11"/>
      <c r="GM66" s="11"/>
      <c r="GN66" s="13"/>
      <c r="GO66" s="11"/>
      <c r="GP66" s="12"/>
      <c r="GQ66" s="12"/>
      <c r="GR66" s="11">
        <v>3</v>
      </c>
      <c r="GS66" s="13">
        <v>131.53</v>
      </c>
      <c r="GT66" s="11">
        <v>47</v>
      </c>
      <c r="GU66" s="11"/>
      <c r="GV66" s="13"/>
      <c r="GW66" s="11"/>
      <c r="GX66" s="12"/>
      <c r="GY66" s="12"/>
      <c r="GZ66" s="11">
        <v>10</v>
      </c>
      <c r="HA66" s="13">
        <v>569.51</v>
      </c>
      <c r="HB66" s="11">
        <v>30</v>
      </c>
      <c r="HC66" s="11"/>
      <c r="HD66" s="13"/>
      <c r="HE66" s="11"/>
      <c r="HF66" s="12"/>
      <c r="HG66" s="12"/>
      <c r="HH66" s="11">
        <v>13</v>
      </c>
      <c r="HI66" s="13">
        <v>563.34</v>
      </c>
      <c r="HJ66" s="11"/>
      <c r="HK66" s="11"/>
      <c r="HL66" s="13"/>
      <c r="HM66" s="11"/>
      <c r="HN66" s="12"/>
      <c r="HO66" s="12"/>
      <c r="HP66" s="11"/>
      <c r="HQ66" s="13"/>
      <c r="HR66" s="11"/>
      <c r="HS66" s="11"/>
      <c r="HT66" s="13"/>
      <c r="HU66" s="11"/>
      <c r="HV66" s="12"/>
      <c r="HW66" s="12"/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>
        <v>2</v>
      </c>
      <c r="IW66" s="13">
        <v>95.55</v>
      </c>
      <c r="IX66" s="11">
        <v>25</v>
      </c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/>
      <c r="JP66" s="13"/>
      <c r="JQ66" s="11"/>
      <c r="JR66" s="12"/>
      <c r="JS66" s="12"/>
      <c r="JT66" s="11"/>
      <c r="JU66" s="13"/>
      <c r="JV66" s="11">
        <v>29</v>
      </c>
      <c r="JW66" s="11"/>
      <c r="JX66" s="13"/>
      <c r="JY66" s="11"/>
      <c r="JZ66" s="12"/>
      <c r="KA66" s="12"/>
      <c r="KB66" s="11"/>
      <c r="KC66" s="13"/>
      <c r="KD66" s="11"/>
      <c r="KE66" s="11"/>
      <c r="KF66" s="13"/>
      <c r="KG66" s="11"/>
      <c r="KH66" s="12"/>
      <c r="KI66" s="12"/>
      <c r="KJ66" s="11"/>
      <c r="KK66" s="13"/>
      <c r="KL66" s="11"/>
      <c r="KM66" s="11"/>
      <c r="KN66" s="13"/>
      <c r="KO66" s="11"/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  <c r="LH66" s="11"/>
      <c r="LI66" s="13"/>
      <c r="LJ66" s="11"/>
      <c r="LK66" s="11"/>
      <c r="LL66" s="13"/>
      <c r="LM66" s="11"/>
      <c r="LN66" s="12"/>
      <c r="LO66" s="12"/>
      <c r="LP66" s="11"/>
      <c r="LQ66" s="13"/>
      <c r="LR66" s="11"/>
      <c r="LS66" s="11"/>
      <c r="LT66" s="13"/>
      <c r="LU66" s="11"/>
      <c r="LV66" s="12"/>
      <c r="LW66" s="12"/>
    </row>
    <row r="67">
      <c r="A67" s="10" t="s">
        <v>72</v>
      </c>
      <c r="B67" s="10" t="s">
        <v>113</v>
      </c>
      <c r="C67" s="10" t="s">
        <v>114</v>
      </c>
      <c r="D67" s="11"/>
      <c r="E67" s="11">
        <f>=ROUNDDOWN({0},0)</f>
      </c>
      <c r="F67" s="11"/>
      <c r="G67" s="12">
        <v>0.6468</v>
      </c>
      <c r="H67" s="11"/>
      <c r="I67" s="11">
        <f>=ROUNDDOWN({0},0)</f>
      </c>
      <c r="J67" s="11"/>
      <c r="K67" s="12"/>
      <c r="L67" s="11">
        <v>315</v>
      </c>
      <c r="M67" s="13">
        <v>2958.55</v>
      </c>
      <c r="N67" s="11"/>
      <c r="O67" s="14"/>
      <c r="P67" s="11"/>
      <c r="Q67" s="13"/>
      <c r="R67" s="11"/>
      <c r="S67" s="14"/>
      <c r="T67" s="12"/>
      <c r="U67" s="12"/>
      <c r="V67" s="12"/>
      <c r="W67" s="12"/>
      <c r="X67" s="11"/>
      <c r="Y67" s="13"/>
      <c r="Z67" s="11"/>
      <c r="AA67" s="11"/>
      <c r="AB67" s="13"/>
      <c r="AC67" s="11"/>
      <c r="AD67" s="12"/>
      <c r="AE67" s="12"/>
      <c r="AF67" s="11"/>
      <c r="AG67" s="13"/>
      <c r="AH67" s="11"/>
      <c r="AI67" s="11"/>
      <c r="AJ67" s="13"/>
      <c r="AK67" s="11"/>
      <c r="AL67" s="12"/>
      <c r="AM67" s="12"/>
      <c r="AN67" s="11">
        <v>315</v>
      </c>
      <c r="AO67" s="13">
        <v>2958.55</v>
      </c>
      <c r="AP67" s="11"/>
      <c r="AQ67" s="11"/>
      <c r="AR67" s="13"/>
      <c r="AS67" s="11"/>
      <c r="AT67" s="12"/>
      <c r="AU67" s="12"/>
      <c r="AV67" s="11"/>
      <c r="AW67" s="13"/>
      <c r="AX67" s="11"/>
      <c r="AY67" s="11"/>
      <c r="AZ67" s="13"/>
      <c r="BA67" s="11"/>
      <c r="BB67" s="12"/>
      <c r="BC67" s="12"/>
      <c r="BD67" s="11"/>
      <c r="BE67" s="13"/>
      <c r="BF67" s="11"/>
      <c r="BG67" s="11"/>
      <c r="BH67" s="13"/>
      <c r="BI67" s="11"/>
      <c r="BJ67" s="12"/>
      <c r="BK67" s="12"/>
      <c r="BL67" s="11"/>
      <c r="BM67" s="13"/>
      <c r="BN67" s="11"/>
      <c r="BO67" s="11"/>
      <c r="BP67" s="13"/>
      <c r="BQ67" s="11"/>
      <c r="BR67" s="12"/>
      <c r="BS67" s="12"/>
      <c r="BT67" s="11"/>
      <c r="BU67" s="13"/>
      <c r="BV67" s="11"/>
      <c r="BW67" s="11"/>
      <c r="BX67" s="13"/>
      <c r="BY67" s="11"/>
      <c r="BZ67" s="12"/>
      <c r="CA67" s="12"/>
      <c r="CB67" s="11"/>
      <c r="CC67" s="13"/>
      <c r="CD67" s="11"/>
      <c r="CE67" s="11"/>
      <c r="CF67" s="13"/>
      <c r="CG67" s="11"/>
      <c r="CH67" s="12"/>
      <c r="CI67" s="12"/>
      <c r="CJ67" s="11"/>
      <c r="CK67" s="13"/>
      <c r="CL67" s="11"/>
      <c r="CM67" s="11"/>
      <c r="CN67" s="13"/>
      <c r="CO67" s="11"/>
      <c r="CP67" s="12"/>
      <c r="CQ67" s="12"/>
      <c r="CR67" s="11"/>
      <c r="CS67" s="13"/>
      <c r="CT67" s="11"/>
      <c r="CU67" s="11"/>
      <c r="CV67" s="13"/>
      <c r="CW67" s="11"/>
      <c r="CX67" s="12"/>
      <c r="CY67" s="12"/>
      <c r="CZ67" s="11"/>
      <c r="DA67" s="13"/>
      <c r="DB67" s="11"/>
      <c r="DC67" s="11"/>
      <c r="DD67" s="13"/>
      <c r="DE67" s="11"/>
      <c r="DF67" s="12"/>
      <c r="DG67" s="12"/>
      <c r="DH67" s="11"/>
      <c r="DI67" s="13"/>
      <c r="DJ67" s="11"/>
      <c r="DK67" s="11"/>
      <c r="DL67" s="13"/>
      <c r="DM67" s="11"/>
      <c r="DN67" s="12"/>
      <c r="DO67" s="12"/>
      <c r="DP67" s="11"/>
      <c r="DQ67" s="13"/>
      <c r="DR67" s="11"/>
      <c r="DS67" s="11"/>
      <c r="DT67" s="13"/>
      <c r="DU67" s="11"/>
      <c r="DV67" s="12"/>
      <c r="DW67" s="12"/>
      <c r="DX67" s="11"/>
      <c r="DY67" s="13"/>
      <c r="DZ67" s="11"/>
      <c r="EA67" s="11"/>
      <c r="EB67" s="13"/>
      <c r="EC67" s="11"/>
      <c r="ED67" s="12"/>
      <c r="EE67" s="12"/>
      <c r="EF67" s="11"/>
      <c r="EG67" s="13"/>
      <c r="EH67" s="11"/>
      <c r="EI67" s="11"/>
      <c r="EJ67" s="13"/>
      <c r="EK67" s="11"/>
      <c r="EL67" s="12"/>
      <c r="EM67" s="12"/>
      <c r="EN67" s="11"/>
      <c r="EO67" s="13"/>
      <c r="EP67" s="11"/>
      <c r="EQ67" s="11"/>
      <c r="ER67" s="13"/>
      <c r="ES67" s="11"/>
      <c r="ET67" s="12"/>
      <c r="EU67" s="12"/>
      <c r="EV67" s="11"/>
      <c r="EW67" s="13"/>
      <c r="EX67" s="11"/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/>
      <c r="FM67" s="13"/>
      <c r="FN67" s="11"/>
      <c r="FO67" s="11"/>
      <c r="FP67" s="13"/>
      <c r="FQ67" s="11"/>
      <c r="FR67" s="12"/>
      <c r="FS67" s="12"/>
      <c r="FT67" s="11"/>
      <c r="FU67" s="13"/>
      <c r="FV67" s="11"/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/>
      <c r="GM67" s="11"/>
      <c r="GN67" s="13"/>
      <c r="GO67" s="11"/>
      <c r="GP67" s="12"/>
      <c r="GQ67" s="12"/>
      <c r="GR67" s="11"/>
      <c r="GS67" s="13"/>
      <c r="GT67" s="11"/>
      <c r="GU67" s="11"/>
      <c r="GV67" s="13"/>
      <c r="GW67" s="11"/>
      <c r="GX67" s="12"/>
      <c r="GY67" s="12"/>
      <c r="GZ67" s="11"/>
      <c r="HA67" s="13"/>
      <c r="HB67" s="11"/>
      <c r="HC67" s="11"/>
      <c r="HD67" s="13"/>
      <c r="HE67" s="11"/>
      <c r="HF67" s="12"/>
      <c r="HG67" s="12"/>
      <c r="HH67" s="11"/>
      <c r="HI67" s="13"/>
      <c r="HJ67" s="11"/>
      <c r="HK67" s="11"/>
      <c r="HL67" s="13"/>
      <c r="HM67" s="11"/>
      <c r="HN67" s="12"/>
      <c r="HO67" s="12"/>
      <c r="HP67" s="11"/>
      <c r="HQ67" s="13"/>
      <c r="HR67" s="11"/>
      <c r="HS67" s="11"/>
      <c r="HT67" s="13"/>
      <c r="HU67" s="11"/>
      <c r="HV67" s="12"/>
      <c r="HW67" s="12"/>
      <c r="HX67" s="11"/>
      <c r="HY67" s="13"/>
      <c r="HZ67" s="11"/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/>
      <c r="JP67" s="13"/>
      <c r="JQ67" s="11"/>
      <c r="JR67" s="12"/>
      <c r="JS67" s="12"/>
      <c r="JT67" s="11"/>
      <c r="JU67" s="13"/>
      <c r="JV67" s="11"/>
      <c r="JW67" s="11"/>
      <c r="JX67" s="13"/>
      <c r="JY67" s="11"/>
      <c r="JZ67" s="12"/>
      <c r="KA67" s="12"/>
      <c r="KB67" s="11"/>
      <c r="KC67" s="13"/>
      <c r="KD67" s="11"/>
      <c r="KE67" s="11"/>
      <c r="KF67" s="13"/>
      <c r="KG67" s="11"/>
      <c r="KH67" s="12"/>
      <c r="KI67" s="12"/>
      <c r="KJ67" s="11"/>
      <c r="KK67" s="13"/>
      <c r="KL67" s="11"/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  <c r="LH67" s="11"/>
      <c r="LI67" s="13"/>
      <c r="LJ67" s="11"/>
      <c r="LK67" s="11"/>
      <c r="LL67" s="13"/>
      <c r="LM67" s="11"/>
      <c r="LN67" s="12"/>
      <c r="LO67" s="12"/>
      <c r="LP67" s="11"/>
      <c r="LQ67" s="13"/>
      <c r="LR67" s="11"/>
      <c r="LS67" s="11"/>
      <c r="LT67" s="13"/>
      <c r="LU67" s="11"/>
      <c r="LV67" s="12"/>
      <c r="LW67" s="12"/>
    </row>
    <row r="68">
      <c r="A68" s="10" t="s">
        <v>72</v>
      </c>
      <c r="B68" s="10" t="s">
        <v>113</v>
      </c>
      <c r="C68" s="10" t="s">
        <v>115</v>
      </c>
      <c r="D68" s="11">
        <v>12334</v>
      </c>
      <c r="E68" s="11">
        <f>=ROUNDDOWN(31.3045685279188,0)</f>
      </c>
      <c r="F68" s="11">
        <v>3520</v>
      </c>
      <c r="G68" s="12">
        <v>0.9523</v>
      </c>
      <c r="H68" s="11"/>
      <c r="I68" s="11">
        <f>=ROUNDDOWN({0},0)</f>
      </c>
      <c r="J68" s="11"/>
      <c r="K68" s="12"/>
      <c r="L68" s="11">
        <v>5607</v>
      </c>
      <c r="M68" s="13">
        <v>103660.27</v>
      </c>
      <c r="N68" s="11">
        <v>13</v>
      </c>
      <c r="O68" s="14">
        <v>7973.87</v>
      </c>
      <c r="P68" s="11"/>
      <c r="Q68" s="13"/>
      <c r="R68" s="11"/>
      <c r="S68" s="14"/>
      <c r="T68" s="12"/>
      <c r="U68" s="12"/>
      <c r="V68" s="12"/>
      <c r="W68" s="12"/>
      <c r="X68" s="11">
        <v>2863</v>
      </c>
      <c r="Y68" s="13">
        <v>53575.75</v>
      </c>
      <c r="Z68" s="11">
        <v>13</v>
      </c>
      <c r="AA68" s="11"/>
      <c r="AB68" s="13"/>
      <c r="AC68" s="11"/>
      <c r="AD68" s="12"/>
      <c r="AE68" s="12"/>
      <c r="AF68" s="11">
        <v>349</v>
      </c>
      <c r="AG68" s="13">
        <v>5295.49</v>
      </c>
      <c r="AH68" s="11">
        <v>13</v>
      </c>
      <c r="AI68" s="11"/>
      <c r="AJ68" s="13"/>
      <c r="AK68" s="11"/>
      <c r="AL68" s="12"/>
      <c r="AM68" s="12"/>
      <c r="AN68" s="11">
        <v>657</v>
      </c>
      <c r="AO68" s="13">
        <v>11235.93</v>
      </c>
      <c r="AP68" s="11">
        <v>13</v>
      </c>
      <c r="AQ68" s="11"/>
      <c r="AR68" s="13"/>
      <c r="AS68" s="11"/>
      <c r="AT68" s="12"/>
      <c r="AU68" s="12"/>
      <c r="AV68" s="11">
        <v>296</v>
      </c>
      <c r="AW68" s="13">
        <v>5568.7</v>
      </c>
      <c r="AX68" s="11">
        <v>11</v>
      </c>
      <c r="AY68" s="11"/>
      <c r="AZ68" s="13"/>
      <c r="BA68" s="11"/>
      <c r="BB68" s="12"/>
      <c r="BC68" s="12"/>
      <c r="BD68" s="11">
        <v>976</v>
      </c>
      <c r="BE68" s="13">
        <v>18736.84</v>
      </c>
      <c r="BF68" s="11">
        <v>13</v>
      </c>
      <c r="BG68" s="11"/>
      <c r="BH68" s="13"/>
      <c r="BI68" s="11"/>
      <c r="BJ68" s="12"/>
      <c r="BK68" s="12"/>
      <c r="BL68" s="11">
        <v>58</v>
      </c>
      <c r="BM68" s="13">
        <v>1029.58</v>
      </c>
      <c r="BN68" s="11">
        <v>13</v>
      </c>
      <c r="BO68" s="11"/>
      <c r="BP68" s="13"/>
      <c r="BQ68" s="11"/>
      <c r="BR68" s="12"/>
      <c r="BS68" s="12"/>
      <c r="BT68" s="11">
        <v>42</v>
      </c>
      <c r="BU68" s="13">
        <v>967.8</v>
      </c>
      <c r="BV68" s="11">
        <v>13</v>
      </c>
      <c r="BW68" s="11"/>
      <c r="BX68" s="13"/>
      <c r="BY68" s="11"/>
      <c r="BZ68" s="12"/>
      <c r="CA68" s="12"/>
      <c r="CB68" s="11"/>
      <c r="CC68" s="13"/>
      <c r="CD68" s="11"/>
      <c r="CE68" s="11"/>
      <c r="CF68" s="13"/>
      <c r="CG68" s="11"/>
      <c r="CH68" s="12"/>
      <c r="CI68" s="12"/>
      <c r="CJ68" s="11"/>
      <c r="CK68" s="13"/>
      <c r="CL68" s="11">
        <v>13</v>
      </c>
      <c r="CM68" s="11"/>
      <c r="CN68" s="13"/>
      <c r="CO68" s="11"/>
      <c r="CP68" s="12"/>
      <c r="CQ68" s="12"/>
      <c r="CR68" s="11"/>
      <c r="CS68" s="13"/>
      <c r="CT68" s="11"/>
      <c r="CU68" s="11"/>
      <c r="CV68" s="13"/>
      <c r="CW68" s="11"/>
      <c r="CX68" s="12"/>
      <c r="CY68" s="12"/>
      <c r="CZ68" s="11">
        <v>17</v>
      </c>
      <c r="DA68" s="13">
        <v>342.72</v>
      </c>
      <c r="DB68" s="11">
        <v>2</v>
      </c>
      <c r="DC68" s="11"/>
      <c r="DD68" s="13"/>
      <c r="DE68" s="11"/>
      <c r="DF68" s="12"/>
      <c r="DG68" s="12"/>
      <c r="DH68" s="11">
        <v>8</v>
      </c>
      <c r="DI68" s="13">
        <v>151.2</v>
      </c>
      <c r="DJ68" s="11">
        <v>8</v>
      </c>
      <c r="DK68" s="11"/>
      <c r="DL68" s="13"/>
      <c r="DM68" s="11"/>
      <c r="DN68" s="12"/>
      <c r="DO68" s="12"/>
      <c r="DP68" s="11">
        <v>193</v>
      </c>
      <c r="DQ68" s="13">
        <v>3537.46</v>
      </c>
      <c r="DR68" s="11">
        <v>13</v>
      </c>
      <c r="DS68" s="11"/>
      <c r="DT68" s="13"/>
      <c r="DU68" s="11"/>
      <c r="DV68" s="12"/>
      <c r="DW68" s="12"/>
      <c r="DX68" s="11"/>
      <c r="DY68" s="13"/>
      <c r="DZ68" s="11"/>
      <c r="EA68" s="11"/>
      <c r="EB68" s="13"/>
      <c r="EC68" s="11"/>
      <c r="ED68" s="12"/>
      <c r="EE68" s="12"/>
      <c r="EF68" s="11"/>
      <c r="EG68" s="13"/>
      <c r="EH68" s="11"/>
      <c r="EI68" s="11"/>
      <c r="EJ68" s="13"/>
      <c r="EK68" s="11"/>
      <c r="EL68" s="12"/>
      <c r="EM68" s="12"/>
      <c r="EN68" s="11">
        <v>8</v>
      </c>
      <c r="EO68" s="13">
        <v>369.92</v>
      </c>
      <c r="EP68" s="11">
        <v>13</v>
      </c>
      <c r="EQ68" s="11"/>
      <c r="ER68" s="13"/>
      <c r="ES68" s="11"/>
      <c r="ET68" s="12"/>
      <c r="EU68" s="12"/>
      <c r="EV68" s="11">
        <v>34</v>
      </c>
      <c r="EW68" s="13">
        <v>674.83</v>
      </c>
      <c r="EX68" s="11">
        <v>2</v>
      </c>
      <c r="EY68" s="11"/>
      <c r="EZ68" s="13"/>
      <c r="FA68" s="11"/>
      <c r="FB68" s="12"/>
      <c r="FC68" s="12"/>
      <c r="FD68" s="11"/>
      <c r="FE68" s="13"/>
      <c r="FF68" s="11"/>
      <c r="FG68" s="11"/>
      <c r="FH68" s="13"/>
      <c r="FI68" s="11"/>
      <c r="FJ68" s="12"/>
      <c r="FK68" s="12"/>
      <c r="FL68" s="11">
        <v>28</v>
      </c>
      <c r="FM68" s="13">
        <v>609.56</v>
      </c>
      <c r="FN68" s="11">
        <v>3</v>
      </c>
      <c r="FO68" s="11"/>
      <c r="FP68" s="13"/>
      <c r="FQ68" s="11"/>
      <c r="FR68" s="12"/>
      <c r="FS68" s="12"/>
      <c r="FT68" s="11">
        <v>2</v>
      </c>
      <c r="FU68" s="13">
        <v>37.8</v>
      </c>
      <c r="FV68" s="11">
        <v>5</v>
      </c>
      <c r="FW68" s="11"/>
      <c r="FX68" s="13"/>
      <c r="FY68" s="11"/>
      <c r="FZ68" s="12"/>
      <c r="GA68" s="12"/>
      <c r="GB68" s="11"/>
      <c r="GC68" s="13"/>
      <c r="GD68" s="11"/>
      <c r="GE68" s="11"/>
      <c r="GF68" s="13"/>
      <c r="GG68" s="11"/>
      <c r="GH68" s="12"/>
      <c r="GI68" s="12"/>
      <c r="GJ68" s="11"/>
      <c r="GK68" s="13"/>
      <c r="GL68" s="11"/>
      <c r="GM68" s="11"/>
      <c r="GN68" s="13"/>
      <c r="GO68" s="11"/>
      <c r="GP68" s="12"/>
      <c r="GQ68" s="12"/>
      <c r="GR68" s="11"/>
      <c r="GS68" s="13"/>
      <c r="GT68" s="11">
        <v>1</v>
      </c>
      <c r="GU68" s="11"/>
      <c r="GV68" s="13"/>
      <c r="GW68" s="11"/>
      <c r="GX68" s="12"/>
      <c r="GY68" s="12"/>
      <c r="GZ68" s="11">
        <v>62</v>
      </c>
      <c r="HA68" s="13">
        <v>1240.9</v>
      </c>
      <c r="HB68" s="11">
        <v>12</v>
      </c>
      <c r="HC68" s="11"/>
      <c r="HD68" s="13"/>
      <c r="HE68" s="11"/>
      <c r="HF68" s="12"/>
      <c r="HG68" s="12"/>
      <c r="HH68" s="11">
        <v>11</v>
      </c>
      <c r="HI68" s="13">
        <v>232.87</v>
      </c>
      <c r="HJ68" s="11"/>
      <c r="HK68" s="11"/>
      <c r="HL68" s="13"/>
      <c r="HM68" s="11"/>
      <c r="HN68" s="12"/>
      <c r="HO68" s="12"/>
      <c r="HP68" s="11"/>
      <c r="HQ68" s="13"/>
      <c r="HR68" s="11"/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/>
      <c r="IO68" s="13"/>
      <c r="IP68" s="11"/>
      <c r="IQ68" s="11"/>
      <c r="IR68" s="13"/>
      <c r="IS68" s="11"/>
      <c r="IT68" s="12"/>
      <c r="IU68" s="12"/>
      <c r="IV68" s="11">
        <v>3</v>
      </c>
      <c r="IW68" s="13">
        <v>52.92</v>
      </c>
      <c r="IX68" s="11">
        <v>10</v>
      </c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>
        <v>12</v>
      </c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/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  <c r="LH68" s="11"/>
      <c r="LI68" s="13"/>
      <c r="LJ68" s="11"/>
      <c r="LK68" s="11"/>
      <c r="LL68" s="13"/>
      <c r="LM68" s="11"/>
      <c r="LN68" s="12"/>
      <c r="LO68" s="12"/>
      <c r="LP68" s="11"/>
      <c r="LQ68" s="13"/>
      <c r="LR68" s="11"/>
      <c r="LS68" s="11"/>
      <c r="LT68" s="13"/>
      <c r="LU68" s="11"/>
      <c r="LV68" s="12"/>
      <c r="LW68" s="12"/>
    </row>
    <row r="69">
      <c r="A69" s="10" t="s">
        <v>72</v>
      </c>
      <c r="B69" s="10" t="s">
        <v>113</v>
      </c>
      <c r="C69" s="10" t="s">
        <v>100</v>
      </c>
      <c r="D69" s="11">
        <v>514</v>
      </c>
      <c r="E69" s="11">
        <f>=ROUNDDOWN(233.636363636364,0)</f>
      </c>
      <c r="F69" s="11"/>
      <c r="G69" s="12">
        <v>0.6232</v>
      </c>
      <c r="H69" s="11"/>
      <c r="I69" s="11">
        <f>=ROUNDDOWN({0},0)</f>
      </c>
      <c r="J69" s="11"/>
      <c r="K69" s="12"/>
      <c r="L69" s="11">
        <v>72</v>
      </c>
      <c r="M69" s="13">
        <v>630</v>
      </c>
      <c r="N69" s="11"/>
      <c r="O69" s="14"/>
      <c r="P69" s="11"/>
      <c r="Q69" s="13"/>
      <c r="R69" s="11"/>
      <c r="S69" s="14"/>
      <c r="T69" s="12"/>
      <c r="U69" s="12"/>
      <c r="V69" s="12"/>
      <c r="W69" s="12"/>
      <c r="X69" s="11"/>
      <c r="Y69" s="13"/>
      <c r="Z69" s="11"/>
      <c r="AA69" s="11"/>
      <c r="AB69" s="13"/>
      <c r="AC69" s="11"/>
      <c r="AD69" s="12"/>
      <c r="AE69" s="12"/>
      <c r="AF69" s="11"/>
      <c r="AG69" s="13"/>
      <c r="AH69" s="11"/>
      <c r="AI69" s="11"/>
      <c r="AJ69" s="13"/>
      <c r="AK69" s="11"/>
      <c r="AL69" s="12"/>
      <c r="AM69" s="12"/>
      <c r="AN69" s="11">
        <v>72</v>
      </c>
      <c r="AO69" s="13">
        <v>630</v>
      </c>
      <c r="AP69" s="11"/>
      <c r="AQ69" s="11"/>
      <c r="AR69" s="13"/>
      <c r="AS69" s="11"/>
      <c r="AT69" s="12"/>
      <c r="AU69" s="12"/>
      <c r="AV69" s="11"/>
      <c r="AW69" s="13"/>
      <c r="AX69" s="11"/>
      <c r="AY69" s="11"/>
      <c r="AZ69" s="13"/>
      <c r="BA69" s="11"/>
      <c r="BB69" s="12"/>
      <c r="BC69" s="12"/>
      <c r="BD69" s="11"/>
      <c r="BE69" s="13"/>
      <c r="BF69" s="11"/>
      <c r="BG69" s="11"/>
      <c r="BH69" s="13"/>
      <c r="BI69" s="11"/>
      <c r="BJ69" s="12"/>
      <c r="BK69" s="12"/>
      <c r="BL69" s="11"/>
      <c r="BM69" s="13"/>
      <c r="BN69" s="11"/>
      <c r="BO69" s="11"/>
      <c r="BP69" s="13"/>
      <c r="BQ69" s="11"/>
      <c r="BR69" s="12"/>
      <c r="BS69" s="12"/>
      <c r="BT69" s="11"/>
      <c r="BU69" s="13"/>
      <c r="BV69" s="11"/>
      <c r="BW69" s="11"/>
      <c r="BX69" s="13"/>
      <c r="BY69" s="11"/>
      <c r="BZ69" s="12"/>
      <c r="CA69" s="12"/>
      <c r="CB69" s="11"/>
      <c r="CC69" s="13"/>
      <c r="CD69" s="11"/>
      <c r="CE69" s="11"/>
      <c r="CF69" s="13"/>
      <c r="CG69" s="11"/>
      <c r="CH69" s="12"/>
      <c r="CI69" s="12"/>
      <c r="CJ69" s="11"/>
      <c r="CK69" s="13"/>
      <c r="CL69" s="11"/>
      <c r="CM69" s="11"/>
      <c r="CN69" s="13"/>
      <c r="CO69" s="11"/>
      <c r="CP69" s="12"/>
      <c r="CQ69" s="12"/>
      <c r="CR69" s="11"/>
      <c r="CS69" s="13"/>
      <c r="CT69" s="11"/>
      <c r="CU69" s="11"/>
      <c r="CV69" s="13"/>
      <c r="CW69" s="11"/>
      <c r="CX69" s="12"/>
      <c r="CY69" s="12"/>
      <c r="CZ69" s="11"/>
      <c r="DA69" s="13"/>
      <c r="DB69" s="11"/>
      <c r="DC69" s="11"/>
      <c r="DD69" s="13"/>
      <c r="DE69" s="11"/>
      <c r="DF69" s="12"/>
      <c r="DG69" s="12"/>
      <c r="DH69" s="11"/>
      <c r="DI69" s="13"/>
      <c r="DJ69" s="11"/>
      <c r="DK69" s="11"/>
      <c r="DL69" s="13"/>
      <c r="DM69" s="11"/>
      <c r="DN69" s="12"/>
      <c r="DO69" s="12"/>
      <c r="DP69" s="11"/>
      <c r="DQ69" s="13"/>
      <c r="DR69" s="11"/>
      <c r="DS69" s="11"/>
      <c r="DT69" s="13"/>
      <c r="DU69" s="11"/>
      <c r="DV69" s="12"/>
      <c r="DW69" s="12"/>
      <c r="DX69" s="11"/>
      <c r="DY69" s="13"/>
      <c r="DZ69" s="11"/>
      <c r="EA69" s="11"/>
      <c r="EB69" s="13"/>
      <c r="EC69" s="11"/>
      <c r="ED69" s="12"/>
      <c r="EE69" s="12"/>
      <c r="EF69" s="11"/>
      <c r="EG69" s="13"/>
      <c r="EH69" s="11"/>
      <c r="EI69" s="11"/>
      <c r="EJ69" s="13"/>
      <c r="EK69" s="11"/>
      <c r="EL69" s="12"/>
      <c r="EM69" s="12"/>
      <c r="EN69" s="11"/>
      <c r="EO69" s="13"/>
      <c r="EP69" s="11"/>
      <c r="EQ69" s="11"/>
      <c r="ER69" s="13"/>
      <c r="ES69" s="11"/>
      <c r="ET69" s="12"/>
      <c r="EU69" s="12"/>
      <c r="EV69" s="11"/>
      <c r="EW69" s="13"/>
      <c r="EX69" s="11"/>
      <c r="EY69" s="11"/>
      <c r="EZ69" s="13"/>
      <c r="FA69" s="11"/>
      <c r="FB69" s="12"/>
      <c r="FC69" s="12"/>
      <c r="FD69" s="11"/>
      <c r="FE69" s="13"/>
      <c r="FF69" s="11"/>
      <c r="FG69" s="11"/>
      <c r="FH69" s="13"/>
      <c r="FI69" s="11"/>
      <c r="FJ69" s="12"/>
      <c r="FK69" s="12"/>
      <c r="FL69" s="11"/>
      <c r="FM69" s="13"/>
      <c r="FN69" s="11"/>
      <c r="FO69" s="11"/>
      <c r="FP69" s="13"/>
      <c r="FQ69" s="11"/>
      <c r="FR69" s="12"/>
      <c r="FS69" s="12"/>
      <c r="FT69" s="11"/>
      <c r="FU69" s="13"/>
      <c r="FV69" s="11"/>
      <c r="FW69" s="11"/>
      <c r="FX69" s="13"/>
      <c r="FY69" s="11"/>
      <c r="FZ69" s="12"/>
      <c r="GA69" s="12"/>
      <c r="GB69" s="11"/>
      <c r="GC69" s="13"/>
      <c r="GD69" s="11"/>
      <c r="GE69" s="11"/>
      <c r="GF69" s="13"/>
      <c r="GG69" s="11"/>
      <c r="GH69" s="12"/>
      <c r="GI69" s="12"/>
      <c r="GJ69" s="11"/>
      <c r="GK69" s="13"/>
      <c r="GL69" s="11"/>
      <c r="GM69" s="11"/>
      <c r="GN69" s="13"/>
      <c r="GO69" s="11"/>
      <c r="GP69" s="12"/>
      <c r="GQ69" s="12"/>
      <c r="GR69" s="11"/>
      <c r="GS69" s="13"/>
      <c r="GT69" s="11"/>
      <c r="GU69" s="11"/>
      <c r="GV69" s="13"/>
      <c r="GW69" s="11"/>
      <c r="GX69" s="12"/>
      <c r="GY69" s="12"/>
      <c r="GZ69" s="11"/>
      <c r="HA69" s="13"/>
      <c r="HB69" s="11"/>
      <c r="HC69" s="11"/>
      <c r="HD69" s="13"/>
      <c r="HE69" s="11"/>
      <c r="HF69" s="12"/>
      <c r="HG69" s="12"/>
      <c r="HH69" s="11"/>
      <c r="HI69" s="13"/>
      <c r="HJ69" s="11"/>
      <c r="HK69" s="11"/>
      <c r="HL69" s="13"/>
      <c r="HM69" s="11"/>
      <c r="HN69" s="12"/>
      <c r="HO69" s="12"/>
      <c r="HP69" s="11"/>
      <c r="HQ69" s="13"/>
      <c r="HR69" s="11"/>
      <c r="HS69" s="11"/>
      <c r="HT69" s="13"/>
      <c r="HU69" s="11"/>
      <c r="HV69" s="12"/>
      <c r="HW69" s="12"/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/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/>
      <c r="IW69" s="13"/>
      <c r="IX69" s="11"/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/>
      <c r="JO69" s="11"/>
      <c r="JP69" s="13"/>
      <c r="JQ69" s="11"/>
      <c r="JR69" s="12"/>
      <c r="JS69" s="12"/>
      <c r="JT69" s="11"/>
      <c r="JU69" s="13"/>
      <c r="JV69" s="11"/>
      <c r="JW69" s="11"/>
      <c r="JX69" s="13"/>
      <c r="JY69" s="11"/>
      <c r="JZ69" s="12"/>
      <c r="KA69" s="12"/>
      <c r="KB69" s="11"/>
      <c r="KC69" s="13"/>
      <c r="KD69" s="11"/>
      <c r="KE69" s="11"/>
      <c r="KF69" s="13"/>
      <c r="KG69" s="11"/>
      <c r="KH69" s="12"/>
      <c r="KI69" s="12"/>
      <c r="KJ69" s="11"/>
      <c r="KK69" s="13"/>
      <c r="KL69" s="11"/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  <c r="LH69" s="11"/>
      <c r="LI69" s="13"/>
      <c r="LJ69" s="11"/>
      <c r="LK69" s="11"/>
      <c r="LL69" s="13"/>
      <c r="LM69" s="11"/>
      <c r="LN69" s="12"/>
      <c r="LO69" s="12"/>
      <c r="LP69" s="11"/>
      <c r="LQ69" s="13"/>
      <c r="LR69" s="11"/>
      <c r="LS69" s="11"/>
      <c r="LT69" s="13"/>
      <c r="LU69" s="11"/>
      <c r="LV69" s="12"/>
      <c r="LW69" s="12"/>
    </row>
    <row r="70">
      <c r="A70" s="10" t="s">
        <v>72</v>
      </c>
      <c r="B70" s="10" t="s">
        <v>113</v>
      </c>
      <c r="C70" s="10" t="s">
        <v>101</v>
      </c>
      <c r="D70" s="11">
        <v>388</v>
      </c>
      <c r="E70" s="11">
        <f>=ROUNDDOWN(25.0322580645161,0)</f>
      </c>
      <c r="F70" s="11"/>
      <c r="G70" s="12">
        <v>0.75</v>
      </c>
      <c r="H70" s="11"/>
      <c r="I70" s="11">
        <f>=ROUNDDOWN({0},0)</f>
      </c>
      <c r="J70" s="11"/>
      <c r="K70" s="12"/>
      <c r="L70" s="11">
        <v>147</v>
      </c>
      <c r="M70" s="13">
        <v>2425.5</v>
      </c>
      <c r="N70" s="11"/>
      <c r="O70" s="14"/>
      <c r="P70" s="11"/>
      <c r="Q70" s="13"/>
      <c r="R70" s="11"/>
      <c r="S70" s="14"/>
      <c r="T70" s="12"/>
      <c r="U70" s="12"/>
      <c r="V70" s="12"/>
      <c r="W70" s="12"/>
      <c r="X70" s="11"/>
      <c r="Y70" s="13"/>
      <c r="Z70" s="11"/>
      <c r="AA70" s="11"/>
      <c r="AB70" s="13"/>
      <c r="AC70" s="11"/>
      <c r="AD70" s="12"/>
      <c r="AE70" s="12"/>
      <c r="AF70" s="11"/>
      <c r="AG70" s="13"/>
      <c r="AH70" s="11"/>
      <c r="AI70" s="11"/>
      <c r="AJ70" s="13"/>
      <c r="AK70" s="11"/>
      <c r="AL70" s="12"/>
      <c r="AM70" s="12"/>
      <c r="AN70" s="11">
        <v>147</v>
      </c>
      <c r="AO70" s="13">
        <v>2425.5</v>
      </c>
      <c r="AP70" s="11"/>
      <c r="AQ70" s="11"/>
      <c r="AR70" s="13"/>
      <c r="AS70" s="11"/>
      <c r="AT70" s="12"/>
      <c r="AU70" s="12"/>
      <c r="AV70" s="11"/>
      <c r="AW70" s="13"/>
      <c r="AX70" s="11"/>
      <c r="AY70" s="11"/>
      <c r="AZ70" s="13"/>
      <c r="BA70" s="11"/>
      <c r="BB70" s="12"/>
      <c r="BC70" s="12"/>
      <c r="BD70" s="11"/>
      <c r="BE70" s="13"/>
      <c r="BF70" s="11"/>
      <c r="BG70" s="11"/>
      <c r="BH70" s="13"/>
      <c r="BI70" s="11"/>
      <c r="BJ70" s="12"/>
      <c r="BK70" s="12"/>
      <c r="BL70" s="11"/>
      <c r="BM70" s="13"/>
      <c r="BN70" s="11"/>
      <c r="BO70" s="11"/>
      <c r="BP70" s="13"/>
      <c r="BQ70" s="11"/>
      <c r="BR70" s="12"/>
      <c r="BS70" s="12"/>
      <c r="BT70" s="11"/>
      <c r="BU70" s="13"/>
      <c r="BV70" s="11"/>
      <c r="BW70" s="11"/>
      <c r="BX70" s="13"/>
      <c r="BY70" s="11"/>
      <c r="BZ70" s="12"/>
      <c r="CA70" s="12"/>
      <c r="CB70" s="11"/>
      <c r="CC70" s="13"/>
      <c r="CD70" s="11"/>
      <c r="CE70" s="11"/>
      <c r="CF70" s="13"/>
      <c r="CG70" s="11"/>
      <c r="CH70" s="12"/>
      <c r="CI70" s="12"/>
      <c r="CJ70" s="11"/>
      <c r="CK70" s="13"/>
      <c r="CL70" s="11"/>
      <c r="CM70" s="11"/>
      <c r="CN70" s="13"/>
      <c r="CO70" s="11"/>
      <c r="CP70" s="12"/>
      <c r="CQ70" s="12"/>
      <c r="CR70" s="11"/>
      <c r="CS70" s="13"/>
      <c r="CT70" s="11"/>
      <c r="CU70" s="11"/>
      <c r="CV70" s="13"/>
      <c r="CW70" s="11"/>
      <c r="CX70" s="12"/>
      <c r="CY70" s="12"/>
      <c r="CZ70" s="11"/>
      <c r="DA70" s="13"/>
      <c r="DB70" s="11"/>
      <c r="DC70" s="11"/>
      <c r="DD70" s="13"/>
      <c r="DE70" s="11"/>
      <c r="DF70" s="12"/>
      <c r="DG70" s="12"/>
      <c r="DH70" s="11"/>
      <c r="DI70" s="13"/>
      <c r="DJ70" s="11"/>
      <c r="DK70" s="11"/>
      <c r="DL70" s="13"/>
      <c r="DM70" s="11"/>
      <c r="DN70" s="12"/>
      <c r="DO70" s="12"/>
      <c r="DP70" s="11"/>
      <c r="DQ70" s="13"/>
      <c r="DR70" s="11"/>
      <c r="DS70" s="11"/>
      <c r="DT70" s="13"/>
      <c r="DU70" s="11"/>
      <c r="DV70" s="12"/>
      <c r="DW70" s="12"/>
      <c r="DX70" s="11"/>
      <c r="DY70" s="13"/>
      <c r="DZ70" s="11"/>
      <c r="EA70" s="11"/>
      <c r="EB70" s="13"/>
      <c r="EC70" s="11"/>
      <c r="ED70" s="12"/>
      <c r="EE70" s="12"/>
      <c r="EF70" s="11"/>
      <c r="EG70" s="13"/>
      <c r="EH70" s="11"/>
      <c r="EI70" s="11"/>
      <c r="EJ70" s="13"/>
      <c r="EK70" s="11"/>
      <c r="EL70" s="12"/>
      <c r="EM70" s="12"/>
      <c r="EN70" s="11"/>
      <c r="EO70" s="13"/>
      <c r="EP70" s="11"/>
      <c r="EQ70" s="11"/>
      <c r="ER70" s="13"/>
      <c r="ES70" s="11"/>
      <c r="ET70" s="12"/>
      <c r="EU70" s="12"/>
      <c r="EV70" s="11"/>
      <c r="EW70" s="13"/>
      <c r="EX70" s="11"/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/>
      <c r="FM70" s="13"/>
      <c r="FN70" s="11"/>
      <c r="FO70" s="11"/>
      <c r="FP70" s="13"/>
      <c r="FQ70" s="11"/>
      <c r="FR70" s="12"/>
      <c r="FS70" s="12"/>
      <c r="FT70" s="11"/>
      <c r="FU70" s="13"/>
      <c r="FV70" s="11"/>
      <c r="FW70" s="11"/>
      <c r="FX70" s="13"/>
      <c r="FY70" s="11"/>
      <c r="FZ70" s="12"/>
      <c r="GA70" s="12"/>
      <c r="GB70" s="11"/>
      <c r="GC70" s="13"/>
      <c r="GD70" s="11"/>
      <c r="GE70" s="11"/>
      <c r="GF70" s="13"/>
      <c r="GG70" s="11"/>
      <c r="GH70" s="12"/>
      <c r="GI70" s="12"/>
      <c r="GJ70" s="11"/>
      <c r="GK70" s="13"/>
      <c r="GL70" s="11"/>
      <c r="GM70" s="11"/>
      <c r="GN70" s="13"/>
      <c r="GO70" s="11"/>
      <c r="GP70" s="12"/>
      <c r="GQ70" s="12"/>
      <c r="GR70" s="11"/>
      <c r="GS70" s="13"/>
      <c r="GT70" s="11"/>
      <c r="GU70" s="11"/>
      <c r="GV70" s="13"/>
      <c r="GW70" s="11"/>
      <c r="GX70" s="12"/>
      <c r="GY70" s="12"/>
      <c r="GZ70" s="11"/>
      <c r="HA70" s="13"/>
      <c r="HB70" s="11"/>
      <c r="HC70" s="11"/>
      <c r="HD70" s="13"/>
      <c r="HE70" s="11"/>
      <c r="HF70" s="12"/>
      <c r="HG70" s="12"/>
      <c r="HH70" s="11"/>
      <c r="HI70" s="13"/>
      <c r="HJ70" s="11"/>
      <c r="HK70" s="11"/>
      <c r="HL70" s="13"/>
      <c r="HM70" s="11"/>
      <c r="HN70" s="12"/>
      <c r="HO70" s="12"/>
      <c r="HP70" s="11"/>
      <c r="HQ70" s="13"/>
      <c r="HR70" s="11"/>
      <c r="HS70" s="11"/>
      <c r="HT70" s="13"/>
      <c r="HU70" s="11"/>
      <c r="HV70" s="12"/>
      <c r="HW70" s="12"/>
      <c r="HX70" s="11"/>
      <c r="HY70" s="13"/>
      <c r="HZ70" s="11"/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/>
      <c r="JP70" s="13"/>
      <c r="JQ70" s="11"/>
      <c r="JR70" s="12"/>
      <c r="JS70" s="12"/>
      <c r="JT70" s="11"/>
      <c r="JU70" s="13"/>
      <c r="JV70" s="11"/>
      <c r="JW70" s="11"/>
      <c r="JX70" s="13"/>
      <c r="JY70" s="11"/>
      <c r="JZ70" s="12"/>
      <c r="KA70" s="12"/>
      <c r="KB70" s="11"/>
      <c r="KC70" s="13"/>
      <c r="KD70" s="11"/>
      <c r="KE70" s="11"/>
      <c r="KF70" s="13"/>
      <c r="KG70" s="11"/>
      <c r="KH70" s="12"/>
      <c r="KI70" s="12"/>
      <c r="KJ70" s="11"/>
      <c r="KK70" s="13"/>
      <c r="KL70" s="11"/>
      <c r="KM70" s="11"/>
      <c r="KN70" s="13"/>
      <c r="KO70" s="11"/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  <c r="LH70" s="11"/>
      <c r="LI70" s="13"/>
      <c r="LJ70" s="11"/>
      <c r="LK70" s="11"/>
      <c r="LL70" s="13"/>
      <c r="LM70" s="11"/>
      <c r="LN70" s="12"/>
      <c r="LO70" s="12"/>
      <c r="LP70" s="11"/>
      <c r="LQ70" s="13"/>
      <c r="LR70" s="11"/>
      <c r="LS70" s="11"/>
      <c r="LT70" s="13"/>
      <c r="LU70" s="11"/>
      <c r="LV70" s="12"/>
      <c r="LW70" s="12"/>
    </row>
    <row r="71">
      <c r="A71" s="10" t="s">
        <v>72</v>
      </c>
      <c r="B71" s="10" t="s">
        <v>116</v>
      </c>
      <c r="C71" s="10" t="s">
        <v>77</v>
      </c>
      <c r="D71" s="11">
        <v>474116</v>
      </c>
      <c r="E71" s="11">
        <f>=ROUNDDOWN({0},0)</f>
      </c>
      <c r="F71" s="11">
        <v>132239</v>
      </c>
      <c r="G71" s="12"/>
      <c r="H71" s="11"/>
      <c r="I71" s="11">
        <f>=ROUNDDOWN({0},0)</f>
      </c>
      <c r="J71" s="11"/>
      <c r="K71" s="12"/>
      <c r="L71" s="11">
        <v>163789</v>
      </c>
      <c r="M71" s="13">
        <v>9710652.28</v>
      </c>
      <c r="N71" s="11">
        <v>949</v>
      </c>
      <c r="O71" s="14">
        <v>10232.51</v>
      </c>
      <c r="P71" s="11"/>
      <c r="Q71" s="13"/>
      <c r="R71" s="11"/>
      <c r="S71" s="14"/>
      <c r="T71" s="12"/>
      <c r="U71" s="12"/>
      <c r="V71" s="12"/>
      <c r="W71" s="12"/>
      <c r="X71" s="11">
        <v>44526</v>
      </c>
      <c r="Y71" s="13">
        <v>2921776.16</v>
      </c>
      <c r="Z71" s="11">
        <v>803</v>
      </c>
      <c r="AA71" s="11"/>
      <c r="AB71" s="13"/>
      <c r="AC71" s="11"/>
      <c r="AD71" s="12"/>
      <c r="AE71" s="12"/>
      <c r="AF71" s="11">
        <v>21187</v>
      </c>
      <c r="AG71" s="13">
        <v>1091592.56</v>
      </c>
      <c r="AH71" s="11">
        <v>948</v>
      </c>
      <c r="AI71" s="11"/>
      <c r="AJ71" s="13"/>
      <c r="AK71" s="11"/>
      <c r="AL71" s="12"/>
      <c r="AM71" s="12"/>
      <c r="AN71" s="11">
        <v>29167</v>
      </c>
      <c r="AO71" s="13">
        <v>1426918.27</v>
      </c>
      <c r="AP71" s="11">
        <v>949</v>
      </c>
      <c r="AQ71" s="11"/>
      <c r="AR71" s="13"/>
      <c r="AS71" s="11"/>
      <c r="AT71" s="12"/>
      <c r="AU71" s="12"/>
      <c r="AV71" s="11">
        <v>9821</v>
      </c>
      <c r="AW71" s="13">
        <v>587934.02</v>
      </c>
      <c r="AX71" s="11">
        <v>730</v>
      </c>
      <c r="AY71" s="11"/>
      <c r="AZ71" s="13"/>
      <c r="BA71" s="11"/>
      <c r="BB71" s="12"/>
      <c r="BC71" s="12"/>
      <c r="BD71" s="11">
        <v>23341</v>
      </c>
      <c r="BE71" s="13">
        <v>1413447.93</v>
      </c>
      <c r="BF71" s="11">
        <v>866</v>
      </c>
      <c r="BG71" s="11"/>
      <c r="BH71" s="13"/>
      <c r="BI71" s="11"/>
      <c r="BJ71" s="12"/>
      <c r="BK71" s="12"/>
      <c r="BL71" s="11">
        <v>9938</v>
      </c>
      <c r="BM71" s="13">
        <v>694636.81</v>
      </c>
      <c r="BN71" s="11">
        <v>949</v>
      </c>
      <c r="BO71" s="11"/>
      <c r="BP71" s="13"/>
      <c r="BQ71" s="11"/>
      <c r="BR71" s="12"/>
      <c r="BS71" s="12"/>
      <c r="BT71" s="11">
        <v>4682</v>
      </c>
      <c r="BU71" s="13">
        <v>283843.83</v>
      </c>
      <c r="BV71" s="11">
        <v>949</v>
      </c>
      <c r="BW71" s="11"/>
      <c r="BX71" s="13"/>
      <c r="BY71" s="11"/>
      <c r="BZ71" s="12"/>
      <c r="CA71" s="12"/>
      <c r="CB71" s="11">
        <v>11784</v>
      </c>
      <c r="CC71" s="13">
        <v>675633.47</v>
      </c>
      <c r="CD71" s="11">
        <v>897</v>
      </c>
      <c r="CE71" s="11"/>
      <c r="CF71" s="13"/>
      <c r="CG71" s="11"/>
      <c r="CH71" s="12"/>
      <c r="CI71" s="12"/>
      <c r="CJ71" s="11">
        <v>1601</v>
      </c>
      <c r="CK71" s="13">
        <v>115996.19</v>
      </c>
      <c r="CL71" s="11">
        <v>920</v>
      </c>
      <c r="CM71" s="11"/>
      <c r="CN71" s="13"/>
      <c r="CO71" s="11"/>
      <c r="CP71" s="12"/>
      <c r="CQ71" s="12"/>
      <c r="CR71" s="11"/>
      <c r="CS71" s="13"/>
      <c r="CT71" s="11"/>
      <c r="CU71" s="11"/>
      <c r="CV71" s="13"/>
      <c r="CW71" s="11"/>
      <c r="CX71" s="12"/>
      <c r="CY71" s="12"/>
      <c r="CZ71" s="11">
        <v>378</v>
      </c>
      <c r="DA71" s="13">
        <v>21495.92</v>
      </c>
      <c r="DB71" s="11">
        <v>58</v>
      </c>
      <c r="DC71" s="11"/>
      <c r="DD71" s="13"/>
      <c r="DE71" s="11"/>
      <c r="DF71" s="12"/>
      <c r="DG71" s="12"/>
      <c r="DH71" s="11">
        <v>476</v>
      </c>
      <c r="DI71" s="13">
        <v>28678.76</v>
      </c>
      <c r="DJ71" s="11">
        <v>423</v>
      </c>
      <c r="DK71" s="11"/>
      <c r="DL71" s="13"/>
      <c r="DM71" s="11"/>
      <c r="DN71" s="12"/>
      <c r="DO71" s="12"/>
      <c r="DP71" s="11">
        <v>4162</v>
      </c>
      <c r="DQ71" s="13">
        <v>266375.95</v>
      </c>
      <c r="DR71" s="11">
        <v>896</v>
      </c>
      <c r="DS71" s="11"/>
      <c r="DT71" s="13"/>
      <c r="DU71" s="11"/>
      <c r="DV71" s="12"/>
      <c r="DW71" s="12"/>
      <c r="DX71" s="11">
        <v>418</v>
      </c>
      <c r="DY71" s="13">
        <v>25439.51</v>
      </c>
      <c r="DZ71" s="11">
        <v>161</v>
      </c>
      <c r="EA71" s="11"/>
      <c r="EB71" s="13"/>
      <c r="EC71" s="11"/>
      <c r="ED71" s="12"/>
      <c r="EE71" s="12"/>
      <c r="EF71" s="11"/>
      <c r="EG71" s="13"/>
      <c r="EH71" s="11"/>
      <c r="EI71" s="11"/>
      <c r="EJ71" s="13"/>
      <c r="EK71" s="11"/>
      <c r="EL71" s="12"/>
      <c r="EM71" s="12"/>
      <c r="EN71" s="11">
        <v>295</v>
      </c>
      <c r="EO71" s="13">
        <v>29235.75</v>
      </c>
      <c r="EP71" s="11">
        <v>949</v>
      </c>
      <c r="EQ71" s="11"/>
      <c r="ER71" s="13"/>
      <c r="ES71" s="11"/>
      <c r="ET71" s="12"/>
      <c r="EU71" s="12"/>
      <c r="EV71" s="11">
        <v>450</v>
      </c>
      <c r="EW71" s="13">
        <v>25196.5</v>
      </c>
      <c r="EX71" s="11">
        <v>140</v>
      </c>
      <c r="EY71" s="11"/>
      <c r="EZ71" s="13"/>
      <c r="FA71" s="11"/>
      <c r="FB71" s="12"/>
      <c r="FC71" s="12"/>
      <c r="FD71" s="11">
        <v>598</v>
      </c>
      <c r="FE71" s="13">
        <v>42021.67</v>
      </c>
      <c r="FF71" s="11">
        <v>153</v>
      </c>
      <c r="FG71" s="11"/>
      <c r="FH71" s="13"/>
      <c r="FI71" s="11"/>
      <c r="FJ71" s="12"/>
      <c r="FK71" s="12"/>
      <c r="FL71" s="11">
        <v>89</v>
      </c>
      <c r="FM71" s="13">
        <v>4761.35</v>
      </c>
      <c r="FN71" s="11">
        <v>101</v>
      </c>
      <c r="FO71" s="11"/>
      <c r="FP71" s="13"/>
      <c r="FQ71" s="11"/>
      <c r="FR71" s="12"/>
      <c r="FS71" s="12"/>
      <c r="FT71" s="11">
        <v>183</v>
      </c>
      <c r="FU71" s="13">
        <v>12435.84</v>
      </c>
      <c r="FV71" s="11">
        <v>379</v>
      </c>
      <c r="FW71" s="11"/>
      <c r="FX71" s="13"/>
      <c r="FY71" s="11"/>
      <c r="FZ71" s="12"/>
      <c r="GA71" s="12"/>
      <c r="GB71" s="11">
        <v>91</v>
      </c>
      <c r="GC71" s="13">
        <v>6716.82</v>
      </c>
      <c r="GD71" s="11">
        <v>173</v>
      </c>
      <c r="GE71" s="11"/>
      <c r="GF71" s="13"/>
      <c r="GG71" s="11"/>
      <c r="GH71" s="12"/>
      <c r="GI71" s="12"/>
      <c r="GJ71" s="11">
        <v>45</v>
      </c>
      <c r="GK71" s="13">
        <v>3428.03</v>
      </c>
      <c r="GL71" s="11">
        <v>142</v>
      </c>
      <c r="GM71" s="11"/>
      <c r="GN71" s="13"/>
      <c r="GO71" s="11"/>
      <c r="GP71" s="12"/>
      <c r="GQ71" s="12"/>
      <c r="GR71" s="11">
        <v>53</v>
      </c>
      <c r="GS71" s="13">
        <v>3387.21</v>
      </c>
      <c r="GT71" s="11">
        <v>618</v>
      </c>
      <c r="GU71" s="11"/>
      <c r="GV71" s="13"/>
      <c r="GW71" s="11"/>
      <c r="GX71" s="12"/>
      <c r="GY71" s="12"/>
      <c r="GZ71" s="11">
        <v>294</v>
      </c>
      <c r="HA71" s="13">
        <v>16568.6</v>
      </c>
      <c r="HB71" s="11">
        <v>366</v>
      </c>
      <c r="HC71" s="11"/>
      <c r="HD71" s="13"/>
      <c r="HE71" s="11"/>
      <c r="HF71" s="12"/>
      <c r="HG71" s="12"/>
      <c r="HH71" s="11">
        <v>76</v>
      </c>
      <c r="HI71" s="13">
        <v>4599.66</v>
      </c>
      <c r="HJ71" s="11"/>
      <c r="HK71" s="11"/>
      <c r="HL71" s="13"/>
      <c r="HM71" s="11"/>
      <c r="HN71" s="12"/>
      <c r="HO71" s="12"/>
      <c r="HP71" s="11"/>
      <c r="HQ71" s="13"/>
      <c r="HR71" s="11"/>
      <c r="HS71" s="11"/>
      <c r="HT71" s="13"/>
      <c r="HU71" s="11"/>
      <c r="HV71" s="12"/>
      <c r="HW71" s="12"/>
      <c r="HX71" s="11">
        <v>44</v>
      </c>
      <c r="HY71" s="13">
        <v>2797.5</v>
      </c>
      <c r="HZ71" s="11">
        <v>250</v>
      </c>
      <c r="IA71" s="11"/>
      <c r="IB71" s="13"/>
      <c r="IC71" s="11"/>
      <c r="ID71" s="12"/>
      <c r="IE71" s="12"/>
      <c r="IF71" s="11"/>
      <c r="IG71" s="13"/>
      <c r="IH71" s="11"/>
      <c r="II71" s="11"/>
      <c r="IJ71" s="13"/>
      <c r="IK71" s="11"/>
      <c r="IL71" s="12"/>
      <c r="IM71" s="12"/>
      <c r="IN71" s="11"/>
      <c r="IO71" s="13"/>
      <c r="IP71" s="11">
        <v>7</v>
      </c>
      <c r="IQ71" s="11"/>
      <c r="IR71" s="13"/>
      <c r="IS71" s="11"/>
      <c r="IT71" s="12"/>
      <c r="IU71" s="12"/>
      <c r="IV71" s="11">
        <v>82</v>
      </c>
      <c r="IW71" s="13">
        <v>5116.37</v>
      </c>
      <c r="IX71" s="11">
        <v>385</v>
      </c>
      <c r="IY71" s="11"/>
      <c r="IZ71" s="13"/>
      <c r="JA71" s="11"/>
      <c r="JB71" s="12"/>
      <c r="JC71" s="12"/>
      <c r="JD71" s="11">
        <v>8</v>
      </c>
      <c r="JE71" s="13">
        <v>617.6</v>
      </c>
      <c r="JF71" s="11">
        <v>23</v>
      </c>
      <c r="JG71" s="11"/>
      <c r="JH71" s="13"/>
      <c r="JI71" s="11"/>
      <c r="JJ71" s="12"/>
      <c r="JK71" s="12"/>
      <c r="JL71" s="11"/>
      <c r="JM71" s="13"/>
      <c r="JN71" s="11"/>
      <c r="JO71" s="11"/>
      <c r="JP71" s="13"/>
      <c r="JQ71" s="11"/>
      <c r="JR71" s="12"/>
      <c r="JS71" s="12"/>
      <c r="JT71" s="11"/>
      <c r="JU71" s="13"/>
      <c r="JV71" s="11">
        <v>119</v>
      </c>
      <c r="JW71" s="11"/>
      <c r="JX71" s="13"/>
      <c r="JY71" s="11"/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  <c r="LH71" s="11"/>
      <c r="LI71" s="13"/>
      <c r="LJ71" s="11"/>
      <c r="LK71" s="11"/>
      <c r="LL71" s="13"/>
      <c r="LM71" s="11"/>
      <c r="LN71" s="12"/>
      <c r="LO71" s="12"/>
      <c r="LP71" s="11"/>
      <c r="LQ71" s="13"/>
      <c r="LR71" s="11"/>
      <c r="LS71" s="11"/>
      <c r="LT71" s="13"/>
      <c r="LU71" s="11"/>
      <c r="LV71" s="12"/>
      <c r="LW71" s="12"/>
    </row>
    <row r="72">
      <c r="A72" s="10" t="s">
        <v>72</v>
      </c>
      <c r="B72" s="10" t="s">
        <v>117</v>
      </c>
      <c r="C72" s="10" t="s">
        <v>74</v>
      </c>
      <c r="D72" s="11">
        <v>58992</v>
      </c>
      <c r="E72" s="11">
        <f>=ROUNDDOWN(24.4769926559064,0)</f>
      </c>
      <c r="F72" s="11">
        <v>37648</v>
      </c>
      <c r="G72" s="12">
        <v>0.9741</v>
      </c>
      <c r="H72" s="11"/>
      <c r="I72" s="11">
        <f>=ROUNDDOWN({0},0)</f>
      </c>
      <c r="J72" s="11"/>
      <c r="K72" s="12"/>
      <c r="L72" s="11">
        <v>26844</v>
      </c>
      <c r="M72" s="13">
        <v>1886162.95</v>
      </c>
      <c r="N72" s="11">
        <v>181</v>
      </c>
      <c r="O72" s="14">
        <v>10420.79</v>
      </c>
      <c r="P72" s="11"/>
      <c r="Q72" s="13"/>
      <c r="R72" s="11"/>
      <c r="S72" s="14"/>
      <c r="T72" s="12"/>
      <c r="U72" s="12"/>
      <c r="V72" s="12"/>
      <c r="W72" s="12"/>
      <c r="X72" s="11">
        <v>6512</v>
      </c>
      <c r="Y72" s="13">
        <v>559782.06</v>
      </c>
      <c r="Z72" s="11">
        <v>151</v>
      </c>
      <c r="AA72" s="11"/>
      <c r="AB72" s="13"/>
      <c r="AC72" s="11"/>
      <c r="AD72" s="12"/>
      <c r="AE72" s="12"/>
      <c r="AF72" s="11">
        <v>4247</v>
      </c>
      <c r="AG72" s="13">
        <v>261868.93</v>
      </c>
      <c r="AH72" s="11">
        <v>181</v>
      </c>
      <c r="AI72" s="11"/>
      <c r="AJ72" s="13"/>
      <c r="AK72" s="11"/>
      <c r="AL72" s="12"/>
      <c r="AM72" s="12"/>
      <c r="AN72" s="11">
        <v>5768</v>
      </c>
      <c r="AO72" s="13">
        <v>279864.67</v>
      </c>
      <c r="AP72" s="11">
        <v>181</v>
      </c>
      <c r="AQ72" s="11"/>
      <c r="AR72" s="13"/>
      <c r="AS72" s="11"/>
      <c r="AT72" s="12"/>
      <c r="AU72" s="12"/>
      <c r="AV72" s="11">
        <v>1596</v>
      </c>
      <c r="AW72" s="13">
        <v>90752.95</v>
      </c>
      <c r="AX72" s="11">
        <v>149</v>
      </c>
      <c r="AY72" s="11"/>
      <c r="AZ72" s="13"/>
      <c r="BA72" s="11"/>
      <c r="BB72" s="12"/>
      <c r="BC72" s="12"/>
      <c r="BD72" s="11">
        <v>2097</v>
      </c>
      <c r="BE72" s="13">
        <v>161530.39</v>
      </c>
      <c r="BF72" s="11">
        <v>168</v>
      </c>
      <c r="BG72" s="11"/>
      <c r="BH72" s="13"/>
      <c r="BI72" s="11"/>
      <c r="BJ72" s="12"/>
      <c r="BK72" s="12"/>
      <c r="BL72" s="11">
        <v>1946</v>
      </c>
      <c r="BM72" s="13">
        <v>154480.51</v>
      </c>
      <c r="BN72" s="11">
        <v>181</v>
      </c>
      <c r="BO72" s="11"/>
      <c r="BP72" s="13"/>
      <c r="BQ72" s="11"/>
      <c r="BR72" s="12"/>
      <c r="BS72" s="12"/>
      <c r="BT72" s="11">
        <v>266</v>
      </c>
      <c r="BU72" s="13">
        <v>15973.31</v>
      </c>
      <c r="BV72" s="11">
        <v>181</v>
      </c>
      <c r="BW72" s="11"/>
      <c r="BX72" s="13"/>
      <c r="BY72" s="11"/>
      <c r="BZ72" s="12"/>
      <c r="CA72" s="12"/>
      <c r="CB72" s="11">
        <v>2175</v>
      </c>
      <c r="CC72" s="13">
        <v>169055.85</v>
      </c>
      <c r="CD72" s="11">
        <v>156</v>
      </c>
      <c r="CE72" s="11"/>
      <c r="CF72" s="13"/>
      <c r="CG72" s="11"/>
      <c r="CH72" s="12"/>
      <c r="CI72" s="12"/>
      <c r="CJ72" s="11">
        <v>434</v>
      </c>
      <c r="CK72" s="13">
        <v>47708.58</v>
      </c>
      <c r="CL72" s="11">
        <v>174</v>
      </c>
      <c r="CM72" s="11"/>
      <c r="CN72" s="13"/>
      <c r="CO72" s="11"/>
      <c r="CP72" s="12"/>
      <c r="CQ72" s="12"/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>
        <v>64</v>
      </c>
      <c r="DI72" s="13">
        <v>3163.48</v>
      </c>
      <c r="DJ72" s="11">
        <v>36</v>
      </c>
      <c r="DK72" s="11"/>
      <c r="DL72" s="13"/>
      <c r="DM72" s="11"/>
      <c r="DN72" s="12"/>
      <c r="DO72" s="12"/>
      <c r="DP72" s="11">
        <v>621</v>
      </c>
      <c r="DQ72" s="13">
        <v>55254.25</v>
      </c>
      <c r="DR72" s="11">
        <v>156</v>
      </c>
      <c r="DS72" s="11"/>
      <c r="DT72" s="13"/>
      <c r="DU72" s="11"/>
      <c r="DV72" s="12"/>
      <c r="DW72" s="12"/>
      <c r="DX72" s="11">
        <v>33</v>
      </c>
      <c r="DY72" s="13">
        <v>1432.46</v>
      </c>
      <c r="DZ72" s="11">
        <v>15</v>
      </c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>
        <v>147</v>
      </c>
      <c r="EO72" s="13">
        <v>10004.04</v>
      </c>
      <c r="EP72" s="11">
        <v>181</v>
      </c>
      <c r="EQ72" s="11"/>
      <c r="ER72" s="13"/>
      <c r="ES72" s="11"/>
      <c r="ET72" s="12"/>
      <c r="EU72" s="12"/>
      <c r="EV72" s="11">
        <v>392</v>
      </c>
      <c r="EW72" s="13">
        <v>29784.74</v>
      </c>
      <c r="EX72" s="11">
        <v>65</v>
      </c>
      <c r="EY72" s="11"/>
      <c r="EZ72" s="13"/>
      <c r="FA72" s="11"/>
      <c r="FB72" s="12"/>
      <c r="FC72" s="12"/>
      <c r="FD72" s="11">
        <v>340</v>
      </c>
      <c r="FE72" s="13">
        <v>28341.72</v>
      </c>
      <c r="FF72" s="11">
        <v>54</v>
      </c>
      <c r="FG72" s="11"/>
      <c r="FH72" s="13"/>
      <c r="FI72" s="11"/>
      <c r="FJ72" s="12"/>
      <c r="FK72" s="12"/>
      <c r="FL72" s="11"/>
      <c r="FM72" s="13"/>
      <c r="FN72" s="11">
        <v>2</v>
      </c>
      <c r="FO72" s="11"/>
      <c r="FP72" s="13"/>
      <c r="FQ72" s="11"/>
      <c r="FR72" s="12"/>
      <c r="FS72" s="12"/>
      <c r="FT72" s="11">
        <v>38</v>
      </c>
      <c r="FU72" s="13">
        <v>3341.12</v>
      </c>
      <c r="FV72" s="11">
        <v>55</v>
      </c>
      <c r="FW72" s="11"/>
      <c r="FX72" s="13"/>
      <c r="FY72" s="11"/>
      <c r="FZ72" s="12"/>
      <c r="GA72" s="12"/>
      <c r="GB72" s="11">
        <v>7</v>
      </c>
      <c r="GC72" s="13">
        <v>543.31</v>
      </c>
      <c r="GD72" s="11">
        <v>7</v>
      </c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>
        <v>4</v>
      </c>
      <c r="GS72" s="13">
        <v>368.14</v>
      </c>
      <c r="GT72" s="11">
        <v>97</v>
      </c>
      <c r="GU72" s="11"/>
      <c r="GV72" s="13"/>
      <c r="GW72" s="11"/>
      <c r="GX72" s="12"/>
      <c r="GY72" s="12"/>
      <c r="GZ72" s="11">
        <v>99</v>
      </c>
      <c r="HA72" s="13">
        <v>8306</v>
      </c>
      <c r="HB72" s="11">
        <v>72</v>
      </c>
      <c r="HC72" s="11"/>
      <c r="HD72" s="13"/>
      <c r="HE72" s="11"/>
      <c r="HF72" s="12"/>
      <c r="HG72" s="12"/>
      <c r="HH72" s="11">
        <v>26</v>
      </c>
      <c r="HI72" s="13">
        <v>1522.07</v>
      </c>
      <c r="HJ72" s="11"/>
      <c r="HK72" s="11"/>
      <c r="HL72" s="13"/>
      <c r="HM72" s="11"/>
      <c r="HN72" s="12"/>
      <c r="HO72" s="12"/>
      <c r="HP72" s="11"/>
      <c r="HQ72" s="13"/>
      <c r="HR72" s="11"/>
      <c r="HS72" s="11"/>
      <c r="HT72" s="13"/>
      <c r="HU72" s="11"/>
      <c r="HV72" s="12"/>
      <c r="HW72" s="12"/>
      <c r="HX72" s="11">
        <v>22</v>
      </c>
      <c r="HY72" s="13">
        <v>2243.21</v>
      </c>
      <c r="HZ72" s="11">
        <v>44</v>
      </c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>
        <v>7</v>
      </c>
      <c r="IW72" s="13">
        <v>605.58</v>
      </c>
      <c r="IX72" s="11">
        <v>56</v>
      </c>
      <c r="IY72" s="11"/>
      <c r="IZ72" s="13"/>
      <c r="JA72" s="11"/>
      <c r="JB72" s="12"/>
      <c r="JC72" s="12"/>
      <c r="JD72" s="11">
        <v>3</v>
      </c>
      <c r="JE72" s="13">
        <v>235.58</v>
      </c>
      <c r="JF72" s="11">
        <v>16</v>
      </c>
      <c r="JG72" s="11"/>
      <c r="JH72" s="13"/>
      <c r="JI72" s="11"/>
      <c r="JJ72" s="12"/>
      <c r="JK72" s="12"/>
      <c r="JL72" s="11"/>
      <c r="JM72" s="13"/>
      <c r="JN72" s="11"/>
      <c r="JO72" s="11"/>
      <c r="JP72" s="13"/>
      <c r="JQ72" s="11"/>
      <c r="JR72" s="12"/>
      <c r="JS72" s="12"/>
      <c r="JT72" s="11"/>
      <c r="JU72" s="13"/>
      <c r="JV72" s="11">
        <v>33</v>
      </c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  <c r="LH72" s="11"/>
      <c r="LI72" s="13"/>
      <c r="LJ72" s="11"/>
      <c r="LK72" s="11"/>
      <c r="LL72" s="13"/>
      <c r="LM72" s="11"/>
      <c r="LN72" s="12"/>
      <c r="LO72" s="12"/>
      <c r="LP72" s="11"/>
      <c r="LQ72" s="13"/>
      <c r="LR72" s="11"/>
      <c r="LS72" s="11"/>
      <c r="LT72" s="13"/>
      <c r="LU72" s="11"/>
      <c r="LV72" s="12"/>
      <c r="LW72" s="12"/>
    </row>
    <row r="73">
      <c r="A73" s="10" t="s">
        <v>72</v>
      </c>
      <c r="B73" s="10" t="s">
        <v>117</v>
      </c>
      <c r="C73" s="10" t="s">
        <v>75</v>
      </c>
      <c r="D73" s="11">
        <v>2744</v>
      </c>
      <c r="E73" s="11">
        <f>=ROUNDDOWN(26.928361138371,0)</f>
      </c>
      <c r="F73" s="11">
        <v>296</v>
      </c>
      <c r="G73" s="12">
        <v>0.9986</v>
      </c>
      <c r="H73" s="11"/>
      <c r="I73" s="11">
        <f>=ROUNDDOWN({0},0)</f>
      </c>
      <c r="J73" s="11"/>
      <c r="K73" s="12"/>
      <c r="L73" s="11">
        <v>1253</v>
      </c>
      <c r="M73" s="13">
        <v>74419.81</v>
      </c>
      <c r="N73" s="11">
        <v>20</v>
      </c>
      <c r="O73" s="14">
        <v>3720.99</v>
      </c>
      <c r="P73" s="11"/>
      <c r="Q73" s="13"/>
      <c r="R73" s="11"/>
      <c r="S73" s="14"/>
      <c r="T73" s="12"/>
      <c r="U73" s="12"/>
      <c r="V73" s="12"/>
      <c r="W73" s="12"/>
      <c r="X73" s="11">
        <v>268</v>
      </c>
      <c r="Y73" s="13">
        <v>16527.94</v>
      </c>
      <c r="Z73" s="11">
        <v>10</v>
      </c>
      <c r="AA73" s="11"/>
      <c r="AB73" s="13"/>
      <c r="AC73" s="11"/>
      <c r="AD73" s="12"/>
      <c r="AE73" s="12"/>
      <c r="AF73" s="11">
        <v>243</v>
      </c>
      <c r="AG73" s="13">
        <v>12355.82</v>
      </c>
      <c r="AH73" s="11">
        <v>20</v>
      </c>
      <c r="AI73" s="11"/>
      <c r="AJ73" s="13"/>
      <c r="AK73" s="11"/>
      <c r="AL73" s="12"/>
      <c r="AM73" s="12"/>
      <c r="AN73" s="11">
        <v>129</v>
      </c>
      <c r="AO73" s="13">
        <v>7714.25</v>
      </c>
      <c r="AP73" s="11">
        <v>20</v>
      </c>
      <c r="AQ73" s="11"/>
      <c r="AR73" s="13"/>
      <c r="AS73" s="11"/>
      <c r="AT73" s="12"/>
      <c r="AU73" s="12"/>
      <c r="AV73" s="11">
        <v>55</v>
      </c>
      <c r="AW73" s="13">
        <v>3260.16</v>
      </c>
      <c r="AX73" s="11">
        <v>15</v>
      </c>
      <c r="AY73" s="11"/>
      <c r="AZ73" s="13"/>
      <c r="BA73" s="11"/>
      <c r="BB73" s="12"/>
      <c r="BC73" s="12"/>
      <c r="BD73" s="11">
        <v>145</v>
      </c>
      <c r="BE73" s="13">
        <v>8843.15</v>
      </c>
      <c r="BF73" s="11">
        <v>10</v>
      </c>
      <c r="BG73" s="11"/>
      <c r="BH73" s="13"/>
      <c r="BI73" s="11"/>
      <c r="BJ73" s="12"/>
      <c r="BK73" s="12"/>
      <c r="BL73" s="11">
        <v>130</v>
      </c>
      <c r="BM73" s="13">
        <v>8358.63</v>
      </c>
      <c r="BN73" s="11">
        <v>20</v>
      </c>
      <c r="BO73" s="11"/>
      <c r="BP73" s="13"/>
      <c r="BQ73" s="11"/>
      <c r="BR73" s="12"/>
      <c r="BS73" s="12"/>
      <c r="BT73" s="11">
        <v>101</v>
      </c>
      <c r="BU73" s="13">
        <v>6590.8</v>
      </c>
      <c r="BV73" s="11">
        <v>20</v>
      </c>
      <c r="BW73" s="11"/>
      <c r="BX73" s="13"/>
      <c r="BY73" s="11"/>
      <c r="BZ73" s="12"/>
      <c r="CA73" s="12"/>
      <c r="CB73" s="11">
        <v>100</v>
      </c>
      <c r="CC73" s="13">
        <v>6061.12</v>
      </c>
      <c r="CD73" s="11">
        <v>20</v>
      </c>
      <c r="CE73" s="11"/>
      <c r="CF73" s="13"/>
      <c r="CG73" s="11"/>
      <c r="CH73" s="12"/>
      <c r="CI73" s="12"/>
      <c r="CJ73" s="11">
        <v>3</v>
      </c>
      <c r="CK73" s="13">
        <v>275.97</v>
      </c>
      <c r="CL73" s="11">
        <v>20</v>
      </c>
      <c r="CM73" s="11"/>
      <c r="CN73" s="13"/>
      <c r="CO73" s="11"/>
      <c r="CP73" s="12"/>
      <c r="CQ73" s="12"/>
      <c r="CR73" s="11"/>
      <c r="CS73" s="13"/>
      <c r="CT73" s="11"/>
      <c r="CU73" s="11"/>
      <c r="CV73" s="13"/>
      <c r="CW73" s="11"/>
      <c r="CX73" s="12"/>
      <c r="CY73" s="12"/>
      <c r="CZ73" s="11"/>
      <c r="DA73" s="13"/>
      <c r="DB73" s="11"/>
      <c r="DC73" s="11"/>
      <c r="DD73" s="13"/>
      <c r="DE73" s="11"/>
      <c r="DF73" s="12"/>
      <c r="DG73" s="12"/>
      <c r="DH73" s="11">
        <v>10</v>
      </c>
      <c r="DI73" s="13">
        <v>603.73</v>
      </c>
      <c r="DJ73" s="11">
        <v>10</v>
      </c>
      <c r="DK73" s="11"/>
      <c r="DL73" s="13"/>
      <c r="DM73" s="11"/>
      <c r="DN73" s="12"/>
      <c r="DO73" s="12"/>
      <c r="DP73" s="11">
        <v>29</v>
      </c>
      <c r="DQ73" s="13">
        <v>1686.95</v>
      </c>
      <c r="DR73" s="11">
        <v>20</v>
      </c>
      <c r="DS73" s="11"/>
      <c r="DT73" s="13"/>
      <c r="DU73" s="11"/>
      <c r="DV73" s="12"/>
      <c r="DW73" s="12"/>
      <c r="DX73" s="11"/>
      <c r="DY73" s="13"/>
      <c r="DZ73" s="11"/>
      <c r="EA73" s="11"/>
      <c r="EB73" s="13"/>
      <c r="EC73" s="11"/>
      <c r="ED73" s="12"/>
      <c r="EE73" s="12"/>
      <c r="EF73" s="11"/>
      <c r="EG73" s="13"/>
      <c r="EH73" s="11"/>
      <c r="EI73" s="11"/>
      <c r="EJ73" s="13"/>
      <c r="EK73" s="11"/>
      <c r="EL73" s="12"/>
      <c r="EM73" s="12"/>
      <c r="EN73" s="11"/>
      <c r="EO73" s="13"/>
      <c r="EP73" s="11">
        <v>20</v>
      </c>
      <c r="EQ73" s="11"/>
      <c r="ER73" s="13"/>
      <c r="ES73" s="11"/>
      <c r="ET73" s="12"/>
      <c r="EU73" s="12"/>
      <c r="EV73" s="11">
        <v>29</v>
      </c>
      <c r="EW73" s="13">
        <v>1396.54</v>
      </c>
      <c r="EX73" s="11">
        <v>14</v>
      </c>
      <c r="EY73" s="11"/>
      <c r="EZ73" s="13"/>
      <c r="FA73" s="11"/>
      <c r="FB73" s="12"/>
      <c r="FC73" s="12"/>
      <c r="FD73" s="11"/>
      <c r="FE73" s="13"/>
      <c r="FF73" s="11"/>
      <c r="FG73" s="11"/>
      <c r="FH73" s="13"/>
      <c r="FI73" s="11"/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>
        <v>2</v>
      </c>
      <c r="FU73" s="13">
        <v>124.48</v>
      </c>
      <c r="FV73" s="11">
        <v>4</v>
      </c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/>
      <c r="GM73" s="11"/>
      <c r="GN73" s="13"/>
      <c r="GO73" s="11"/>
      <c r="GP73" s="12"/>
      <c r="GQ73" s="12"/>
      <c r="GR73" s="11"/>
      <c r="GS73" s="13"/>
      <c r="GT73" s="11">
        <v>5</v>
      </c>
      <c r="GU73" s="11"/>
      <c r="GV73" s="13"/>
      <c r="GW73" s="11"/>
      <c r="GX73" s="12"/>
      <c r="GY73" s="12"/>
      <c r="GZ73" s="11">
        <v>6</v>
      </c>
      <c r="HA73" s="13">
        <v>414.11</v>
      </c>
      <c r="HB73" s="11">
        <v>7</v>
      </c>
      <c r="HC73" s="11"/>
      <c r="HD73" s="13"/>
      <c r="HE73" s="11"/>
      <c r="HF73" s="12"/>
      <c r="HG73" s="12"/>
      <c r="HH73" s="11"/>
      <c r="HI73" s="13"/>
      <c r="HJ73" s="11"/>
      <c r="HK73" s="11"/>
      <c r="HL73" s="13"/>
      <c r="HM73" s="11"/>
      <c r="HN73" s="12"/>
      <c r="HO73" s="12"/>
      <c r="HP73" s="11"/>
      <c r="HQ73" s="13"/>
      <c r="HR73" s="11"/>
      <c r="HS73" s="11"/>
      <c r="HT73" s="13"/>
      <c r="HU73" s="11"/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>
        <v>3</v>
      </c>
      <c r="IW73" s="13">
        <v>206.16</v>
      </c>
      <c r="IX73" s="11">
        <v>8</v>
      </c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/>
      <c r="JO73" s="11"/>
      <c r="JP73" s="13"/>
      <c r="JQ73" s="11"/>
      <c r="JR73" s="12"/>
      <c r="JS73" s="12"/>
      <c r="JT73" s="11"/>
      <c r="JU73" s="13"/>
      <c r="JV73" s="11"/>
      <c r="JW73" s="11"/>
      <c r="JX73" s="13"/>
      <c r="JY73" s="11"/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  <c r="LH73" s="11"/>
      <c r="LI73" s="13"/>
      <c r="LJ73" s="11"/>
      <c r="LK73" s="11"/>
      <c r="LL73" s="13"/>
      <c r="LM73" s="11"/>
      <c r="LN73" s="12"/>
      <c r="LO73" s="12"/>
      <c r="LP73" s="11"/>
      <c r="LQ73" s="13"/>
      <c r="LR73" s="11"/>
      <c r="LS73" s="11"/>
      <c r="LT73" s="13"/>
      <c r="LU73" s="11"/>
      <c r="LV73" s="12"/>
      <c r="LW73" s="12"/>
    </row>
    <row r="74">
      <c r="A74" s="10" t="s">
        <v>72</v>
      </c>
      <c r="B74" s="10" t="s">
        <v>117</v>
      </c>
      <c r="C74" s="10" t="s">
        <v>118</v>
      </c>
      <c r="D74" s="11">
        <v>5944</v>
      </c>
      <c r="E74" s="11">
        <f>=ROUNDDOWN(3.33333333333333,0)</f>
      </c>
      <c r="F74" s="11">
        <v>3750</v>
      </c>
      <c r="G74" s="12">
        <v>0.5591</v>
      </c>
      <c r="H74" s="11"/>
      <c r="I74" s="11">
        <f>=ROUNDDOWN({0},0)</f>
      </c>
      <c r="J74" s="11"/>
      <c r="K74" s="12"/>
      <c r="L74" s="11">
        <v>5903</v>
      </c>
      <c r="M74" s="13">
        <v>96239.44</v>
      </c>
      <c r="N74" s="11"/>
      <c r="O74" s="14"/>
      <c r="P74" s="11"/>
      <c r="Q74" s="13"/>
      <c r="R74" s="11"/>
      <c r="S74" s="14"/>
      <c r="T74" s="12"/>
      <c r="U74" s="12"/>
      <c r="V74" s="12"/>
      <c r="W74" s="12"/>
      <c r="X74" s="11"/>
      <c r="Y74" s="13"/>
      <c r="Z74" s="11"/>
      <c r="AA74" s="11"/>
      <c r="AB74" s="13"/>
      <c r="AC74" s="11"/>
      <c r="AD74" s="12"/>
      <c r="AE74" s="12"/>
      <c r="AF74" s="11"/>
      <c r="AG74" s="13"/>
      <c r="AH74" s="11"/>
      <c r="AI74" s="11"/>
      <c r="AJ74" s="13"/>
      <c r="AK74" s="11"/>
      <c r="AL74" s="12"/>
      <c r="AM74" s="12"/>
      <c r="AN74" s="11">
        <v>5903</v>
      </c>
      <c r="AO74" s="13">
        <v>96239.44</v>
      </c>
      <c r="AP74" s="11"/>
      <c r="AQ74" s="11"/>
      <c r="AR74" s="13"/>
      <c r="AS74" s="11"/>
      <c r="AT74" s="12"/>
      <c r="AU74" s="12"/>
      <c r="AV74" s="11"/>
      <c r="AW74" s="13"/>
      <c r="AX74" s="11"/>
      <c r="AY74" s="11"/>
      <c r="AZ74" s="13"/>
      <c r="BA74" s="11"/>
      <c r="BB74" s="12"/>
      <c r="BC74" s="12"/>
      <c r="BD74" s="11"/>
      <c r="BE74" s="13"/>
      <c r="BF74" s="11"/>
      <c r="BG74" s="11"/>
      <c r="BH74" s="13"/>
      <c r="BI74" s="11"/>
      <c r="BJ74" s="12"/>
      <c r="BK74" s="12"/>
      <c r="BL74" s="11"/>
      <c r="BM74" s="13"/>
      <c r="BN74" s="11"/>
      <c r="BO74" s="11"/>
      <c r="BP74" s="13"/>
      <c r="BQ74" s="11"/>
      <c r="BR74" s="12"/>
      <c r="BS74" s="12"/>
      <c r="BT74" s="11"/>
      <c r="BU74" s="13"/>
      <c r="BV74" s="11"/>
      <c r="BW74" s="11"/>
      <c r="BX74" s="13"/>
      <c r="BY74" s="11"/>
      <c r="BZ74" s="12"/>
      <c r="CA74" s="12"/>
      <c r="CB74" s="11"/>
      <c r="CC74" s="13"/>
      <c r="CD74" s="11"/>
      <c r="CE74" s="11"/>
      <c r="CF74" s="13"/>
      <c r="CG74" s="11"/>
      <c r="CH74" s="12"/>
      <c r="CI74" s="12"/>
      <c r="CJ74" s="11"/>
      <c r="CK74" s="13"/>
      <c r="CL74" s="11"/>
      <c r="CM74" s="11"/>
      <c r="CN74" s="13"/>
      <c r="CO74" s="11"/>
      <c r="CP74" s="12"/>
      <c r="CQ74" s="12"/>
      <c r="CR74" s="11"/>
      <c r="CS74" s="13"/>
      <c r="CT74" s="11"/>
      <c r="CU74" s="11"/>
      <c r="CV74" s="13"/>
      <c r="CW74" s="11"/>
      <c r="CX74" s="12"/>
      <c r="CY74" s="12"/>
      <c r="CZ74" s="11"/>
      <c r="DA74" s="13"/>
      <c r="DB74" s="11"/>
      <c r="DC74" s="11"/>
      <c r="DD74" s="13"/>
      <c r="DE74" s="11"/>
      <c r="DF74" s="12"/>
      <c r="DG74" s="12"/>
      <c r="DH74" s="11"/>
      <c r="DI74" s="13"/>
      <c r="DJ74" s="11"/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/>
      <c r="EO74" s="13"/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/>
      <c r="GM74" s="11"/>
      <c r="GN74" s="13"/>
      <c r="GO74" s="11"/>
      <c r="GP74" s="12"/>
      <c r="GQ74" s="12"/>
      <c r="GR74" s="11"/>
      <c r="GS74" s="13"/>
      <c r="GT74" s="11"/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/>
      <c r="HS74" s="11"/>
      <c r="HT74" s="13"/>
      <c r="HU74" s="11"/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/>
      <c r="JW74" s="11"/>
      <c r="JX74" s="13"/>
      <c r="JY74" s="11"/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/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  <c r="LH74" s="11"/>
      <c r="LI74" s="13"/>
      <c r="LJ74" s="11"/>
      <c r="LK74" s="11"/>
      <c r="LL74" s="13"/>
      <c r="LM74" s="11"/>
      <c r="LN74" s="12"/>
      <c r="LO74" s="12"/>
      <c r="LP74" s="11"/>
      <c r="LQ74" s="13"/>
      <c r="LR74" s="11"/>
      <c r="LS74" s="11"/>
      <c r="LT74" s="13"/>
      <c r="LU74" s="11"/>
      <c r="LV74" s="12"/>
      <c r="LW74" s="12"/>
    </row>
    <row r="75">
      <c r="A75" s="10" t="s">
        <v>72</v>
      </c>
      <c r="B75" s="10" t="s">
        <v>119</v>
      </c>
      <c r="C75" s="10" t="s">
        <v>77</v>
      </c>
      <c r="D75" s="11">
        <v>67680</v>
      </c>
      <c r="E75" s="11">
        <f>=ROUNDDOWN({0},0)</f>
      </c>
      <c r="F75" s="11">
        <v>41694</v>
      </c>
      <c r="G75" s="12"/>
      <c r="H75" s="11"/>
      <c r="I75" s="11">
        <f>=ROUNDDOWN({0},0)</f>
      </c>
      <c r="J75" s="11"/>
      <c r="K75" s="12"/>
      <c r="L75" s="11">
        <v>34000</v>
      </c>
      <c r="M75" s="13">
        <v>2056822.2</v>
      </c>
      <c r="N75" s="11">
        <v>201</v>
      </c>
      <c r="O75" s="14">
        <v>10232.95</v>
      </c>
      <c r="P75" s="11"/>
      <c r="Q75" s="13"/>
      <c r="R75" s="11"/>
      <c r="S75" s="14"/>
      <c r="T75" s="12"/>
      <c r="U75" s="12"/>
      <c r="V75" s="12"/>
      <c r="W75" s="12"/>
      <c r="X75" s="11">
        <v>6780</v>
      </c>
      <c r="Y75" s="13">
        <v>576310</v>
      </c>
      <c r="Z75" s="11">
        <v>161</v>
      </c>
      <c r="AA75" s="11"/>
      <c r="AB75" s="13"/>
      <c r="AC75" s="11"/>
      <c r="AD75" s="12"/>
      <c r="AE75" s="12"/>
      <c r="AF75" s="11">
        <v>4490</v>
      </c>
      <c r="AG75" s="13">
        <v>274224.75</v>
      </c>
      <c r="AH75" s="11">
        <v>201</v>
      </c>
      <c r="AI75" s="11"/>
      <c r="AJ75" s="13"/>
      <c r="AK75" s="11"/>
      <c r="AL75" s="12"/>
      <c r="AM75" s="12"/>
      <c r="AN75" s="11">
        <v>11800</v>
      </c>
      <c r="AO75" s="13">
        <v>383818.36</v>
      </c>
      <c r="AP75" s="11">
        <v>201</v>
      </c>
      <c r="AQ75" s="11"/>
      <c r="AR75" s="13"/>
      <c r="AS75" s="11"/>
      <c r="AT75" s="12"/>
      <c r="AU75" s="12"/>
      <c r="AV75" s="11">
        <v>1651</v>
      </c>
      <c r="AW75" s="13">
        <v>94013.11</v>
      </c>
      <c r="AX75" s="11">
        <v>164</v>
      </c>
      <c r="AY75" s="11"/>
      <c r="AZ75" s="13"/>
      <c r="BA75" s="11"/>
      <c r="BB75" s="12"/>
      <c r="BC75" s="12"/>
      <c r="BD75" s="11">
        <v>2242</v>
      </c>
      <c r="BE75" s="13">
        <v>170373.54</v>
      </c>
      <c r="BF75" s="11">
        <v>178</v>
      </c>
      <c r="BG75" s="11"/>
      <c r="BH75" s="13"/>
      <c r="BI75" s="11"/>
      <c r="BJ75" s="12"/>
      <c r="BK75" s="12"/>
      <c r="BL75" s="11">
        <v>2076</v>
      </c>
      <c r="BM75" s="13">
        <v>162839.14</v>
      </c>
      <c r="BN75" s="11">
        <v>201</v>
      </c>
      <c r="BO75" s="11"/>
      <c r="BP75" s="13"/>
      <c r="BQ75" s="11"/>
      <c r="BR75" s="12"/>
      <c r="BS75" s="12"/>
      <c r="BT75" s="11">
        <v>367</v>
      </c>
      <c r="BU75" s="13">
        <v>22564.11</v>
      </c>
      <c r="BV75" s="11">
        <v>201</v>
      </c>
      <c r="BW75" s="11"/>
      <c r="BX75" s="13"/>
      <c r="BY75" s="11"/>
      <c r="BZ75" s="12"/>
      <c r="CA75" s="12"/>
      <c r="CB75" s="11">
        <v>2275</v>
      </c>
      <c r="CC75" s="13">
        <v>175116.97</v>
      </c>
      <c r="CD75" s="11">
        <v>176</v>
      </c>
      <c r="CE75" s="11"/>
      <c r="CF75" s="13"/>
      <c r="CG75" s="11"/>
      <c r="CH75" s="12"/>
      <c r="CI75" s="12"/>
      <c r="CJ75" s="11">
        <v>437</v>
      </c>
      <c r="CK75" s="13">
        <v>47984.55</v>
      </c>
      <c r="CL75" s="11">
        <v>194</v>
      </c>
      <c r="CM75" s="11"/>
      <c r="CN75" s="13"/>
      <c r="CO75" s="11"/>
      <c r="CP75" s="12"/>
      <c r="CQ75" s="12"/>
      <c r="CR75" s="11"/>
      <c r="CS75" s="13"/>
      <c r="CT75" s="11"/>
      <c r="CU75" s="11"/>
      <c r="CV75" s="13"/>
      <c r="CW75" s="11"/>
      <c r="CX75" s="12"/>
      <c r="CY75" s="12"/>
      <c r="CZ75" s="11"/>
      <c r="DA75" s="13"/>
      <c r="DB75" s="11"/>
      <c r="DC75" s="11"/>
      <c r="DD75" s="13"/>
      <c r="DE75" s="11"/>
      <c r="DF75" s="12"/>
      <c r="DG75" s="12"/>
      <c r="DH75" s="11">
        <v>74</v>
      </c>
      <c r="DI75" s="13">
        <v>3767.21</v>
      </c>
      <c r="DJ75" s="11">
        <v>46</v>
      </c>
      <c r="DK75" s="11"/>
      <c r="DL75" s="13"/>
      <c r="DM75" s="11"/>
      <c r="DN75" s="12"/>
      <c r="DO75" s="12"/>
      <c r="DP75" s="11">
        <v>650</v>
      </c>
      <c r="DQ75" s="13">
        <v>56941.2</v>
      </c>
      <c r="DR75" s="11">
        <v>176</v>
      </c>
      <c r="DS75" s="11"/>
      <c r="DT75" s="13"/>
      <c r="DU75" s="11"/>
      <c r="DV75" s="12"/>
      <c r="DW75" s="12"/>
      <c r="DX75" s="11">
        <v>33</v>
      </c>
      <c r="DY75" s="13">
        <v>1432.46</v>
      </c>
      <c r="DZ75" s="11">
        <v>15</v>
      </c>
      <c r="EA75" s="11"/>
      <c r="EB75" s="13"/>
      <c r="EC75" s="11"/>
      <c r="ED75" s="12"/>
      <c r="EE75" s="12"/>
      <c r="EF75" s="11"/>
      <c r="EG75" s="13"/>
      <c r="EH75" s="11"/>
      <c r="EI75" s="11"/>
      <c r="EJ75" s="13"/>
      <c r="EK75" s="11"/>
      <c r="EL75" s="12"/>
      <c r="EM75" s="12"/>
      <c r="EN75" s="11">
        <v>147</v>
      </c>
      <c r="EO75" s="13">
        <v>10004.04</v>
      </c>
      <c r="EP75" s="11">
        <v>201</v>
      </c>
      <c r="EQ75" s="11"/>
      <c r="ER75" s="13"/>
      <c r="ES75" s="11"/>
      <c r="ET75" s="12"/>
      <c r="EU75" s="12"/>
      <c r="EV75" s="11">
        <v>421</v>
      </c>
      <c r="EW75" s="13">
        <v>31181.28</v>
      </c>
      <c r="EX75" s="11">
        <v>79</v>
      </c>
      <c r="EY75" s="11"/>
      <c r="EZ75" s="13"/>
      <c r="FA75" s="11"/>
      <c r="FB75" s="12"/>
      <c r="FC75" s="12"/>
      <c r="FD75" s="11">
        <v>340</v>
      </c>
      <c r="FE75" s="13">
        <v>28341.72</v>
      </c>
      <c r="FF75" s="11">
        <v>54</v>
      </c>
      <c r="FG75" s="11"/>
      <c r="FH75" s="13"/>
      <c r="FI75" s="11"/>
      <c r="FJ75" s="12"/>
      <c r="FK75" s="12"/>
      <c r="FL75" s="11"/>
      <c r="FM75" s="13"/>
      <c r="FN75" s="11">
        <v>2</v>
      </c>
      <c r="FO75" s="11"/>
      <c r="FP75" s="13"/>
      <c r="FQ75" s="11"/>
      <c r="FR75" s="12"/>
      <c r="FS75" s="12"/>
      <c r="FT75" s="11">
        <v>40</v>
      </c>
      <c r="FU75" s="13">
        <v>3465.6</v>
      </c>
      <c r="FV75" s="11">
        <v>59</v>
      </c>
      <c r="FW75" s="11"/>
      <c r="FX75" s="13"/>
      <c r="FY75" s="11"/>
      <c r="FZ75" s="12"/>
      <c r="GA75" s="12"/>
      <c r="GB75" s="11">
        <v>7</v>
      </c>
      <c r="GC75" s="13">
        <v>543.31</v>
      </c>
      <c r="GD75" s="11">
        <v>7</v>
      </c>
      <c r="GE75" s="11"/>
      <c r="GF75" s="13"/>
      <c r="GG75" s="11"/>
      <c r="GH75" s="12"/>
      <c r="GI75" s="12"/>
      <c r="GJ75" s="11"/>
      <c r="GK75" s="13"/>
      <c r="GL75" s="11"/>
      <c r="GM75" s="11"/>
      <c r="GN75" s="13"/>
      <c r="GO75" s="11"/>
      <c r="GP75" s="12"/>
      <c r="GQ75" s="12"/>
      <c r="GR75" s="11">
        <v>4</v>
      </c>
      <c r="GS75" s="13">
        <v>368.14</v>
      </c>
      <c r="GT75" s="11">
        <v>102</v>
      </c>
      <c r="GU75" s="11"/>
      <c r="GV75" s="13"/>
      <c r="GW75" s="11"/>
      <c r="GX75" s="12"/>
      <c r="GY75" s="12"/>
      <c r="GZ75" s="11">
        <v>105</v>
      </c>
      <c r="HA75" s="13">
        <v>8720.11</v>
      </c>
      <c r="HB75" s="11">
        <v>79</v>
      </c>
      <c r="HC75" s="11"/>
      <c r="HD75" s="13"/>
      <c r="HE75" s="11"/>
      <c r="HF75" s="12"/>
      <c r="HG75" s="12"/>
      <c r="HH75" s="11">
        <v>26</v>
      </c>
      <c r="HI75" s="13">
        <v>1522.07</v>
      </c>
      <c r="HJ75" s="11"/>
      <c r="HK75" s="11"/>
      <c r="HL75" s="13"/>
      <c r="HM75" s="11"/>
      <c r="HN75" s="12"/>
      <c r="HO75" s="12"/>
      <c r="HP75" s="11"/>
      <c r="HQ75" s="13"/>
      <c r="HR75" s="11"/>
      <c r="HS75" s="11"/>
      <c r="HT75" s="13"/>
      <c r="HU75" s="11"/>
      <c r="HV75" s="12"/>
      <c r="HW75" s="12"/>
      <c r="HX75" s="11">
        <v>22</v>
      </c>
      <c r="HY75" s="13">
        <v>2243.21</v>
      </c>
      <c r="HZ75" s="11">
        <v>44</v>
      </c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/>
      <c r="IO75" s="13"/>
      <c r="IP75" s="11"/>
      <c r="IQ75" s="11"/>
      <c r="IR75" s="13"/>
      <c r="IS75" s="11"/>
      <c r="IT75" s="12"/>
      <c r="IU75" s="12"/>
      <c r="IV75" s="11">
        <v>10</v>
      </c>
      <c r="IW75" s="13">
        <v>811.74</v>
      </c>
      <c r="IX75" s="11">
        <v>64</v>
      </c>
      <c r="IY75" s="11"/>
      <c r="IZ75" s="13"/>
      <c r="JA75" s="11"/>
      <c r="JB75" s="12"/>
      <c r="JC75" s="12"/>
      <c r="JD75" s="11">
        <v>3</v>
      </c>
      <c r="JE75" s="13">
        <v>235.58</v>
      </c>
      <c r="JF75" s="11">
        <v>16</v>
      </c>
      <c r="JG75" s="11"/>
      <c r="JH75" s="13"/>
      <c r="JI75" s="11"/>
      <c r="JJ75" s="12"/>
      <c r="JK75" s="12"/>
      <c r="JL75" s="11"/>
      <c r="JM75" s="13"/>
      <c r="JN75" s="11"/>
      <c r="JO75" s="11"/>
      <c r="JP75" s="13"/>
      <c r="JQ75" s="11"/>
      <c r="JR75" s="12"/>
      <c r="JS75" s="12"/>
      <c r="JT75" s="11"/>
      <c r="JU75" s="13"/>
      <c r="JV75" s="11">
        <v>33</v>
      </c>
      <c r="JW75" s="11"/>
      <c r="JX75" s="13"/>
      <c r="JY75" s="11"/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/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  <c r="LH75" s="11"/>
      <c r="LI75" s="13"/>
      <c r="LJ75" s="11"/>
      <c r="LK75" s="11"/>
      <c r="LL75" s="13"/>
      <c r="LM75" s="11"/>
      <c r="LN75" s="12"/>
      <c r="LO75" s="12"/>
      <c r="LP75" s="11"/>
      <c r="LQ75" s="13"/>
      <c r="LR75" s="11"/>
      <c r="LS75" s="11"/>
      <c r="LT75" s="13"/>
      <c r="LU75" s="11"/>
      <c r="LV75" s="12"/>
      <c r="LW75" s="12"/>
    </row>
    <row r="76">
      <c r="A76" s="10" t="s">
        <v>72</v>
      </c>
      <c r="B76" s="10" t="s">
        <v>120</v>
      </c>
      <c r="C76" s="10" t="s">
        <v>74</v>
      </c>
      <c r="D76" s="11">
        <v>420</v>
      </c>
      <c r="E76" s="11">
        <f>=ROUNDDOWN(32.3076923076923,0)</f>
      </c>
      <c r="F76" s="11"/>
      <c r="G76" s="12">
        <v>1</v>
      </c>
      <c r="H76" s="11"/>
      <c r="I76" s="11">
        <f>=ROUNDDOWN({0},0)</f>
      </c>
      <c r="J76" s="11"/>
      <c r="K76" s="12"/>
      <c r="L76" s="11">
        <v>136</v>
      </c>
      <c r="M76" s="13">
        <v>8368.76</v>
      </c>
      <c r="N76" s="11">
        <v>2</v>
      </c>
      <c r="O76" s="14">
        <v>4184.38</v>
      </c>
      <c r="P76" s="11"/>
      <c r="Q76" s="13"/>
      <c r="R76" s="11"/>
      <c r="S76" s="14"/>
      <c r="T76" s="12"/>
      <c r="U76" s="12"/>
      <c r="V76" s="12"/>
      <c r="W76" s="12"/>
      <c r="X76" s="11">
        <v>27</v>
      </c>
      <c r="Y76" s="13">
        <v>1720.62</v>
      </c>
      <c r="Z76" s="11">
        <v>2</v>
      </c>
      <c r="AA76" s="11"/>
      <c r="AB76" s="13"/>
      <c r="AC76" s="11"/>
      <c r="AD76" s="12"/>
      <c r="AE76" s="12"/>
      <c r="AF76" s="11">
        <v>4</v>
      </c>
      <c r="AG76" s="13">
        <v>217.21</v>
      </c>
      <c r="AH76" s="11">
        <v>2</v>
      </c>
      <c r="AI76" s="11"/>
      <c r="AJ76" s="13"/>
      <c r="AK76" s="11"/>
      <c r="AL76" s="12"/>
      <c r="AM76" s="12"/>
      <c r="AN76" s="11">
        <v>7</v>
      </c>
      <c r="AO76" s="13">
        <v>417.76</v>
      </c>
      <c r="AP76" s="11">
        <v>2</v>
      </c>
      <c r="AQ76" s="11"/>
      <c r="AR76" s="13"/>
      <c r="AS76" s="11"/>
      <c r="AT76" s="12"/>
      <c r="AU76" s="12"/>
      <c r="AV76" s="11">
        <v>19</v>
      </c>
      <c r="AW76" s="13">
        <v>1161.12</v>
      </c>
      <c r="AX76" s="11">
        <v>2</v>
      </c>
      <c r="AY76" s="11"/>
      <c r="AZ76" s="13"/>
      <c r="BA76" s="11"/>
      <c r="BB76" s="12"/>
      <c r="BC76" s="12"/>
      <c r="BD76" s="11">
        <v>29</v>
      </c>
      <c r="BE76" s="13">
        <v>1762.51</v>
      </c>
      <c r="BF76" s="11">
        <v>2</v>
      </c>
      <c r="BG76" s="11"/>
      <c r="BH76" s="13"/>
      <c r="BI76" s="11"/>
      <c r="BJ76" s="12"/>
      <c r="BK76" s="12"/>
      <c r="BL76" s="11">
        <v>21</v>
      </c>
      <c r="BM76" s="13">
        <v>1264.58</v>
      </c>
      <c r="BN76" s="11">
        <v>2</v>
      </c>
      <c r="BO76" s="11"/>
      <c r="BP76" s="13"/>
      <c r="BQ76" s="11"/>
      <c r="BR76" s="12"/>
      <c r="BS76" s="12"/>
      <c r="BT76" s="11">
        <v>6</v>
      </c>
      <c r="BU76" s="13">
        <v>388.39</v>
      </c>
      <c r="BV76" s="11">
        <v>2</v>
      </c>
      <c r="BW76" s="11"/>
      <c r="BX76" s="13"/>
      <c r="BY76" s="11"/>
      <c r="BZ76" s="12"/>
      <c r="CA76" s="12"/>
      <c r="CB76" s="11">
        <v>17</v>
      </c>
      <c r="CC76" s="13">
        <v>1000.61</v>
      </c>
      <c r="CD76" s="11">
        <v>2</v>
      </c>
      <c r="CE76" s="11"/>
      <c r="CF76" s="13"/>
      <c r="CG76" s="11"/>
      <c r="CH76" s="12"/>
      <c r="CI76" s="12"/>
      <c r="CJ76" s="11"/>
      <c r="CK76" s="13"/>
      <c r="CL76" s="11">
        <v>2</v>
      </c>
      <c r="CM76" s="11"/>
      <c r="CN76" s="13"/>
      <c r="CO76" s="11"/>
      <c r="CP76" s="12"/>
      <c r="CQ76" s="12"/>
      <c r="CR76" s="11"/>
      <c r="CS76" s="13"/>
      <c r="CT76" s="11"/>
      <c r="CU76" s="11"/>
      <c r="CV76" s="13"/>
      <c r="CW76" s="11"/>
      <c r="CX76" s="12"/>
      <c r="CY76" s="12"/>
      <c r="CZ76" s="11"/>
      <c r="DA76" s="13"/>
      <c r="DB76" s="11"/>
      <c r="DC76" s="11"/>
      <c r="DD76" s="13"/>
      <c r="DE76" s="11"/>
      <c r="DF76" s="12"/>
      <c r="DG76" s="12"/>
      <c r="DH76" s="11"/>
      <c r="DI76" s="13"/>
      <c r="DJ76" s="11"/>
      <c r="DK76" s="11"/>
      <c r="DL76" s="13"/>
      <c r="DM76" s="11"/>
      <c r="DN76" s="12"/>
      <c r="DO76" s="12"/>
      <c r="DP76" s="11">
        <v>5</v>
      </c>
      <c r="DQ76" s="13">
        <v>317.03</v>
      </c>
      <c r="DR76" s="11">
        <v>2</v>
      </c>
      <c r="DS76" s="11"/>
      <c r="DT76" s="13"/>
      <c r="DU76" s="11"/>
      <c r="DV76" s="12"/>
      <c r="DW76" s="12"/>
      <c r="DX76" s="11"/>
      <c r="DY76" s="13"/>
      <c r="DZ76" s="11"/>
      <c r="EA76" s="11"/>
      <c r="EB76" s="13"/>
      <c r="EC76" s="11"/>
      <c r="ED76" s="12"/>
      <c r="EE76" s="12"/>
      <c r="EF76" s="11"/>
      <c r="EG76" s="13"/>
      <c r="EH76" s="11"/>
      <c r="EI76" s="11"/>
      <c r="EJ76" s="13"/>
      <c r="EK76" s="11"/>
      <c r="EL76" s="12"/>
      <c r="EM76" s="12"/>
      <c r="EN76" s="11">
        <v>1</v>
      </c>
      <c r="EO76" s="13">
        <v>118.93</v>
      </c>
      <c r="EP76" s="11">
        <v>2</v>
      </c>
      <c r="EQ76" s="11"/>
      <c r="ER76" s="13"/>
      <c r="ES76" s="11"/>
      <c r="ET76" s="12"/>
      <c r="EU76" s="12"/>
      <c r="EV76" s="11"/>
      <c r="EW76" s="13"/>
      <c r="EX76" s="11"/>
      <c r="EY76" s="11"/>
      <c r="EZ76" s="13"/>
      <c r="FA76" s="11"/>
      <c r="FB76" s="12"/>
      <c r="FC76" s="12"/>
      <c r="FD76" s="11"/>
      <c r="FE76" s="13"/>
      <c r="FF76" s="11"/>
      <c r="FG76" s="11"/>
      <c r="FH76" s="13"/>
      <c r="FI76" s="11"/>
      <c r="FJ76" s="12"/>
      <c r="FK76" s="12"/>
      <c r="FL76" s="11"/>
      <c r="FM76" s="13"/>
      <c r="FN76" s="11"/>
      <c r="FO76" s="11"/>
      <c r="FP76" s="13"/>
      <c r="FQ76" s="11"/>
      <c r="FR76" s="12"/>
      <c r="FS76" s="12"/>
      <c r="FT76" s="11"/>
      <c r="FU76" s="13"/>
      <c r="FV76" s="11"/>
      <c r="FW76" s="11"/>
      <c r="FX76" s="13"/>
      <c r="FY76" s="11"/>
      <c r="FZ76" s="12"/>
      <c r="GA76" s="12"/>
      <c r="GB76" s="11"/>
      <c r="GC76" s="13"/>
      <c r="GD76" s="11"/>
      <c r="GE76" s="11"/>
      <c r="GF76" s="13"/>
      <c r="GG76" s="11"/>
      <c r="GH76" s="12"/>
      <c r="GI76" s="12"/>
      <c r="GJ76" s="11"/>
      <c r="GK76" s="13"/>
      <c r="GL76" s="11"/>
      <c r="GM76" s="11"/>
      <c r="GN76" s="13"/>
      <c r="GO76" s="11"/>
      <c r="GP76" s="12"/>
      <c r="GQ76" s="12"/>
      <c r="GR76" s="11"/>
      <c r="GS76" s="13"/>
      <c r="GT76" s="11">
        <v>2</v>
      </c>
      <c r="GU76" s="11"/>
      <c r="GV76" s="13"/>
      <c r="GW76" s="11"/>
      <c r="GX76" s="12"/>
      <c r="GY76" s="12"/>
      <c r="GZ76" s="11"/>
      <c r="HA76" s="13"/>
      <c r="HB76" s="11"/>
      <c r="HC76" s="11"/>
      <c r="HD76" s="13"/>
      <c r="HE76" s="11"/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/>
      <c r="HQ76" s="13"/>
      <c r="HR76" s="11"/>
      <c r="HS76" s="11"/>
      <c r="HT76" s="13"/>
      <c r="HU76" s="11"/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/>
      <c r="IQ76" s="11"/>
      <c r="IR76" s="13"/>
      <c r="IS76" s="11"/>
      <c r="IT76" s="12"/>
      <c r="IU76" s="12"/>
      <c r="IV76" s="11"/>
      <c r="IW76" s="13"/>
      <c r="IX76" s="11">
        <v>2</v>
      </c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/>
      <c r="JP76" s="13"/>
      <c r="JQ76" s="11"/>
      <c r="JR76" s="12"/>
      <c r="JS76" s="12"/>
      <c r="JT76" s="11"/>
      <c r="JU76" s="13"/>
      <c r="JV76" s="11"/>
      <c r="JW76" s="11"/>
      <c r="JX76" s="13"/>
      <c r="JY76" s="11"/>
      <c r="JZ76" s="12"/>
      <c r="KA76" s="12"/>
      <c r="KB76" s="11"/>
      <c r="KC76" s="13"/>
      <c r="KD76" s="11"/>
      <c r="KE76" s="11"/>
      <c r="KF76" s="13"/>
      <c r="KG76" s="11"/>
      <c r="KH76" s="12"/>
      <c r="KI76" s="12"/>
      <c r="KJ76" s="11"/>
      <c r="KK76" s="13"/>
      <c r="KL76" s="11"/>
      <c r="KM76" s="11"/>
      <c r="KN76" s="13"/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  <c r="LH76" s="11"/>
      <c r="LI76" s="13"/>
      <c r="LJ76" s="11"/>
      <c r="LK76" s="11"/>
      <c r="LL76" s="13"/>
      <c r="LM76" s="11"/>
      <c r="LN76" s="12"/>
      <c r="LO76" s="12"/>
      <c r="LP76" s="11"/>
      <c r="LQ76" s="13"/>
      <c r="LR76" s="11"/>
      <c r="LS76" s="11"/>
      <c r="LT76" s="13"/>
      <c r="LU76" s="11"/>
      <c r="LV76" s="12"/>
      <c r="LW76" s="12"/>
    </row>
    <row r="77">
      <c r="A77" s="10" t="s">
        <v>72</v>
      </c>
      <c r="B77" s="10" t="s">
        <v>120</v>
      </c>
      <c r="C77" s="10" t="s">
        <v>75</v>
      </c>
      <c r="D77" s="11">
        <v>625</v>
      </c>
      <c r="E77" s="11">
        <f>=ROUNDDOWN(26.0416666666667,0)</f>
      </c>
      <c r="F77" s="11"/>
      <c r="G77" s="12">
        <v>1</v>
      </c>
      <c r="H77" s="11"/>
      <c r="I77" s="11">
        <f>=ROUNDDOWN({0},0)</f>
      </c>
      <c r="J77" s="11"/>
      <c r="K77" s="12"/>
      <c r="L77" s="11">
        <v>401</v>
      </c>
      <c r="M77" s="13">
        <v>23772.41</v>
      </c>
      <c r="N77" s="11">
        <v>2</v>
      </c>
      <c r="O77" s="14">
        <v>11886.2</v>
      </c>
      <c r="P77" s="11"/>
      <c r="Q77" s="13"/>
      <c r="R77" s="11"/>
      <c r="S77" s="14"/>
      <c r="T77" s="12"/>
      <c r="U77" s="12"/>
      <c r="V77" s="12"/>
      <c r="W77" s="12"/>
      <c r="X77" s="11">
        <v>117</v>
      </c>
      <c r="Y77" s="13">
        <v>7168.25</v>
      </c>
      <c r="Z77" s="11">
        <v>2</v>
      </c>
      <c r="AA77" s="11"/>
      <c r="AB77" s="13"/>
      <c r="AC77" s="11"/>
      <c r="AD77" s="12"/>
      <c r="AE77" s="12"/>
      <c r="AF77" s="11">
        <v>53</v>
      </c>
      <c r="AG77" s="13">
        <v>2701.13</v>
      </c>
      <c r="AH77" s="11">
        <v>2</v>
      </c>
      <c r="AI77" s="11"/>
      <c r="AJ77" s="13"/>
      <c r="AK77" s="11"/>
      <c r="AL77" s="12"/>
      <c r="AM77" s="12"/>
      <c r="AN77" s="11">
        <v>36</v>
      </c>
      <c r="AO77" s="13">
        <v>2077.89</v>
      </c>
      <c r="AP77" s="11">
        <v>2</v>
      </c>
      <c r="AQ77" s="11"/>
      <c r="AR77" s="13"/>
      <c r="AS77" s="11"/>
      <c r="AT77" s="12"/>
      <c r="AU77" s="12"/>
      <c r="AV77" s="11">
        <v>16</v>
      </c>
      <c r="AW77" s="13">
        <v>959.93</v>
      </c>
      <c r="AX77" s="11">
        <v>1</v>
      </c>
      <c r="AY77" s="11"/>
      <c r="AZ77" s="13"/>
      <c r="BA77" s="11"/>
      <c r="BB77" s="12"/>
      <c r="BC77" s="12"/>
      <c r="BD77" s="11">
        <v>10</v>
      </c>
      <c r="BE77" s="13">
        <v>587.5</v>
      </c>
      <c r="BF77" s="11">
        <v>2</v>
      </c>
      <c r="BG77" s="11"/>
      <c r="BH77" s="13"/>
      <c r="BI77" s="11"/>
      <c r="BJ77" s="12"/>
      <c r="BK77" s="12"/>
      <c r="BL77" s="11">
        <v>75</v>
      </c>
      <c r="BM77" s="13">
        <v>4604.25</v>
      </c>
      <c r="BN77" s="11">
        <v>2</v>
      </c>
      <c r="BO77" s="11"/>
      <c r="BP77" s="13"/>
      <c r="BQ77" s="11"/>
      <c r="BR77" s="12"/>
      <c r="BS77" s="12"/>
      <c r="BT77" s="11">
        <v>1</v>
      </c>
      <c r="BU77" s="13">
        <v>83.99</v>
      </c>
      <c r="BV77" s="11">
        <v>2</v>
      </c>
      <c r="BW77" s="11"/>
      <c r="BX77" s="13"/>
      <c r="BY77" s="11"/>
      <c r="BZ77" s="12"/>
      <c r="CA77" s="12"/>
      <c r="CB77" s="11">
        <v>87</v>
      </c>
      <c r="CC77" s="13">
        <v>5209.88</v>
      </c>
      <c r="CD77" s="11">
        <v>2</v>
      </c>
      <c r="CE77" s="11"/>
      <c r="CF77" s="13"/>
      <c r="CG77" s="11"/>
      <c r="CH77" s="12"/>
      <c r="CI77" s="12"/>
      <c r="CJ77" s="11"/>
      <c r="CK77" s="13"/>
      <c r="CL77" s="11">
        <v>2</v>
      </c>
      <c r="CM77" s="11"/>
      <c r="CN77" s="13"/>
      <c r="CO77" s="11"/>
      <c r="CP77" s="12"/>
      <c r="CQ77" s="12"/>
      <c r="CR77" s="11"/>
      <c r="CS77" s="13"/>
      <c r="CT77" s="11"/>
      <c r="CU77" s="11"/>
      <c r="CV77" s="13"/>
      <c r="CW77" s="11"/>
      <c r="CX77" s="12"/>
      <c r="CY77" s="12"/>
      <c r="CZ77" s="11"/>
      <c r="DA77" s="13"/>
      <c r="DB77" s="11"/>
      <c r="DC77" s="11"/>
      <c r="DD77" s="13"/>
      <c r="DE77" s="11"/>
      <c r="DF77" s="12"/>
      <c r="DG77" s="12"/>
      <c r="DH77" s="11"/>
      <c r="DI77" s="13"/>
      <c r="DJ77" s="11"/>
      <c r="DK77" s="11"/>
      <c r="DL77" s="13"/>
      <c r="DM77" s="11"/>
      <c r="DN77" s="12"/>
      <c r="DO77" s="12"/>
      <c r="DP77" s="11">
        <v>5</v>
      </c>
      <c r="DQ77" s="13">
        <v>322.9</v>
      </c>
      <c r="DR77" s="11">
        <v>2</v>
      </c>
      <c r="DS77" s="11"/>
      <c r="DT77" s="13"/>
      <c r="DU77" s="11"/>
      <c r="DV77" s="12"/>
      <c r="DW77" s="12"/>
      <c r="DX77" s="11"/>
      <c r="DY77" s="13"/>
      <c r="DZ77" s="11"/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>
        <v>2</v>
      </c>
      <c r="EQ77" s="11"/>
      <c r="ER77" s="13"/>
      <c r="ES77" s="11"/>
      <c r="ET77" s="12"/>
      <c r="EU77" s="12"/>
      <c r="EV77" s="11">
        <v>1</v>
      </c>
      <c r="EW77" s="13">
        <v>56.69</v>
      </c>
      <c r="EX77" s="11">
        <v>2</v>
      </c>
      <c r="EY77" s="11"/>
      <c r="EZ77" s="13"/>
      <c r="FA77" s="11"/>
      <c r="FB77" s="12"/>
      <c r="FC77" s="12"/>
      <c r="FD77" s="11"/>
      <c r="FE77" s="13"/>
      <c r="FF77" s="11"/>
      <c r="FG77" s="11"/>
      <c r="FH77" s="13"/>
      <c r="FI77" s="11"/>
      <c r="FJ77" s="12"/>
      <c r="FK77" s="12"/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>
        <v>1</v>
      </c>
      <c r="FW77" s="11"/>
      <c r="FX77" s="13"/>
      <c r="FY77" s="11"/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/>
      <c r="GM77" s="11"/>
      <c r="GN77" s="13"/>
      <c r="GO77" s="11"/>
      <c r="GP77" s="12"/>
      <c r="GQ77" s="12"/>
      <c r="GR77" s="11"/>
      <c r="GS77" s="13"/>
      <c r="GT77" s="11">
        <v>2</v>
      </c>
      <c r="GU77" s="11"/>
      <c r="GV77" s="13"/>
      <c r="GW77" s="11"/>
      <c r="GX77" s="12"/>
      <c r="GY77" s="12"/>
      <c r="GZ77" s="11"/>
      <c r="HA77" s="13"/>
      <c r="HB77" s="11"/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/>
      <c r="HS77" s="11"/>
      <c r="HT77" s="13"/>
      <c r="HU77" s="11"/>
      <c r="HV77" s="12"/>
      <c r="HW77" s="12"/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/>
      <c r="IO77" s="13"/>
      <c r="IP77" s="11"/>
      <c r="IQ77" s="11"/>
      <c r="IR77" s="13"/>
      <c r="IS77" s="11"/>
      <c r="IT77" s="12"/>
      <c r="IU77" s="12"/>
      <c r="IV77" s="11"/>
      <c r="IW77" s="13"/>
      <c r="IX77" s="11">
        <v>2</v>
      </c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/>
      <c r="JU77" s="13"/>
      <c r="JV77" s="11"/>
      <c r="JW77" s="11"/>
      <c r="JX77" s="13"/>
      <c r="JY77" s="11"/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/>
      <c r="KM77" s="11"/>
      <c r="KN77" s="13"/>
      <c r="KO77" s="11"/>
      <c r="KP77" s="12"/>
      <c r="KQ77" s="12"/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  <c r="LH77" s="11"/>
      <c r="LI77" s="13"/>
      <c r="LJ77" s="11"/>
      <c r="LK77" s="11"/>
      <c r="LL77" s="13"/>
      <c r="LM77" s="11"/>
      <c r="LN77" s="12"/>
      <c r="LO77" s="12"/>
      <c r="LP77" s="11"/>
      <c r="LQ77" s="13"/>
      <c r="LR77" s="11"/>
      <c r="LS77" s="11"/>
      <c r="LT77" s="13"/>
      <c r="LU77" s="11"/>
      <c r="LV77" s="12"/>
      <c r="LW77" s="12"/>
    </row>
    <row r="78">
      <c r="A78" s="10" t="s">
        <v>72</v>
      </c>
      <c r="B78" s="10" t="s">
        <v>121</v>
      </c>
      <c r="C78" s="10" t="s">
        <v>77</v>
      </c>
      <c r="D78" s="11">
        <v>1045</v>
      </c>
      <c r="E78" s="11">
        <f>=ROUNDDOWN({0},0)</f>
      </c>
      <c r="F78" s="11"/>
      <c r="G78" s="12"/>
      <c r="H78" s="11"/>
      <c r="I78" s="11">
        <f>=ROUNDDOWN({0},0)</f>
      </c>
      <c r="J78" s="11"/>
      <c r="K78" s="12"/>
      <c r="L78" s="11">
        <v>537</v>
      </c>
      <c r="M78" s="13">
        <v>32141.17</v>
      </c>
      <c r="N78" s="11">
        <v>4</v>
      </c>
      <c r="O78" s="14">
        <v>8035.29</v>
      </c>
      <c r="P78" s="11"/>
      <c r="Q78" s="13"/>
      <c r="R78" s="11"/>
      <c r="S78" s="14"/>
      <c r="T78" s="12"/>
      <c r="U78" s="12"/>
      <c r="V78" s="12"/>
      <c r="W78" s="12"/>
      <c r="X78" s="11">
        <v>144</v>
      </c>
      <c r="Y78" s="13">
        <v>8888.87</v>
      </c>
      <c r="Z78" s="11">
        <v>4</v>
      </c>
      <c r="AA78" s="11"/>
      <c r="AB78" s="13"/>
      <c r="AC78" s="11"/>
      <c r="AD78" s="12"/>
      <c r="AE78" s="12"/>
      <c r="AF78" s="11">
        <v>57</v>
      </c>
      <c r="AG78" s="13">
        <v>2918.34</v>
      </c>
      <c r="AH78" s="11">
        <v>4</v>
      </c>
      <c r="AI78" s="11"/>
      <c r="AJ78" s="13"/>
      <c r="AK78" s="11"/>
      <c r="AL78" s="12"/>
      <c r="AM78" s="12"/>
      <c r="AN78" s="11">
        <v>43</v>
      </c>
      <c r="AO78" s="13">
        <v>2495.65</v>
      </c>
      <c r="AP78" s="11">
        <v>4</v>
      </c>
      <c r="AQ78" s="11"/>
      <c r="AR78" s="13"/>
      <c r="AS78" s="11"/>
      <c r="AT78" s="12"/>
      <c r="AU78" s="12"/>
      <c r="AV78" s="11">
        <v>35</v>
      </c>
      <c r="AW78" s="13">
        <v>2121.05</v>
      </c>
      <c r="AX78" s="11">
        <v>3</v>
      </c>
      <c r="AY78" s="11"/>
      <c r="AZ78" s="13"/>
      <c r="BA78" s="11"/>
      <c r="BB78" s="12"/>
      <c r="BC78" s="12"/>
      <c r="BD78" s="11">
        <v>39</v>
      </c>
      <c r="BE78" s="13">
        <v>2350.01</v>
      </c>
      <c r="BF78" s="11">
        <v>4</v>
      </c>
      <c r="BG78" s="11"/>
      <c r="BH78" s="13"/>
      <c r="BI78" s="11"/>
      <c r="BJ78" s="12"/>
      <c r="BK78" s="12"/>
      <c r="BL78" s="11">
        <v>96</v>
      </c>
      <c r="BM78" s="13">
        <v>5868.83</v>
      </c>
      <c r="BN78" s="11">
        <v>4</v>
      </c>
      <c r="BO78" s="11"/>
      <c r="BP78" s="13"/>
      <c r="BQ78" s="11"/>
      <c r="BR78" s="12"/>
      <c r="BS78" s="12"/>
      <c r="BT78" s="11">
        <v>7</v>
      </c>
      <c r="BU78" s="13">
        <v>472.38</v>
      </c>
      <c r="BV78" s="11">
        <v>4</v>
      </c>
      <c r="BW78" s="11"/>
      <c r="BX78" s="13"/>
      <c r="BY78" s="11"/>
      <c r="BZ78" s="12"/>
      <c r="CA78" s="12"/>
      <c r="CB78" s="11">
        <v>104</v>
      </c>
      <c r="CC78" s="13">
        <v>6210.49</v>
      </c>
      <c r="CD78" s="11">
        <v>4</v>
      </c>
      <c r="CE78" s="11"/>
      <c r="CF78" s="13"/>
      <c r="CG78" s="11"/>
      <c r="CH78" s="12"/>
      <c r="CI78" s="12"/>
      <c r="CJ78" s="11"/>
      <c r="CK78" s="13"/>
      <c r="CL78" s="11">
        <v>4</v>
      </c>
      <c r="CM78" s="11"/>
      <c r="CN78" s="13"/>
      <c r="CO78" s="11"/>
      <c r="CP78" s="12"/>
      <c r="CQ78" s="12"/>
      <c r="CR78" s="11"/>
      <c r="CS78" s="13"/>
      <c r="CT78" s="11"/>
      <c r="CU78" s="11"/>
      <c r="CV78" s="13"/>
      <c r="CW78" s="11"/>
      <c r="CX78" s="12"/>
      <c r="CY78" s="12"/>
      <c r="CZ78" s="11"/>
      <c r="DA78" s="13"/>
      <c r="DB78" s="11"/>
      <c r="DC78" s="11"/>
      <c r="DD78" s="13"/>
      <c r="DE78" s="11"/>
      <c r="DF78" s="12"/>
      <c r="DG78" s="12"/>
      <c r="DH78" s="11"/>
      <c r="DI78" s="13"/>
      <c r="DJ78" s="11"/>
      <c r="DK78" s="11"/>
      <c r="DL78" s="13"/>
      <c r="DM78" s="11"/>
      <c r="DN78" s="12"/>
      <c r="DO78" s="12"/>
      <c r="DP78" s="11">
        <v>10</v>
      </c>
      <c r="DQ78" s="13">
        <v>639.93</v>
      </c>
      <c r="DR78" s="11">
        <v>4</v>
      </c>
      <c r="DS78" s="11"/>
      <c r="DT78" s="13"/>
      <c r="DU78" s="11"/>
      <c r="DV78" s="12"/>
      <c r="DW78" s="12"/>
      <c r="DX78" s="11"/>
      <c r="DY78" s="13"/>
      <c r="DZ78" s="11"/>
      <c r="EA78" s="11"/>
      <c r="EB78" s="13"/>
      <c r="EC78" s="11"/>
      <c r="ED78" s="12"/>
      <c r="EE78" s="12"/>
      <c r="EF78" s="11"/>
      <c r="EG78" s="13"/>
      <c r="EH78" s="11"/>
      <c r="EI78" s="11"/>
      <c r="EJ78" s="13"/>
      <c r="EK78" s="11"/>
      <c r="EL78" s="12"/>
      <c r="EM78" s="12"/>
      <c r="EN78" s="11">
        <v>1</v>
      </c>
      <c r="EO78" s="13">
        <v>118.93</v>
      </c>
      <c r="EP78" s="11">
        <v>4</v>
      </c>
      <c r="EQ78" s="11"/>
      <c r="ER78" s="13"/>
      <c r="ES78" s="11"/>
      <c r="ET78" s="12"/>
      <c r="EU78" s="12"/>
      <c r="EV78" s="11">
        <v>1</v>
      </c>
      <c r="EW78" s="13">
        <v>56.69</v>
      </c>
      <c r="EX78" s="11">
        <v>2</v>
      </c>
      <c r="EY78" s="11"/>
      <c r="EZ78" s="13"/>
      <c r="FA78" s="11"/>
      <c r="FB78" s="12"/>
      <c r="FC78" s="12"/>
      <c r="FD78" s="11"/>
      <c r="FE78" s="13"/>
      <c r="FF78" s="11"/>
      <c r="FG78" s="11"/>
      <c r="FH78" s="13"/>
      <c r="FI78" s="11"/>
      <c r="FJ78" s="12"/>
      <c r="FK78" s="12"/>
      <c r="FL78" s="11"/>
      <c r="FM78" s="13"/>
      <c r="FN78" s="11"/>
      <c r="FO78" s="11"/>
      <c r="FP78" s="13"/>
      <c r="FQ78" s="11"/>
      <c r="FR78" s="12"/>
      <c r="FS78" s="12"/>
      <c r="FT78" s="11"/>
      <c r="FU78" s="13"/>
      <c r="FV78" s="11">
        <v>1</v>
      </c>
      <c r="FW78" s="11"/>
      <c r="FX78" s="13"/>
      <c r="FY78" s="11"/>
      <c r="FZ78" s="12"/>
      <c r="GA78" s="12"/>
      <c r="GB78" s="11"/>
      <c r="GC78" s="13"/>
      <c r="GD78" s="11"/>
      <c r="GE78" s="11"/>
      <c r="GF78" s="13"/>
      <c r="GG78" s="11"/>
      <c r="GH78" s="12"/>
      <c r="GI78" s="12"/>
      <c r="GJ78" s="11"/>
      <c r="GK78" s="13"/>
      <c r="GL78" s="11"/>
      <c r="GM78" s="11"/>
      <c r="GN78" s="13"/>
      <c r="GO78" s="11"/>
      <c r="GP78" s="12"/>
      <c r="GQ78" s="12"/>
      <c r="GR78" s="11"/>
      <c r="GS78" s="13"/>
      <c r="GT78" s="11">
        <v>4</v>
      </c>
      <c r="GU78" s="11"/>
      <c r="GV78" s="13"/>
      <c r="GW78" s="11"/>
      <c r="GX78" s="12"/>
      <c r="GY78" s="12"/>
      <c r="GZ78" s="11"/>
      <c r="HA78" s="13"/>
      <c r="HB78" s="11"/>
      <c r="HC78" s="11"/>
      <c r="HD78" s="13"/>
      <c r="HE78" s="11"/>
      <c r="HF78" s="12"/>
      <c r="HG78" s="12"/>
      <c r="HH78" s="11"/>
      <c r="HI78" s="13"/>
      <c r="HJ78" s="11"/>
      <c r="HK78" s="11"/>
      <c r="HL78" s="13"/>
      <c r="HM78" s="11"/>
      <c r="HN78" s="12"/>
      <c r="HO78" s="12"/>
      <c r="HP78" s="11"/>
      <c r="HQ78" s="13"/>
      <c r="HR78" s="11"/>
      <c r="HS78" s="11"/>
      <c r="HT78" s="13"/>
      <c r="HU78" s="11"/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/>
      <c r="IO78" s="13"/>
      <c r="IP78" s="11"/>
      <c r="IQ78" s="11"/>
      <c r="IR78" s="13"/>
      <c r="IS78" s="11"/>
      <c r="IT78" s="12"/>
      <c r="IU78" s="12"/>
      <c r="IV78" s="11"/>
      <c r="IW78" s="13"/>
      <c r="IX78" s="11">
        <v>4</v>
      </c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/>
      <c r="JO78" s="11"/>
      <c r="JP78" s="13"/>
      <c r="JQ78" s="11"/>
      <c r="JR78" s="12"/>
      <c r="JS78" s="12"/>
      <c r="JT78" s="11"/>
      <c r="JU78" s="13"/>
      <c r="JV78" s="11"/>
      <c r="JW78" s="11"/>
      <c r="JX78" s="13"/>
      <c r="JY78" s="11"/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/>
      <c r="KM78" s="11"/>
      <c r="KN78" s="13"/>
      <c r="KO78" s="11"/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  <c r="LH78" s="11"/>
      <c r="LI78" s="13"/>
      <c r="LJ78" s="11"/>
      <c r="LK78" s="11"/>
      <c r="LL78" s="13"/>
      <c r="LM78" s="11"/>
      <c r="LN78" s="12"/>
      <c r="LO78" s="12"/>
      <c r="LP78" s="11"/>
      <c r="LQ78" s="13"/>
      <c r="LR78" s="11"/>
      <c r="LS78" s="11"/>
      <c r="LT78" s="13"/>
      <c r="LU78" s="11"/>
      <c r="LV78" s="12"/>
      <c r="LW78" s="12"/>
    </row>
    <row r="79">
      <c r="A79" s="10" t="s">
        <v>72</v>
      </c>
      <c r="B79" s="10" t="s">
        <v>122</v>
      </c>
      <c r="C79" s="10" t="s">
        <v>74</v>
      </c>
      <c r="D79" s="11">
        <v>8492</v>
      </c>
      <c r="E79" s="11">
        <f>=ROUNDDOWN(18.7668508287293,0)</f>
      </c>
      <c r="F79" s="11">
        <v>10558</v>
      </c>
      <c r="G79" s="12">
        <v>1</v>
      </c>
      <c r="H79" s="11"/>
      <c r="I79" s="11">
        <f>=ROUNDDOWN({0},0)</f>
      </c>
      <c r="J79" s="11">
        <v>350</v>
      </c>
      <c r="K79" s="12">
        <v>0.3406</v>
      </c>
      <c r="L79" s="11">
        <v>5553</v>
      </c>
      <c r="M79" s="13">
        <v>1038906.22</v>
      </c>
      <c r="N79" s="11">
        <v>37</v>
      </c>
      <c r="O79" s="14">
        <v>28078.55</v>
      </c>
      <c r="P79" s="11"/>
      <c r="Q79" s="13"/>
      <c r="R79" s="11"/>
      <c r="S79" s="14"/>
      <c r="T79" s="12"/>
      <c r="U79" s="12"/>
      <c r="V79" s="12"/>
      <c r="W79" s="12"/>
      <c r="X79" s="11">
        <v>737</v>
      </c>
      <c r="Y79" s="13">
        <v>146824.45</v>
      </c>
      <c r="Z79" s="11">
        <v>24</v>
      </c>
      <c r="AA79" s="11"/>
      <c r="AB79" s="13"/>
      <c r="AC79" s="11"/>
      <c r="AD79" s="12"/>
      <c r="AE79" s="12"/>
      <c r="AF79" s="11">
        <v>1440</v>
      </c>
      <c r="AG79" s="13">
        <v>239254.91</v>
      </c>
      <c r="AH79" s="11">
        <v>37</v>
      </c>
      <c r="AI79" s="11"/>
      <c r="AJ79" s="13"/>
      <c r="AK79" s="11"/>
      <c r="AL79" s="12"/>
      <c r="AM79" s="12"/>
      <c r="AN79" s="11">
        <v>483</v>
      </c>
      <c r="AO79" s="13">
        <v>93157.73</v>
      </c>
      <c r="AP79" s="11">
        <v>33</v>
      </c>
      <c r="AQ79" s="11"/>
      <c r="AR79" s="13"/>
      <c r="AS79" s="11"/>
      <c r="AT79" s="12"/>
      <c r="AU79" s="12"/>
      <c r="AV79" s="11">
        <v>157</v>
      </c>
      <c r="AW79" s="13">
        <v>31158.84</v>
      </c>
      <c r="AX79" s="11">
        <v>4</v>
      </c>
      <c r="AY79" s="11"/>
      <c r="AZ79" s="13"/>
      <c r="BA79" s="11"/>
      <c r="BB79" s="12"/>
      <c r="BC79" s="12"/>
      <c r="BD79" s="11">
        <v>563</v>
      </c>
      <c r="BE79" s="13">
        <v>108493.98</v>
      </c>
      <c r="BF79" s="11">
        <v>23</v>
      </c>
      <c r="BG79" s="11"/>
      <c r="BH79" s="13"/>
      <c r="BI79" s="11"/>
      <c r="BJ79" s="12"/>
      <c r="BK79" s="12"/>
      <c r="BL79" s="11">
        <v>1263</v>
      </c>
      <c r="BM79" s="13">
        <v>253452.54</v>
      </c>
      <c r="BN79" s="11">
        <v>37</v>
      </c>
      <c r="BO79" s="11"/>
      <c r="BP79" s="13"/>
      <c r="BQ79" s="11"/>
      <c r="BR79" s="12"/>
      <c r="BS79" s="12"/>
      <c r="BT79" s="11">
        <v>577</v>
      </c>
      <c r="BU79" s="13">
        <v>106295.73</v>
      </c>
      <c r="BV79" s="11">
        <v>37</v>
      </c>
      <c r="BW79" s="11"/>
      <c r="BX79" s="13"/>
      <c r="BY79" s="11"/>
      <c r="BZ79" s="12"/>
      <c r="CA79" s="12"/>
      <c r="CB79" s="11">
        <v>191</v>
      </c>
      <c r="CC79" s="13">
        <v>33365.07</v>
      </c>
      <c r="CD79" s="11">
        <v>28</v>
      </c>
      <c r="CE79" s="11"/>
      <c r="CF79" s="13"/>
      <c r="CG79" s="11"/>
      <c r="CH79" s="12"/>
      <c r="CI79" s="12"/>
      <c r="CJ79" s="11">
        <v>33</v>
      </c>
      <c r="CK79" s="13">
        <v>6671.67</v>
      </c>
      <c r="CL79" s="11">
        <v>35</v>
      </c>
      <c r="CM79" s="11"/>
      <c r="CN79" s="13"/>
      <c r="CO79" s="11"/>
      <c r="CP79" s="12"/>
      <c r="CQ79" s="12"/>
      <c r="CR79" s="11"/>
      <c r="CS79" s="13"/>
      <c r="CT79" s="11"/>
      <c r="CU79" s="11"/>
      <c r="CV79" s="13"/>
      <c r="CW79" s="11"/>
      <c r="CX79" s="12"/>
      <c r="CY79" s="12"/>
      <c r="CZ79" s="11"/>
      <c r="DA79" s="13"/>
      <c r="DB79" s="11">
        <v>3</v>
      </c>
      <c r="DC79" s="11"/>
      <c r="DD79" s="13"/>
      <c r="DE79" s="11"/>
      <c r="DF79" s="12"/>
      <c r="DG79" s="12"/>
      <c r="DH79" s="11">
        <v>1</v>
      </c>
      <c r="DI79" s="13">
        <v>180.81</v>
      </c>
      <c r="DJ79" s="11">
        <v>4</v>
      </c>
      <c r="DK79" s="11"/>
      <c r="DL79" s="13"/>
      <c r="DM79" s="11"/>
      <c r="DN79" s="12"/>
      <c r="DO79" s="12"/>
      <c r="DP79" s="11">
        <v>60</v>
      </c>
      <c r="DQ79" s="13">
        <v>9314.57</v>
      </c>
      <c r="DR79" s="11">
        <v>27</v>
      </c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>
        <v>5</v>
      </c>
      <c r="EO79" s="13">
        <v>1831.35</v>
      </c>
      <c r="EP79" s="11">
        <v>37</v>
      </c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/>
      <c r="FE79" s="13"/>
      <c r="FF79" s="11">
        <v>2</v>
      </c>
      <c r="FG79" s="11"/>
      <c r="FH79" s="13"/>
      <c r="FI79" s="11"/>
      <c r="FJ79" s="12"/>
      <c r="FK79" s="12"/>
      <c r="FL79" s="11">
        <v>1</v>
      </c>
      <c r="FM79" s="13">
        <v>193.91</v>
      </c>
      <c r="FN79" s="11">
        <v>9</v>
      </c>
      <c r="FO79" s="11"/>
      <c r="FP79" s="13"/>
      <c r="FQ79" s="11"/>
      <c r="FR79" s="12"/>
      <c r="FS79" s="12"/>
      <c r="FT79" s="11">
        <v>11</v>
      </c>
      <c r="FU79" s="13">
        <v>2174.34</v>
      </c>
      <c r="FV79" s="11">
        <v>22</v>
      </c>
      <c r="FW79" s="11"/>
      <c r="FX79" s="13"/>
      <c r="FY79" s="11"/>
      <c r="FZ79" s="12"/>
      <c r="GA79" s="12"/>
      <c r="GB79" s="11">
        <v>15</v>
      </c>
      <c r="GC79" s="13">
        <v>3338.43</v>
      </c>
      <c r="GD79" s="11">
        <v>6</v>
      </c>
      <c r="GE79" s="11"/>
      <c r="GF79" s="13"/>
      <c r="GG79" s="11"/>
      <c r="GH79" s="12"/>
      <c r="GI79" s="12"/>
      <c r="GJ79" s="11">
        <v>13</v>
      </c>
      <c r="GK79" s="13">
        <v>2578.21</v>
      </c>
      <c r="GL79" s="11">
        <v>12</v>
      </c>
      <c r="GM79" s="11"/>
      <c r="GN79" s="13"/>
      <c r="GO79" s="11"/>
      <c r="GP79" s="12"/>
      <c r="GQ79" s="12"/>
      <c r="GR79" s="11">
        <v>1</v>
      </c>
      <c r="GS79" s="13">
        <v>229.52</v>
      </c>
      <c r="GT79" s="11">
        <v>10</v>
      </c>
      <c r="GU79" s="11"/>
      <c r="GV79" s="13"/>
      <c r="GW79" s="11"/>
      <c r="GX79" s="12"/>
      <c r="GY79" s="12"/>
      <c r="GZ79" s="11">
        <v>2</v>
      </c>
      <c r="HA79" s="13">
        <v>390.16</v>
      </c>
      <c r="HB79" s="11">
        <v>3</v>
      </c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>
        <v>4</v>
      </c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  <c r="LH79" s="11"/>
      <c r="LI79" s="13"/>
      <c r="LJ79" s="11"/>
      <c r="LK79" s="11"/>
      <c r="LL79" s="13"/>
      <c r="LM79" s="11"/>
      <c r="LN79" s="12"/>
      <c r="LO79" s="12"/>
      <c r="LP79" s="11"/>
      <c r="LQ79" s="13"/>
      <c r="LR79" s="11"/>
      <c r="LS79" s="11"/>
      <c r="LT79" s="13"/>
      <c r="LU79" s="11"/>
      <c r="LV79" s="12"/>
      <c r="LW79" s="12"/>
    </row>
    <row r="80">
      <c r="A80" s="10" t="s">
        <v>72</v>
      </c>
      <c r="B80" s="10" t="s">
        <v>122</v>
      </c>
      <c r="C80" s="10" t="s">
        <v>75</v>
      </c>
      <c r="D80" s="11">
        <v>1886</v>
      </c>
      <c r="E80" s="11">
        <f>=ROUNDDOWN(25.1466666666667,0)</f>
      </c>
      <c r="F80" s="11">
        <v>929</v>
      </c>
      <c r="G80" s="12">
        <v>1</v>
      </c>
      <c r="H80" s="11"/>
      <c r="I80" s="11">
        <f>=ROUNDDOWN({0},0)</f>
      </c>
      <c r="J80" s="11"/>
      <c r="K80" s="12"/>
      <c r="L80" s="11">
        <v>884</v>
      </c>
      <c r="M80" s="13">
        <v>83830.96</v>
      </c>
      <c r="N80" s="11">
        <v>8</v>
      </c>
      <c r="O80" s="14">
        <v>10478.87</v>
      </c>
      <c r="P80" s="11"/>
      <c r="Q80" s="13"/>
      <c r="R80" s="11"/>
      <c r="S80" s="14"/>
      <c r="T80" s="12"/>
      <c r="U80" s="12"/>
      <c r="V80" s="12"/>
      <c r="W80" s="12"/>
      <c r="X80" s="11">
        <v>22</v>
      </c>
      <c r="Y80" s="13">
        <v>1859.55</v>
      </c>
      <c r="Z80" s="11">
        <v>2</v>
      </c>
      <c r="AA80" s="11"/>
      <c r="AB80" s="13"/>
      <c r="AC80" s="11"/>
      <c r="AD80" s="12"/>
      <c r="AE80" s="12"/>
      <c r="AF80" s="11">
        <v>252</v>
      </c>
      <c r="AG80" s="13">
        <v>21111.09</v>
      </c>
      <c r="AH80" s="11">
        <v>8</v>
      </c>
      <c r="AI80" s="11"/>
      <c r="AJ80" s="13"/>
      <c r="AK80" s="11"/>
      <c r="AL80" s="12"/>
      <c r="AM80" s="12"/>
      <c r="AN80" s="11">
        <v>109</v>
      </c>
      <c r="AO80" s="13">
        <v>10088.1</v>
      </c>
      <c r="AP80" s="11">
        <v>8</v>
      </c>
      <c r="AQ80" s="11"/>
      <c r="AR80" s="13"/>
      <c r="AS80" s="11"/>
      <c r="AT80" s="12"/>
      <c r="AU80" s="12"/>
      <c r="AV80" s="11"/>
      <c r="AW80" s="13"/>
      <c r="AX80" s="11"/>
      <c r="AY80" s="11"/>
      <c r="AZ80" s="13"/>
      <c r="BA80" s="11"/>
      <c r="BB80" s="12"/>
      <c r="BC80" s="12"/>
      <c r="BD80" s="11">
        <v>249</v>
      </c>
      <c r="BE80" s="13">
        <v>24987.64</v>
      </c>
      <c r="BF80" s="11">
        <v>8</v>
      </c>
      <c r="BG80" s="11"/>
      <c r="BH80" s="13"/>
      <c r="BI80" s="11"/>
      <c r="BJ80" s="12"/>
      <c r="BK80" s="12"/>
      <c r="BL80" s="11">
        <v>94</v>
      </c>
      <c r="BM80" s="13">
        <v>9122.78</v>
      </c>
      <c r="BN80" s="11">
        <v>8</v>
      </c>
      <c r="BO80" s="11"/>
      <c r="BP80" s="13"/>
      <c r="BQ80" s="11"/>
      <c r="BR80" s="12"/>
      <c r="BS80" s="12"/>
      <c r="BT80" s="11">
        <v>65</v>
      </c>
      <c r="BU80" s="13">
        <v>6509.22</v>
      </c>
      <c r="BV80" s="11">
        <v>8</v>
      </c>
      <c r="BW80" s="11"/>
      <c r="BX80" s="13"/>
      <c r="BY80" s="11"/>
      <c r="BZ80" s="12"/>
      <c r="CA80" s="12"/>
      <c r="CB80" s="11">
        <v>53</v>
      </c>
      <c r="CC80" s="13">
        <v>5210.94</v>
      </c>
      <c r="CD80" s="11">
        <v>8</v>
      </c>
      <c r="CE80" s="11"/>
      <c r="CF80" s="13"/>
      <c r="CG80" s="11"/>
      <c r="CH80" s="12"/>
      <c r="CI80" s="12"/>
      <c r="CJ80" s="11">
        <v>6</v>
      </c>
      <c r="CK80" s="13">
        <v>1569.94</v>
      </c>
      <c r="CL80" s="11">
        <v>8</v>
      </c>
      <c r="CM80" s="11"/>
      <c r="CN80" s="13"/>
      <c r="CO80" s="11"/>
      <c r="CP80" s="12"/>
      <c r="CQ80" s="12"/>
      <c r="CR80" s="11"/>
      <c r="CS80" s="13"/>
      <c r="CT80" s="11"/>
      <c r="CU80" s="11"/>
      <c r="CV80" s="13"/>
      <c r="CW80" s="11"/>
      <c r="CX80" s="12"/>
      <c r="CY80" s="12"/>
      <c r="CZ80" s="11">
        <v>22</v>
      </c>
      <c r="DA80" s="13">
        <v>2198.79</v>
      </c>
      <c r="DB80" s="11">
        <v>4</v>
      </c>
      <c r="DC80" s="11"/>
      <c r="DD80" s="13"/>
      <c r="DE80" s="11"/>
      <c r="DF80" s="12"/>
      <c r="DG80" s="12"/>
      <c r="DH80" s="11"/>
      <c r="DI80" s="13"/>
      <c r="DJ80" s="11"/>
      <c r="DK80" s="11"/>
      <c r="DL80" s="13"/>
      <c r="DM80" s="11"/>
      <c r="DN80" s="12"/>
      <c r="DO80" s="12"/>
      <c r="DP80" s="11">
        <v>11</v>
      </c>
      <c r="DQ80" s="13">
        <v>1077.73</v>
      </c>
      <c r="DR80" s="11">
        <v>8</v>
      </c>
      <c r="DS80" s="11"/>
      <c r="DT80" s="13"/>
      <c r="DU80" s="11"/>
      <c r="DV80" s="12"/>
      <c r="DW80" s="12"/>
      <c r="DX80" s="11"/>
      <c r="DY80" s="13"/>
      <c r="DZ80" s="11"/>
      <c r="EA80" s="11"/>
      <c r="EB80" s="13"/>
      <c r="EC80" s="11"/>
      <c r="ED80" s="12"/>
      <c r="EE80" s="12"/>
      <c r="EF80" s="11"/>
      <c r="EG80" s="13"/>
      <c r="EH80" s="11"/>
      <c r="EI80" s="11"/>
      <c r="EJ80" s="13"/>
      <c r="EK80" s="11"/>
      <c r="EL80" s="12"/>
      <c r="EM80" s="12"/>
      <c r="EN80" s="11"/>
      <c r="EO80" s="13"/>
      <c r="EP80" s="11">
        <v>8</v>
      </c>
      <c r="EQ80" s="11"/>
      <c r="ER80" s="13"/>
      <c r="ES80" s="11"/>
      <c r="ET80" s="12"/>
      <c r="EU80" s="12"/>
      <c r="EV80" s="11"/>
      <c r="EW80" s="13"/>
      <c r="EX80" s="11"/>
      <c r="EY80" s="11"/>
      <c r="EZ80" s="13"/>
      <c r="FA80" s="11"/>
      <c r="FB80" s="12"/>
      <c r="FC80" s="12"/>
      <c r="FD80" s="11"/>
      <c r="FE80" s="13"/>
      <c r="FF80" s="11"/>
      <c r="FG80" s="11"/>
      <c r="FH80" s="13"/>
      <c r="FI80" s="11"/>
      <c r="FJ80" s="12"/>
      <c r="FK80" s="12"/>
      <c r="FL80" s="11"/>
      <c r="FM80" s="13"/>
      <c r="FN80" s="11"/>
      <c r="FO80" s="11"/>
      <c r="FP80" s="13"/>
      <c r="FQ80" s="11"/>
      <c r="FR80" s="12"/>
      <c r="FS80" s="12"/>
      <c r="FT80" s="11">
        <v>1</v>
      </c>
      <c r="FU80" s="13">
        <v>95.18</v>
      </c>
      <c r="FV80" s="11">
        <v>8</v>
      </c>
      <c r="FW80" s="11"/>
      <c r="FX80" s="13"/>
      <c r="FY80" s="11"/>
      <c r="FZ80" s="12"/>
      <c r="GA80" s="12"/>
      <c r="GB80" s="11"/>
      <c r="GC80" s="13"/>
      <c r="GD80" s="11"/>
      <c r="GE80" s="11"/>
      <c r="GF80" s="13"/>
      <c r="GG80" s="11"/>
      <c r="GH80" s="12"/>
      <c r="GI80" s="12"/>
      <c r="GJ80" s="11"/>
      <c r="GK80" s="13"/>
      <c r="GL80" s="11">
        <v>6</v>
      </c>
      <c r="GM80" s="11"/>
      <c r="GN80" s="13"/>
      <c r="GO80" s="11"/>
      <c r="GP80" s="12"/>
      <c r="GQ80" s="12"/>
      <c r="GR80" s="11"/>
      <c r="GS80" s="13"/>
      <c r="GT80" s="11"/>
      <c r="GU80" s="11"/>
      <c r="GV80" s="13"/>
      <c r="GW80" s="11"/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/>
      <c r="HQ80" s="13"/>
      <c r="HR80" s="11"/>
      <c r="HS80" s="11"/>
      <c r="HT80" s="13"/>
      <c r="HU80" s="11"/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/>
      <c r="IQ80" s="11"/>
      <c r="IR80" s="13"/>
      <c r="IS80" s="11"/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/>
      <c r="JR80" s="12"/>
      <c r="JS80" s="12"/>
      <c r="JT80" s="11"/>
      <c r="JU80" s="13"/>
      <c r="JV80" s="11"/>
      <c r="JW80" s="11"/>
      <c r="JX80" s="13"/>
      <c r="JY80" s="11"/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/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  <c r="LH80" s="11"/>
      <c r="LI80" s="13"/>
      <c r="LJ80" s="11"/>
      <c r="LK80" s="11"/>
      <c r="LL80" s="13"/>
      <c r="LM80" s="11"/>
      <c r="LN80" s="12"/>
      <c r="LO80" s="12"/>
      <c r="LP80" s="11"/>
      <c r="LQ80" s="13"/>
      <c r="LR80" s="11"/>
      <c r="LS80" s="11"/>
      <c r="LT80" s="13"/>
      <c r="LU80" s="11"/>
      <c r="LV80" s="12"/>
      <c r="LW80" s="12"/>
    </row>
    <row r="81">
      <c r="A81" s="10" t="s">
        <v>72</v>
      </c>
      <c r="B81" s="10" t="s">
        <v>123</v>
      </c>
      <c r="C81" s="10" t="s">
        <v>77</v>
      </c>
      <c r="D81" s="11">
        <v>10378</v>
      </c>
      <c r="E81" s="11">
        <f>=ROUNDDOWN({0},0)</f>
      </c>
      <c r="F81" s="11">
        <v>11487</v>
      </c>
      <c r="G81" s="12"/>
      <c r="H81" s="11"/>
      <c r="I81" s="11">
        <f>=ROUNDDOWN({0},0)</f>
      </c>
      <c r="J81" s="11">
        <v>350</v>
      </c>
      <c r="K81" s="12"/>
      <c r="L81" s="11">
        <v>6437</v>
      </c>
      <c r="M81" s="13">
        <v>1122737.18</v>
      </c>
      <c r="N81" s="11">
        <v>45</v>
      </c>
      <c r="O81" s="14">
        <v>24949.72</v>
      </c>
      <c r="P81" s="11"/>
      <c r="Q81" s="13"/>
      <c r="R81" s="11"/>
      <c r="S81" s="14"/>
      <c r="T81" s="12"/>
      <c r="U81" s="12"/>
      <c r="V81" s="12"/>
      <c r="W81" s="12"/>
      <c r="X81" s="11">
        <v>759</v>
      </c>
      <c r="Y81" s="13">
        <v>148684</v>
      </c>
      <c r="Z81" s="11">
        <v>26</v>
      </c>
      <c r="AA81" s="11"/>
      <c r="AB81" s="13"/>
      <c r="AC81" s="11"/>
      <c r="AD81" s="12"/>
      <c r="AE81" s="12"/>
      <c r="AF81" s="11">
        <v>1692</v>
      </c>
      <c r="AG81" s="13">
        <v>260366</v>
      </c>
      <c r="AH81" s="11">
        <v>45</v>
      </c>
      <c r="AI81" s="11"/>
      <c r="AJ81" s="13"/>
      <c r="AK81" s="11"/>
      <c r="AL81" s="12"/>
      <c r="AM81" s="12"/>
      <c r="AN81" s="11">
        <v>592</v>
      </c>
      <c r="AO81" s="13">
        <v>103245.83</v>
      </c>
      <c r="AP81" s="11">
        <v>41</v>
      </c>
      <c r="AQ81" s="11"/>
      <c r="AR81" s="13"/>
      <c r="AS81" s="11"/>
      <c r="AT81" s="12"/>
      <c r="AU81" s="12"/>
      <c r="AV81" s="11">
        <v>157</v>
      </c>
      <c r="AW81" s="13">
        <v>31158.84</v>
      </c>
      <c r="AX81" s="11">
        <v>4</v>
      </c>
      <c r="AY81" s="11"/>
      <c r="AZ81" s="13"/>
      <c r="BA81" s="11"/>
      <c r="BB81" s="12"/>
      <c r="BC81" s="12"/>
      <c r="BD81" s="11">
        <v>812</v>
      </c>
      <c r="BE81" s="13">
        <v>133481.62</v>
      </c>
      <c r="BF81" s="11">
        <v>31</v>
      </c>
      <c r="BG81" s="11"/>
      <c r="BH81" s="13"/>
      <c r="BI81" s="11"/>
      <c r="BJ81" s="12"/>
      <c r="BK81" s="12"/>
      <c r="BL81" s="11">
        <v>1357</v>
      </c>
      <c r="BM81" s="13">
        <v>262575.32</v>
      </c>
      <c r="BN81" s="11">
        <v>45</v>
      </c>
      <c r="BO81" s="11"/>
      <c r="BP81" s="13"/>
      <c r="BQ81" s="11"/>
      <c r="BR81" s="12"/>
      <c r="BS81" s="12"/>
      <c r="BT81" s="11">
        <v>642</v>
      </c>
      <c r="BU81" s="13">
        <v>112804.95</v>
      </c>
      <c r="BV81" s="11">
        <v>45</v>
      </c>
      <c r="BW81" s="11"/>
      <c r="BX81" s="13"/>
      <c r="BY81" s="11"/>
      <c r="BZ81" s="12"/>
      <c r="CA81" s="12"/>
      <c r="CB81" s="11">
        <v>244</v>
      </c>
      <c r="CC81" s="13">
        <v>38576.01</v>
      </c>
      <c r="CD81" s="11">
        <v>36</v>
      </c>
      <c r="CE81" s="11"/>
      <c r="CF81" s="13"/>
      <c r="CG81" s="11"/>
      <c r="CH81" s="12"/>
      <c r="CI81" s="12"/>
      <c r="CJ81" s="11">
        <v>39</v>
      </c>
      <c r="CK81" s="13">
        <v>8241.61</v>
      </c>
      <c r="CL81" s="11">
        <v>43</v>
      </c>
      <c r="CM81" s="11"/>
      <c r="CN81" s="13"/>
      <c r="CO81" s="11"/>
      <c r="CP81" s="12"/>
      <c r="CQ81" s="12"/>
      <c r="CR81" s="11"/>
      <c r="CS81" s="13"/>
      <c r="CT81" s="11"/>
      <c r="CU81" s="11"/>
      <c r="CV81" s="13"/>
      <c r="CW81" s="11"/>
      <c r="CX81" s="12"/>
      <c r="CY81" s="12"/>
      <c r="CZ81" s="11">
        <v>22</v>
      </c>
      <c r="DA81" s="13">
        <v>2198.79</v>
      </c>
      <c r="DB81" s="11">
        <v>7</v>
      </c>
      <c r="DC81" s="11"/>
      <c r="DD81" s="13"/>
      <c r="DE81" s="11"/>
      <c r="DF81" s="12"/>
      <c r="DG81" s="12"/>
      <c r="DH81" s="11">
        <v>1</v>
      </c>
      <c r="DI81" s="13">
        <v>180.81</v>
      </c>
      <c r="DJ81" s="11">
        <v>4</v>
      </c>
      <c r="DK81" s="11"/>
      <c r="DL81" s="13"/>
      <c r="DM81" s="11"/>
      <c r="DN81" s="12"/>
      <c r="DO81" s="12"/>
      <c r="DP81" s="11">
        <v>71</v>
      </c>
      <c r="DQ81" s="13">
        <v>10392.3</v>
      </c>
      <c r="DR81" s="11">
        <v>35</v>
      </c>
      <c r="DS81" s="11"/>
      <c r="DT81" s="13"/>
      <c r="DU81" s="11"/>
      <c r="DV81" s="12"/>
      <c r="DW81" s="12"/>
      <c r="DX81" s="11"/>
      <c r="DY81" s="13"/>
      <c r="DZ81" s="11"/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>
        <v>5</v>
      </c>
      <c r="EO81" s="13">
        <v>1831.35</v>
      </c>
      <c r="EP81" s="11">
        <v>45</v>
      </c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/>
      <c r="FE81" s="13"/>
      <c r="FF81" s="11">
        <v>2</v>
      </c>
      <c r="FG81" s="11"/>
      <c r="FH81" s="13"/>
      <c r="FI81" s="11"/>
      <c r="FJ81" s="12"/>
      <c r="FK81" s="12"/>
      <c r="FL81" s="11">
        <v>1</v>
      </c>
      <c r="FM81" s="13">
        <v>193.91</v>
      </c>
      <c r="FN81" s="11">
        <v>9</v>
      </c>
      <c r="FO81" s="11"/>
      <c r="FP81" s="13"/>
      <c r="FQ81" s="11"/>
      <c r="FR81" s="12"/>
      <c r="FS81" s="12"/>
      <c r="FT81" s="11">
        <v>12</v>
      </c>
      <c r="FU81" s="13">
        <v>2269.52</v>
      </c>
      <c r="FV81" s="11">
        <v>30</v>
      </c>
      <c r="FW81" s="11"/>
      <c r="FX81" s="13"/>
      <c r="FY81" s="11"/>
      <c r="FZ81" s="12"/>
      <c r="GA81" s="12"/>
      <c r="GB81" s="11">
        <v>15</v>
      </c>
      <c r="GC81" s="13">
        <v>3338.43</v>
      </c>
      <c r="GD81" s="11">
        <v>6</v>
      </c>
      <c r="GE81" s="11"/>
      <c r="GF81" s="13"/>
      <c r="GG81" s="11"/>
      <c r="GH81" s="12"/>
      <c r="GI81" s="12"/>
      <c r="GJ81" s="11">
        <v>13</v>
      </c>
      <c r="GK81" s="13">
        <v>2578.21</v>
      </c>
      <c r="GL81" s="11">
        <v>18</v>
      </c>
      <c r="GM81" s="11"/>
      <c r="GN81" s="13"/>
      <c r="GO81" s="11"/>
      <c r="GP81" s="12"/>
      <c r="GQ81" s="12"/>
      <c r="GR81" s="11">
        <v>1</v>
      </c>
      <c r="GS81" s="13">
        <v>229.52</v>
      </c>
      <c r="GT81" s="11">
        <v>10</v>
      </c>
      <c r="GU81" s="11"/>
      <c r="GV81" s="13"/>
      <c r="GW81" s="11"/>
      <c r="GX81" s="12"/>
      <c r="GY81" s="12"/>
      <c r="GZ81" s="11">
        <v>2</v>
      </c>
      <c r="HA81" s="13">
        <v>390.16</v>
      </c>
      <c r="HB81" s="11">
        <v>3</v>
      </c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/>
      <c r="HS81" s="11"/>
      <c r="HT81" s="13"/>
      <c r="HU81" s="11"/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>
        <v>4</v>
      </c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/>
      <c r="JW81" s="11"/>
      <c r="JX81" s="13"/>
      <c r="JY81" s="11"/>
      <c r="JZ81" s="12"/>
      <c r="KA81" s="12"/>
      <c r="KB81" s="11"/>
      <c r="KC81" s="13"/>
      <c r="KD81" s="11"/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  <c r="LH81" s="11"/>
      <c r="LI81" s="13"/>
      <c r="LJ81" s="11"/>
      <c r="LK81" s="11"/>
      <c r="LL81" s="13"/>
      <c r="LM81" s="11"/>
      <c r="LN81" s="12"/>
      <c r="LO81" s="12"/>
      <c r="LP81" s="11"/>
      <c r="LQ81" s="13"/>
      <c r="LR81" s="11"/>
      <c r="LS81" s="11"/>
      <c r="LT81" s="13"/>
      <c r="LU81" s="11"/>
      <c r="LV81" s="12"/>
      <c r="LW81" s="12"/>
    </row>
    <row r="82">
      <c r="A82" s="10" t="s">
        <v>72</v>
      </c>
      <c r="B82" s="10" t="s">
        <v>124</v>
      </c>
      <c r="C82" s="10" t="s">
        <v>74</v>
      </c>
      <c r="D82" s="11">
        <v>4609</v>
      </c>
      <c r="E82" s="11">
        <f>=ROUNDDOWN(1.9417762049208,0)</f>
      </c>
      <c r="F82" s="11">
        <v>450</v>
      </c>
      <c r="G82" s="12">
        <v>0.6316</v>
      </c>
      <c r="H82" s="11"/>
      <c r="I82" s="11">
        <f>=ROUNDDOWN({0},0)</f>
      </c>
      <c r="J82" s="11"/>
      <c r="K82" s="12"/>
      <c r="L82" s="11">
        <v>955</v>
      </c>
      <c r="M82" s="13">
        <v>28339.51</v>
      </c>
      <c r="N82" s="11"/>
      <c r="O82" s="14"/>
      <c r="P82" s="11"/>
      <c r="Q82" s="13"/>
      <c r="R82" s="11"/>
      <c r="S82" s="14"/>
      <c r="T82" s="12"/>
      <c r="U82" s="12"/>
      <c r="V82" s="12"/>
      <c r="W82" s="12"/>
      <c r="X82" s="11"/>
      <c r="Y82" s="13"/>
      <c r="Z82" s="11"/>
      <c r="AA82" s="11"/>
      <c r="AB82" s="13"/>
      <c r="AC82" s="11"/>
      <c r="AD82" s="12"/>
      <c r="AE82" s="12"/>
      <c r="AF82" s="11"/>
      <c r="AG82" s="13"/>
      <c r="AH82" s="11"/>
      <c r="AI82" s="11"/>
      <c r="AJ82" s="13"/>
      <c r="AK82" s="11"/>
      <c r="AL82" s="12"/>
      <c r="AM82" s="12"/>
      <c r="AN82" s="11"/>
      <c r="AO82" s="13"/>
      <c r="AP82" s="11"/>
      <c r="AQ82" s="11"/>
      <c r="AR82" s="13"/>
      <c r="AS82" s="11"/>
      <c r="AT82" s="12"/>
      <c r="AU82" s="12"/>
      <c r="AV82" s="11"/>
      <c r="AW82" s="13"/>
      <c r="AX82" s="11"/>
      <c r="AY82" s="11"/>
      <c r="AZ82" s="13"/>
      <c r="BA82" s="11"/>
      <c r="BB82" s="12"/>
      <c r="BC82" s="12"/>
      <c r="BD82" s="11"/>
      <c r="BE82" s="13"/>
      <c r="BF82" s="11"/>
      <c r="BG82" s="11"/>
      <c r="BH82" s="13"/>
      <c r="BI82" s="11"/>
      <c r="BJ82" s="12"/>
      <c r="BK82" s="12"/>
      <c r="BL82" s="11"/>
      <c r="BM82" s="13"/>
      <c r="BN82" s="11"/>
      <c r="BO82" s="11"/>
      <c r="BP82" s="13"/>
      <c r="BQ82" s="11"/>
      <c r="BR82" s="12"/>
      <c r="BS82" s="12"/>
      <c r="BT82" s="11"/>
      <c r="BU82" s="13"/>
      <c r="BV82" s="11"/>
      <c r="BW82" s="11"/>
      <c r="BX82" s="13"/>
      <c r="BY82" s="11"/>
      <c r="BZ82" s="12"/>
      <c r="CA82" s="12"/>
      <c r="CB82" s="11"/>
      <c r="CC82" s="13"/>
      <c r="CD82" s="11"/>
      <c r="CE82" s="11"/>
      <c r="CF82" s="13"/>
      <c r="CG82" s="11"/>
      <c r="CH82" s="12"/>
      <c r="CI82" s="12"/>
      <c r="CJ82" s="11"/>
      <c r="CK82" s="13"/>
      <c r="CL82" s="11"/>
      <c r="CM82" s="11"/>
      <c r="CN82" s="13"/>
      <c r="CO82" s="11"/>
      <c r="CP82" s="12"/>
      <c r="CQ82" s="12"/>
      <c r="CR82" s="11"/>
      <c r="CS82" s="13"/>
      <c r="CT82" s="11"/>
      <c r="CU82" s="11"/>
      <c r="CV82" s="13"/>
      <c r="CW82" s="11"/>
      <c r="CX82" s="12"/>
      <c r="CY82" s="12"/>
      <c r="CZ82" s="11"/>
      <c r="DA82" s="13"/>
      <c r="DB82" s="11"/>
      <c r="DC82" s="11"/>
      <c r="DD82" s="13"/>
      <c r="DE82" s="11"/>
      <c r="DF82" s="12"/>
      <c r="DG82" s="12"/>
      <c r="DH82" s="11"/>
      <c r="DI82" s="13"/>
      <c r="DJ82" s="11"/>
      <c r="DK82" s="11"/>
      <c r="DL82" s="13"/>
      <c r="DM82" s="11"/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/>
      <c r="DY82" s="13"/>
      <c r="DZ82" s="11"/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>
        <v>955</v>
      </c>
      <c r="EW82" s="13">
        <v>28339.51</v>
      </c>
      <c r="EX82" s="11"/>
      <c r="EY82" s="11"/>
      <c r="EZ82" s="13"/>
      <c r="FA82" s="11"/>
      <c r="FB82" s="12"/>
      <c r="FC82" s="12"/>
      <c r="FD82" s="11"/>
      <c r="FE82" s="13"/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/>
      <c r="GM82" s="11"/>
      <c r="GN82" s="13"/>
      <c r="GO82" s="11"/>
      <c r="GP82" s="12"/>
      <c r="GQ82" s="12"/>
      <c r="GR82" s="11"/>
      <c r="GS82" s="13"/>
      <c r="GT82" s="11"/>
      <c r="GU82" s="11"/>
      <c r="GV82" s="13"/>
      <c r="GW82" s="11"/>
      <c r="GX82" s="12"/>
      <c r="GY82" s="12"/>
      <c r="GZ82" s="11"/>
      <c r="HA82" s="13"/>
      <c r="HB82" s="11"/>
      <c r="HC82" s="11"/>
      <c r="HD82" s="13"/>
      <c r="HE82" s="11"/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/>
      <c r="HS82" s="11"/>
      <c r="HT82" s="13"/>
      <c r="HU82" s="11"/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/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/>
      <c r="JP82" s="13"/>
      <c r="JQ82" s="11"/>
      <c r="JR82" s="12"/>
      <c r="JS82" s="12"/>
      <c r="JT82" s="11"/>
      <c r="JU82" s="13"/>
      <c r="JV82" s="11"/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  <c r="LH82" s="11"/>
      <c r="LI82" s="13"/>
      <c r="LJ82" s="11"/>
      <c r="LK82" s="11"/>
      <c r="LL82" s="13"/>
      <c r="LM82" s="11"/>
      <c r="LN82" s="12"/>
      <c r="LO82" s="12"/>
      <c r="LP82" s="11"/>
      <c r="LQ82" s="13"/>
      <c r="LR82" s="11"/>
      <c r="LS82" s="11"/>
      <c r="LT82" s="13"/>
      <c r="LU82" s="11"/>
      <c r="LV82" s="12"/>
      <c r="LW82" s="12"/>
    </row>
    <row r="83">
      <c r="A83" s="10" t="s">
        <v>72</v>
      </c>
      <c r="B83" s="10" t="s">
        <v>124</v>
      </c>
      <c r="C83" s="10" t="s">
        <v>118</v>
      </c>
      <c r="D83" s="11">
        <v>315</v>
      </c>
      <c r="E83" s="11">
        <f>=ROUNDDOWN(0.926198177006763,0)</f>
      </c>
      <c r="F83" s="11"/>
      <c r="G83" s="12">
        <v>0.5788</v>
      </c>
      <c r="H83" s="11"/>
      <c r="I83" s="11">
        <f>=ROUNDDOWN({0},0)</f>
      </c>
      <c r="J83" s="11"/>
      <c r="K83" s="12"/>
      <c r="L83" s="11">
        <v>35</v>
      </c>
      <c r="M83" s="13">
        <v>728.7</v>
      </c>
      <c r="N83" s="11"/>
      <c r="O83" s="14"/>
      <c r="P83" s="11"/>
      <c r="Q83" s="13"/>
      <c r="R83" s="11"/>
      <c r="S83" s="14"/>
      <c r="T83" s="12"/>
      <c r="U83" s="12"/>
      <c r="V83" s="12"/>
      <c r="W83" s="12"/>
      <c r="X83" s="11"/>
      <c r="Y83" s="13"/>
      <c r="Z83" s="11"/>
      <c r="AA83" s="11"/>
      <c r="AB83" s="13"/>
      <c r="AC83" s="11"/>
      <c r="AD83" s="12"/>
      <c r="AE83" s="12"/>
      <c r="AF83" s="11"/>
      <c r="AG83" s="13"/>
      <c r="AH83" s="11"/>
      <c r="AI83" s="11"/>
      <c r="AJ83" s="13"/>
      <c r="AK83" s="11"/>
      <c r="AL83" s="12"/>
      <c r="AM83" s="12"/>
      <c r="AN83" s="11"/>
      <c r="AO83" s="13"/>
      <c r="AP83" s="11"/>
      <c r="AQ83" s="11"/>
      <c r="AR83" s="13"/>
      <c r="AS83" s="11"/>
      <c r="AT83" s="12"/>
      <c r="AU83" s="12"/>
      <c r="AV83" s="11"/>
      <c r="AW83" s="13"/>
      <c r="AX83" s="11"/>
      <c r="AY83" s="11"/>
      <c r="AZ83" s="13"/>
      <c r="BA83" s="11"/>
      <c r="BB83" s="12"/>
      <c r="BC83" s="12"/>
      <c r="BD83" s="11"/>
      <c r="BE83" s="13"/>
      <c r="BF83" s="11"/>
      <c r="BG83" s="11"/>
      <c r="BH83" s="13"/>
      <c r="BI83" s="11"/>
      <c r="BJ83" s="12"/>
      <c r="BK83" s="12"/>
      <c r="BL83" s="11"/>
      <c r="BM83" s="13"/>
      <c r="BN83" s="11"/>
      <c r="BO83" s="11"/>
      <c r="BP83" s="13"/>
      <c r="BQ83" s="11"/>
      <c r="BR83" s="12"/>
      <c r="BS83" s="12"/>
      <c r="BT83" s="11"/>
      <c r="BU83" s="13"/>
      <c r="BV83" s="11"/>
      <c r="BW83" s="11"/>
      <c r="BX83" s="13"/>
      <c r="BY83" s="11"/>
      <c r="BZ83" s="12"/>
      <c r="CA83" s="12"/>
      <c r="CB83" s="11"/>
      <c r="CC83" s="13"/>
      <c r="CD83" s="11"/>
      <c r="CE83" s="11"/>
      <c r="CF83" s="13"/>
      <c r="CG83" s="11"/>
      <c r="CH83" s="12"/>
      <c r="CI83" s="12"/>
      <c r="CJ83" s="11"/>
      <c r="CK83" s="13"/>
      <c r="CL83" s="11"/>
      <c r="CM83" s="11"/>
      <c r="CN83" s="13"/>
      <c r="CO83" s="11"/>
      <c r="CP83" s="12"/>
      <c r="CQ83" s="12"/>
      <c r="CR83" s="11"/>
      <c r="CS83" s="13"/>
      <c r="CT83" s="11"/>
      <c r="CU83" s="11"/>
      <c r="CV83" s="13"/>
      <c r="CW83" s="11"/>
      <c r="CX83" s="12"/>
      <c r="CY83" s="12"/>
      <c r="CZ83" s="11"/>
      <c r="DA83" s="13"/>
      <c r="DB83" s="11"/>
      <c r="DC83" s="11"/>
      <c r="DD83" s="13"/>
      <c r="DE83" s="11"/>
      <c r="DF83" s="12"/>
      <c r="DG83" s="12"/>
      <c r="DH83" s="11"/>
      <c r="DI83" s="13"/>
      <c r="DJ83" s="11"/>
      <c r="DK83" s="11"/>
      <c r="DL83" s="13"/>
      <c r="DM83" s="11"/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>
        <v>25</v>
      </c>
      <c r="EW83" s="13">
        <v>521.36</v>
      </c>
      <c r="EX83" s="11"/>
      <c r="EY83" s="11"/>
      <c r="EZ83" s="13"/>
      <c r="FA83" s="11"/>
      <c r="FB83" s="12"/>
      <c r="FC83" s="12"/>
      <c r="FD83" s="11"/>
      <c r="FE83" s="13"/>
      <c r="FF83" s="11"/>
      <c r="FG83" s="11"/>
      <c r="FH83" s="13"/>
      <c r="FI83" s="11"/>
      <c r="FJ83" s="12"/>
      <c r="FK83" s="12"/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/>
      <c r="GM83" s="11"/>
      <c r="GN83" s="13"/>
      <c r="GO83" s="11"/>
      <c r="GP83" s="12"/>
      <c r="GQ83" s="12"/>
      <c r="GR83" s="11"/>
      <c r="GS83" s="13"/>
      <c r="GT83" s="11"/>
      <c r="GU83" s="11"/>
      <c r="GV83" s="13"/>
      <c r="GW83" s="11"/>
      <c r="GX83" s="12"/>
      <c r="GY83" s="12"/>
      <c r="GZ83" s="11"/>
      <c r="HA83" s="13"/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/>
      <c r="HS83" s="11"/>
      <c r="HT83" s="13"/>
      <c r="HU83" s="11"/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/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/>
      <c r="JP83" s="13"/>
      <c r="JQ83" s="11"/>
      <c r="JR83" s="12"/>
      <c r="JS83" s="12"/>
      <c r="JT83" s="11"/>
      <c r="JU83" s="13"/>
      <c r="JV83" s="11"/>
      <c r="JW83" s="11"/>
      <c r="JX83" s="13"/>
      <c r="JY83" s="11"/>
      <c r="JZ83" s="12"/>
      <c r="KA83" s="12"/>
      <c r="KB83" s="11">
        <v>10</v>
      </c>
      <c r="KC83" s="13">
        <v>207.34</v>
      </c>
      <c r="KD83" s="11"/>
      <c r="KE83" s="11"/>
      <c r="KF83" s="13"/>
      <c r="KG83" s="11"/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  <c r="LH83" s="11"/>
      <c r="LI83" s="13"/>
      <c r="LJ83" s="11"/>
      <c r="LK83" s="11"/>
      <c r="LL83" s="13"/>
      <c r="LM83" s="11"/>
      <c r="LN83" s="12"/>
      <c r="LO83" s="12"/>
      <c r="LP83" s="11"/>
      <c r="LQ83" s="13"/>
      <c r="LR83" s="11"/>
      <c r="LS83" s="11"/>
      <c r="LT83" s="13"/>
      <c r="LU83" s="11"/>
      <c r="LV83" s="12"/>
      <c r="LW83" s="12"/>
    </row>
    <row r="84">
      <c r="A84" s="10" t="s">
        <v>72</v>
      </c>
      <c r="B84" s="10" t="s">
        <v>125</v>
      </c>
      <c r="C84" s="10" t="s">
        <v>77</v>
      </c>
      <c r="D84" s="11">
        <v>4924</v>
      </c>
      <c r="E84" s="11">
        <f>=ROUNDDOWN({0},0)</f>
      </c>
      <c r="F84" s="11">
        <v>450</v>
      </c>
      <c r="G84" s="12"/>
      <c r="H84" s="11"/>
      <c r="I84" s="11">
        <f>=ROUNDDOWN({0},0)</f>
      </c>
      <c r="J84" s="11"/>
      <c r="K84" s="12"/>
      <c r="L84" s="11">
        <v>990</v>
      </c>
      <c r="M84" s="13">
        <v>29068.21</v>
      </c>
      <c r="N84" s="11"/>
      <c r="O84" s="14"/>
      <c r="P84" s="11"/>
      <c r="Q84" s="13"/>
      <c r="R84" s="11"/>
      <c r="S84" s="14"/>
      <c r="T84" s="12"/>
      <c r="U84" s="12"/>
      <c r="V84" s="12"/>
      <c r="W84" s="12"/>
      <c r="X84" s="11"/>
      <c r="Y84" s="13"/>
      <c r="Z84" s="11"/>
      <c r="AA84" s="11"/>
      <c r="AB84" s="13"/>
      <c r="AC84" s="11"/>
      <c r="AD84" s="12"/>
      <c r="AE84" s="12"/>
      <c r="AF84" s="11"/>
      <c r="AG84" s="13"/>
      <c r="AH84" s="11"/>
      <c r="AI84" s="11"/>
      <c r="AJ84" s="13"/>
      <c r="AK84" s="11"/>
      <c r="AL84" s="12"/>
      <c r="AM84" s="12"/>
      <c r="AN84" s="11"/>
      <c r="AO84" s="13"/>
      <c r="AP84" s="11"/>
      <c r="AQ84" s="11"/>
      <c r="AR84" s="13"/>
      <c r="AS84" s="11"/>
      <c r="AT84" s="12"/>
      <c r="AU84" s="12"/>
      <c r="AV84" s="11"/>
      <c r="AW84" s="13"/>
      <c r="AX84" s="11"/>
      <c r="AY84" s="11"/>
      <c r="AZ84" s="13"/>
      <c r="BA84" s="11"/>
      <c r="BB84" s="12"/>
      <c r="BC84" s="12"/>
      <c r="BD84" s="11"/>
      <c r="BE84" s="13"/>
      <c r="BF84" s="11"/>
      <c r="BG84" s="11"/>
      <c r="BH84" s="13"/>
      <c r="BI84" s="11"/>
      <c r="BJ84" s="12"/>
      <c r="BK84" s="12"/>
      <c r="BL84" s="11"/>
      <c r="BM84" s="13"/>
      <c r="BN84" s="11"/>
      <c r="BO84" s="11"/>
      <c r="BP84" s="13"/>
      <c r="BQ84" s="11"/>
      <c r="BR84" s="12"/>
      <c r="BS84" s="12"/>
      <c r="BT84" s="11"/>
      <c r="BU84" s="13"/>
      <c r="BV84" s="11"/>
      <c r="BW84" s="11"/>
      <c r="BX84" s="13"/>
      <c r="BY84" s="11"/>
      <c r="BZ84" s="12"/>
      <c r="CA84" s="12"/>
      <c r="CB84" s="11"/>
      <c r="CC84" s="13"/>
      <c r="CD84" s="11"/>
      <c r="CE84" s="11"/>
      <c r="CF84" s="13"/>
      <c r="CG84" s="11"/>
      <c r="CH84" s="12"/>
      <c r="CI84" s="12"/>
      <c r="CJ84" s="11"/>
      <c r="CK84" s="13"/>
      <c r="CL84" s="11"/>
      <c r="CM84" s="11"/>
      <c r="CN84" s="13"/>
      <c r="CO84" s="11"/>
      <c r="CP84" s="12"/>
      <c r="CQ84" s="12"/>
      <c r="CR84" s="11"/>
      <c r="CS84" s="13"/>
      <c r="CT84" s="11"/>
      <c r="CU84" s="11"/>
      <c r="CV84" s="13"/>
      <c r="CW84" s="11"/>
      <c r="CX84" s="12"/>
      <c r="CY84" s="12"/>
      <c r="CZ84" s="11"/>
      <c r="DA84" s="13"/>
      <c r="DB84" s="11"/>
      <c r="DC84" s="11"/>
      <c r="DD84" s="13"/>
      <c r="DE84" s="11"/>
      <c r="DF84" s="12"/>
      <c r="DG84" s="12"/>
      <c r="DH84" s="11"/>
      <c r="DI84" s="13"/>
      <c r="DJ84" s="11"/>
      <c r="DK84" s="11"/>
      <c r="DL84" s="13"/>
      <c r="DM84" s="11"/>
      <c r="DN84" s="12"/>
      <c r="DO84" s="12"/>
      <c r="DP84" s="11"/>
      <c r="DQ84" s="13"/>
      <c r="DR84" s="11"/>
      <c r="DS84" s="11"/>
      <c r="DT84" s="13"/>
      <c r="DU84" s="11"/>
      <c r="DV84" s="12"/>
      <c r="DW84" s="12"/>
      <c r="DX84" s="11"/>
      <c r="DY84" s="13"/>
      <c r="DZ84" s="11"/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>
        <v>980</v>
      </c>
      <c r="EW84" s="13">
        <v>28860.87</v>
      </c>
      <c r="EX84" s="11"/>
      <c r="EY84" s="11"/>
      <c r="EZ84" s="13"/>
      <c r="FA84" s="11"/>
      <c r="FB84" s="12"/>
      <c r="FC84" s="12"/>
      <c r="FD84" s="11"/>
      <c r="FE84" s="13"/>
      <c r="FF84" s="11"/>
      <c r="FG84" s="11"/>
      <c r="FH84" s="13"/>
      <c r="FI84" s="11"/>
      <c r="FJ84" s="12"/>
      <c r="FK84" s="12"/>
      <c r="FL84" s="11"/>
      <c r="FM84" s="13"/>
      <c r="FN84" s="11"/>
      <c r="FO84" s="11"/>
      <c r="FP84" s="13"/>
      <c r="FQ84" s="11"/>
      <c r="FR84" s="12"/>
      <c r="FS84" s="12"/>
      <c r="FT84" s="11"/>
      <c r="FU84" s="13"/>
      <c r="FV84" s="11"/>
      <c r="FW84" s="11"/>
      <c r="FX84" s="13"/>
      <c r="FY84" s="11"/>
      <c r="FZ84" s="12"/>
      <c r="GA84" s="12"/>
      <c r="GB84" s="11"/>
      <c r="GC84" s="13"/>
      <c r="GD84" s="11"/>
      <c r="GE84" s="11"/>
      <c r="GF84" s="13"/>
      <c r="GG84" s="11"/>
      <c r="GH84" s="12"/>
      <c r="GI84" s="12"/>
      <c r="GJ84" s="11"/>
      <c r="GK84" s="13"/>
      <c r="GL84" s="11"/>
      <c r="GM84" s="11"/>
      <c r="GN84" s="13"/>
      <c r="GO84" s="11"/>
      <c r="GP84" s="12"/>
      <c r="GQ84" s="12"/>
      <c r="GR84" s="11"/>
      <c r="GS84" s="13"/>
      <c r="GT84" s="11"/>
      <c r="GU84" s="11"/>
      <c r="GV84" s="13"/>
      <c r="GW84" s="11"/>
      <c r="GX84" s="12"/>
      <c r="GY84" s="12"/>
      <c r="GZ84" s="11"/>
      <c r="HA84" s="13"/>
      <c r="HB84" s="11"/>
      <c r="HC84" s="11"/>
      <c r="HD84" s="13"/>
      <c r="HE84" s="11"/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/>
      <c r="HS84" s="11"/>
      <c r="HT84" s="13"/>
      <c r="HU84" s="11"/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/>
      <c r="IQ84" s="11"/>
      <c r="IR84" s="13"/>
      <c r="IS84" s="11"/>
      <c r="IT84" s="12"/>
      <c r="IU84" s="12"/>
      <c r="IV84" s="11"/>
      <c r="IW84" s="13"/>
      <c r="IX84" s="11"/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/>
      <c r="JO84" s="11"/>
      <c r="JP84" s="13"/>
      <c r="JQ84" s="11"/>
      <c r="JR84" s="12"/>
      <c r="JS84" s="12"/>
      <c r="JT84" s="11"/>
      <c r="JU84" s="13"/>
      <c r="JV84" s="11"/>
      <c r="JW84" s="11"/>
      <c r="JX84" s="13"/>
      <c r="JY84" s="11"/>
      <c r="JZ84" s="12"/>
      <c r="KA84" s="12"/>
      <c r="KB84" s="11">
        <v>10</v>
      </c>
      <c r="KC84" s="13">
        <v>207.34</v>
      </c>
      <c r="KD84" s="11"/>
      <c r="KE84" s="11"/>
      <c r="KF84" s="13"/>
      <c r="KG84" s="11"/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  <c r="LH84" s="11"/>
      <c r="LI84" s="13"/>
      <c r="LJ84" s="11"/>
      <c r="LK84" s="11"/>
      <c r="LL84" s="13"/>
      <c r="LM84" s="11"/>
      <c r="LN84" s="12"/>
      <c r="LO84" s="12"/>
      <c r="LP84" s="11"/>
      <c r="LQ84" s="13"/>
      <c r="LR84" s="11"/>
      <c r="LS84" s="11"/>
      <c r="LT84" s="13"/>
      <c r="LU84" s="11"/>
      <c r="LV84" s="12"/>
      <c r="LW84" s="12"/>
    </row>
    <row r="85">
      <c r="A85" s="10" t="s">
        <v>72</v>
      </c>
      <c r="B85" s="10" t="s">
        <v>126</v>
      </c>
      <c r="C85" s="10" t="s">
        <v>92</v>
      </c>
      <c r="D85" s="11">
        <v>919</v>
      </c>
      <c r="E85" s="11">
        <f>=ROUNDDOWN(46.1809045226131,0)</f>
      </c>
      <c r="F85" s="11"/>
      <c r="G85" s="12">
        <v>1</v>
      </c>
      <c r="H85" s="11"/>
      <c r="I85" s="11">
        <f>=ROUNDDOWN({0},0)</f>
      </c>
      <c r="J85" s="11"/>
      <c r="K85" s="12"/>
      <c r="L85" s="11">
        <v>193</v>
      </c>
      <c r="M85" s="13">
        <v>3973.91</v>
      </c>
      <c r="N85" s="11">
        <v>5</v>
      </c>
      <c r="O85" s="14">
        <v>794.78</v>
      </c>
      <c r="P85" s="11"/>
      <c r="Q85" s="13"/>
      <c r="R85" s="11"/>
      <c r="S85" s="14"/>
      <c r="T85" s="12"/>
      <c r="U85" s="12"/>
      <c r="V85" s="12"/>
      <c r="W85" s="12"/>
      <c r="X85" s="11"/>
      <c r="Y85" s="13"/>
      <c r="Z85" s="11">
        <v>5</v>
      </c>
      <c r="AA85" s="11"/>
      <c r="AB85" s="13"/>
      <c r="AC85" s="11"/>
      <c r="AD85" s="12"/>
      <c r="AE85" s="12"/>
      <c r="AF85" s="11">
        <v>41</v>
      </c>
      <c r="AG85" s="13">
        <v>748.3</v>
      </c>
      <c r="AH85" s="11">
        <v>5</v>
      </c>
      <c r="AI85" s="11"/>
      <c r="AJ85" s="13"/>
      <c r="AK85" s="11"/>
      <c r="AL85" s="12"/>
      <c r="AM85" s="12"/>
      <c r="AN85" s="11">
        <v>6</v>
      </c>
      <c r="AO85" s="13">
        <v>136.14</v>
      </c>
      <c r="AP85" s="11">
        <v>5</v>
      </c>
      <c r="AQ85" s="11"/>
      <c r="AR85" s="13"/>
      <c r="AS85" s="11"/>
      <c r="AT85" s="12"/>
      <c r="AU85" s="12"/>
      <c r="AV85" s="11"/>
      <c r="AW85" s="13"/>
      <c r="AX85" s="11"/>
      <c r="AY85" s="11"/>
      <c r="AZ85" s="13"/>
      <c r="BA85" s="11"/>
      <c r="BB85" s="12"/>
      <c r="BC85" s="12"/>
      <c r="BD85" s="11">
        <v>37</v>
      </c>
      <c r="BE85" s="13">
        <v>737.97</v>
      </c>
      <c r="BF85" s="11">
        <v>5</v>
      </c>
      <c r="BG85" s="11"/>
      <c r="BH85" s="13"/>
      <c r="BI85" s="11"/>
      <c r="BJ85" s="12"/>
      <c r="BK85" s="12"/>
      <c r="BL85" s="11">
        <v>52</v>
      </c>
      <c r="BM85" s="13">
        <v>1148.64</v>
      </c>
      <c r="BN85" s="11">
        <v>5</v>
      </c>
      <c r="BO85" s="11"/>
      <c r="BP85" s="13"/>
      <c r="BQ85" s="11"/>
      <c r="BR85" s="12"/>
      <c r="BS85" s="12"/>
      <c r="BT85" s="11">
        <v>31</v>
      </c>
      <c r="BU85" s="13">
        <v>565.41</v>
      </c>
      <c r="BV85" s="11">
        <v>5</v>
      </c>
      <c r="BW85" s="11"/>
      <c r="BX85" s="13"/>
      <c r="BY85" s="11"/>
      <c r="BZ85" s="12"/>
      <c r="CA85" s="12"/>
      <c r="CB85" s="11">
        <v>9</v>
      </c>
      <c r="CC85" s="13">
        <v>170.64</v>
      </c>
      <c r="CD85" s="11">
        <v>5</v>
      </c>
      <c r="CE85" s="11"/>
      <c r="CF85" s="13"/>
      <c r="CG85" s="11"/>
      <c r="CH85" s="12"/>
      <c r="CI85" s="12"/>
      <c r="CJ85" s="11">
        <v>7</v>
      </c>
      <c r="CK85" s="13">
        <v>279.93</v>
      </c>
      <c r="CL85" s="11">
        <v>5</v>
      </c>
      <c r="CM85" s="11"/>
      <c r="CN85" s="13"/>
      <c r="CO85" s="11"/>
      <c r="CP85" s="12"/>
      <c r="CQ85" s="12"/>
      <c r="CR85" s="11"/>
      <c r="CS85" s="13"/>
      <c r="CT85" s="11"/>
      <c r="CU85" s="11"/>
      <c r="CV85" s="13"/>
      <c r="CW85" s="11"/>
      <c r="CX85" s="12"/>
      <c r="CY85" s="12"/>
      <c r="CZ85" s="11"/>
      <c r="DA85" s="13"/>
      <c r="DB85" s="11"/>
      <c r="DC85" s="11"/>
      <c r="DD85" s="13"/>
      <c r="DE85" s="11"/>
      <c r="DF85" s="12"/>
      <c r="DG85" s="12"/>
      <c r="DH85" s="11">
        <v>6</v>
      </c>
      <c r="DI85" s="13">
        <v>111.72</v>
      </c>
      <c r="DJ85" s="11">
        <v>4</v>
      </c>
      <c r="DK85" s="11"/>
      <c r="DL85" s="13"/>
      <c r="DM85" s="11"/>
      <c r="DN85" s="12"/>
      <c r="DO85" s="12"/>
      <c r="DP85" s="11">
        <v>3</v>
      </c>
      <c r="DQ85" s="13">
        <v>55.29</v>
      </c>
      <c r="DR85" s="11">
        <v>5</v>
      </c>
      <c r="DS85" s="11"/>
      <c r="DT85" s="13"/>
      <c r="DU85" s="11"/>
      <c r="DV85" s="12"/>
      <c r="DW85" s="12"/>
      <c r="DX85" s="11"/>
      <c r="DY85" s="13"/>
      <c r="DZ85" s="11"/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>
        <v>5</v>
      </c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/>
      <c r="FE85" s="13"/>
      <c r="FF85" s="11"/>
      <c r="FG85" s="11"/>
      <c r="FH85" s="13"/>
      <c r="FI85" s="11"/>
      <c r="FJ85" s="12"/>
      <c r="FK85" s="12"/>
      <c r="FL85" s="11"/>
      <c r="FM85" s="13"/>
      <c r="FN85" s="11"/>
      <c r="FO85" s="11"/>
      <c r="FP85" s="13"/>
      <c r="FQ85" s="11"/>
      <c r="FR85" s="12"/>
      <c r="FS85" s="12"/>
      <c r="FT85" s="11"/>
      <c r="FU85" s="13"/>
      <c r="FV85" s="11"/>
      <c r="FW85" s="11"/>
      <c r="FX85" s="13"/>
      <c r="FY85" s="11"/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/>
      <c r="GK85" s="13"/>
      <c r="GL85" s="11"/>
      <c r="GM85" s="11"/>
      <c r="GN85" s="13"/>
      <c r="GO85" s="11"/>
      <c r="GP85" s="12"/>
      <c r="GQ85" s="12"/>
      <c r="GR85" s="11"/>
      <c r="GS85" s="13"/>
      <c r="GT85" s="11">
        <v>1</v>
      </c>
      <c r="GU85" s="11"/>
      <c r="GV85" s="13"/>
      <c r="GW85" s="11"/>
      <c r="GX85" s="12"/>
      <c r="GY85" s="12"/>
      <c r="GZ85" s="11">
        <v>1</v>
      </c>
      <c r="HA85" s="13">
        <v>19.87</v>
      </c>
      <c r="HB85" s="11">
        <v>3</v>
      </c>
      <c r="HC85" s="11"/>
      <c r="HD85" s="13"/>
      <c r="HE85" s="11"/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/>
      <c r="HS85" s="11"/>
      <c r="HT85" s="13"/>
      <c r="HU85" s="11"/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/>
      <c r="IQ85" s="11"/>
      <c r="IR85" s="13"/>
      <c r="IS85" s="11"/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>
        <v>2</v>
      </c>
      <c r="JO85" s="11"/>
      <c r="JP85" s="13"/>
      <c r="JQ85" s="11"/>
      <c r="JR85" s="12"/>
      <c r="JS85" s="12"/>
      <c r="JT85" s="11"/>
      <c r="JU85" s="13"/>
      <c r="JV85" s="11">
        <v>5</v>
      </c>
      <c r="JW85" s="11"/>
      <c r="JX85" s="13"/>
      <c r="JY85" s="11"/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/>
      <c r="KM85" s="11"/>
      <c r="KN85" s="13"/>
      <c r="KO85" s="11"/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  <c r="LH85" s="11"/>
      <c r="LI85" s="13"/>
      <c r="LJ85" s="11"/>
      <c r="LK85" s="11"/>
      <c r="LL85" s="13"/>
      <c r="LM85" s="11"/>
      <c r="LN85" s="12"/>
      <c r="LO85" s="12"/>
      <c r="LP85" s="11"/>
      <c r="LQ85" s="13"/>
      <c r="LR85" s="11"/>
      <c r="LS85" s="11"/>
      <c r="LT85" s="13"/>
      <c r="LU85" s="11"/>
      <c r="LV85" s="12"/>
      <c r="LW85" s="12"/>
    </row>
    <row r="86">
      <c r="A86" s="10" t="s">
        <v>72</v>
      </c>
      <c r="B86" s="10" t="s">
        <v>126</v>
      </c>
      <c r="C86" s="10" t="s">
        <v>74</v>
      </c>
      <c r="D86" s="11">
        <v>1802</v>
      </c>
      <c r="E86" s="11">
        <f>=ROUNDDOWN(30.0333333333333,0)</f>
      </c>
      <c r="F86" s="11">
        <v>490</v>
      </c>
      <c r="G86" s="12">
        <v>0.9837</v>
      </c>
      <c r="H86" s="11"/>
      <c r="I86" s="11">
        <f>=ROUNDDOWN({0},0)</f>
      </c>
      <c r="J86" s="11"/>
      <c r="K86" s="12"/>
      <c r="L86" s="11">
        <v>732</v>
      </c>
      <c r="M86" s="13">
        <v>66928.96</v>
      </c>
      <c r="N86" s="11">
        <v>12</v>
      </c>
      <c r="O86" s="14">
        <v>5577.41</v>
      </c>
      <c r="P86" s="11"/>
      <c r="Q86" s="13"/>
      <c r="R86" s="11"/>
      <c r="S86" s="14"/>
      <c r="T86" s="12"/>
      <c r="U86" s="12"/>
      <c r="V86" s="12"/>
      <c r="W86" s="12"/>
      <c r="X86" s="11">
        <v>20</v>
      </c>
      <c r="Y86" s="13">
        <v>2027.84</v>
      </c>
      <c r="Z86" s="11">
        <v>6</v>
      </c>
      <c r="AA86" s="11"/>
      <c r="AB86" s="13"/>
      <c r="AC86" s="11"/>
      <c r="AD86" s="12"/>
      <c r="AE86" s="12"/>
      <c r="AF86" s="11">
        <v>178</v>
      </c>
      <c r="AG86" s="13">
        <v>14304.07</v>
      </c>
      <c r="AH86" s="11">
        <v>12</v>
      </c>
      <c r="AI86" s="11"/>
      <c r="AJ86" s="13"/>
      <c r="AK86" s="11"/>
      <c r="AL86" s="12"/>
      <c r="AM86" s="12"/>
      <c r="AN86" s="11">
        <v>74</v>
      </c>
      <c r="AO86" s="13">
        <v>6591.37</v>
      </c>
      <c r="AP86" s="11">
        <v>12</v>
      </c>
      <c r="AQ86" s="11"/>
      <c r="AR86" s="13"/>
      <c r="AS86" s="11"/>
      <c r="AT86" s="12"/>
      <c r="AU86" s="12"/>
      <c r="AV86" s="11"/>
      <c r="AW86" s="13"/>
      <c r="AX86" s="11"/>
      <c r="AY86" s="11"/>
      <c r="AZ86" s="13"/>
      <c r="BA86" s="11"/>
      <c r="BB86" s="12"/>
      <c r="BC86" s="12"/>
      <c r="BD86" s="11">
        <v>122</v>
      </c>
      <c r="BE86" s="13">
        <v>11439.08</v>
      </c>
      <c r="BF86" s="11">
        <v>12</v>
      </c>
      <c r="BG86" s="11"/>
      <c r="BH86" s="13"/>
      <c r="BI86" s="11"/>
      <c r="BJ86" s="12"/>
      <c r="BK86" s="12"/>
      <c r="BL86" s="11">
        <v>154</v>
      </c>
      <c r="BM86" s="13">
        <v>14777.37</v>
      </c>
      <c r="BN86" s="11">
        <v>12</v>
      </c>
      <c r="BO86" s="11"/>
      <c r="BP86" s="13"/>
      <c r="BQ86" s="11"/>
      <c r="BR86" s="12"/>
      <c r="BS86" s="12"/>
      <c r="BT86" s="11">
        <v>85</v>
      </c>
      <c r="BU86" s="13">
        <v>8004.92</v>
      </c>
      <c r="BV86" s="11">
        <v>12</v>
      </c>
      <c r="BW86" s="11"/>
      <c r="BX86" s="13"/>
      <c r="BY86" s="11"/>
      <c r="BZ86" s="12"/>
      <c r="CA86" s="12"/>
      <c r="CB86" s="11">
        <v>70</v>
      </c>
      <c r="CC86" s="13">
        <v>6659.82</v>
      </c>
      <c r="CD86" s="11">
        <v>12</v>
      </c>
      <c r="CE86" s="11"/>
      <c r="CF86" s="13"/>
      <c r="CG86" s="11"/>
      <c r="CH86" s="12"/>
      <c r="CI86" s="12"/>
      <c r="CJ86" s="11">
        <v>2</v>
      </c>
      <c r="CK86" s="13">
        <v>319.98</v>
      </c>
      <c r="CL86" s="11">
        <v>4</v>
      </c>
      <c r="CM86" s="11"/>
      <c r="CN86" s="13"/>
      <c r="CO86" s="11"/>
      <c r="CP86" s="12"/>
      <c r="CQ86" s="12"/>
      <c r="CR86" s="11"/>
      <c r="CS86" s="13"/>
      <c r="CT86" s="11"/>
      <c r="CU86" s="11"/>
      <c r="CV86" s="13"/>
      <c r="CW86" s="11"/>
      <c r="CX86" s="12"/>
      <c r="CY86" s="12"/>
      <c r="CZ86" s="11"/>
      <c r="DA86" s="13"/>
      <c r="DB86" s="11"/>
      <c r="DC86" s="11"/>
      <c r="DD86" s="13"/>
      <c r="DE86" s="11"/>
      <c r="DF86" s="12"/>
      <c r="DG86" s="12"/>
      <c r="DH86" s="11">
        <v>8</v>
      </c>
      <c r="DI86" s="13">
        <v>765.91</v>
      </c>
      <c r="DJ86" s="11">
        <v>8</v>
      </c>
      <c r="DK86" s="11"/>
      <c r="DL86" s="13"/>
      <c r="DM86" s="11"/>
      <c r="DN86" s="12"/>
      <c r="DO86" s="12"/>
      <c r="DP86" s="11">
        <v>8</v>
      </c>
      <c r="DQ86" s="13">
        <v>834.02</v>
      </c>
      <c r="DR86" s="11">
        <v>11</v>
      </c>
      <c r="DS86" s="11"/>
      <c r="DT86" s="13"/>
      <c r="DU86" s="11"/>
      <c r="DV86" s="12"/>
      <c r="DW86" s="12"/>
      <c r="DX86" s="11"/>
      <c r="DY86" s="13"/>
      <c r="DZ86" s="11"/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/>
      <c r="EO86" s="13"/>
      <c r="EP86" s="11">
        <v>12</v>
      </c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/>
      <c r="FE86" s="13"/>
      <c r="FF86" s="11"/>
      <c r="FG86" s="11"/>
      <c r="FH86" s="13"/>
      <c r="FI86" s="11"/>
      <c r="FJ86" s="12"/>
      <c r="FK86" s="12"/>
      <c r="FL86" s="11"/>
      <c r="FM86" s="13"/>
      <c r="FN86" s="11"/>
      <c r="FO86" s="11"/>
      <c r="FP86" s="13"/>
      <c r="FQ86" s="11"/>
      <c r="FR86" s="12"/>
      <c r="FS86" s="12"/>
      <c r="FT86" s="11"/>
      <c r="FU86" s="13"/>
      <c r="FV86" s="11">
        <v>2</v>
      </c>
      <c r="FW86" s="11"/>
      <c r="FX86" s="13"/>
      <c r="FY86" s="11"/>
      <c r="FZ86" s="12"/>
      <c r="GA86" s="12"/>
      <c r="GB86" s="11">
        <v>5</v>
      </c>
      <c r="GC86" s="13">
        <v>542.3</v>
      </c>
      <c r="GD86" s="11">
        <v>3</v>
      </c>
      <c r="GE86" s="11"/>
      <c r="GF86" s="13"/>
      <c r="GG86" s="11"/>
      <c r="GH86" s="12"/>
      <c r="GI86" s="12"/>
      <c r="GJ86" s="11"/>
      <c r="GK86" s="13"/>
      <c r="GL86" s="11"/>
      <c r="GM86" s="11"/>
      <c r="GN86" s="13"/>
      <c r="GO86" s="11"/>
      <c r="GP86" s="12"/>
      <c r="GQ86" s="12"/>
      <c r="GR86" s="11"/>
      <c r="GS86" s="13"/>
      <c r="GT86" s="11">
        <v>2</v>
      </c>
      <c r="GU86" s="11"/>
      <c r="GV86" s="13"/>
      <c r="GW86" s="11"/>
      <c r="GX86" s="12"/>
      <c r="GY86" s="12"/>
      <c r="GZ86" s="11">
        <v>6</v>
      </c>
      <c r="HA86" s="13">
        <v>662.28</v>
      </c>
      <c r="HB86" s="11">
        <v>6</v>
      </c>
      <c r="HC86" s="11"/>
      <c r="HD86" s="13"/>
      <c r="HE86" s="11"/>
      <c r="HF86" s="12"/>
      <c r="HG86" s="12"/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/>
      <c r="HS86" s="11"/>
      <c r="HT86" s="13"/>
      <c r="HU86" s="11"/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>
        <v>4</v>
      </c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>
        <v>6</v>
      </c>
      <c r="JO86" s="11"/>
      <c r="JP86" s="13"/>
      <c r="JQ86" s="11"/>
      <c r="JR86" s="12"/>
      <c r="JS86" s="12"/>
      <c r="JT86" s="11"/>
      <c r="JU86" s="13"/>
      <c r="JV86" s="11"/>
      <c r="JW86" s="11"/>
      <c r="JX86" s="13"/>
      <c r="JY86" s="11"/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/>
      <c r="KN86" s="13"/>
      <c r="KO86" s="11"/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  <c r="LH86" s="11"/>
      <c r="LI86" s="13"/>
      <c r="LJ86" s="11"/>
      <c r="LK86" s="11"/>
      <c r="LL86" s="13"/>
      <c r="LM86" s="11"/>
      <c r="LN86" s="12"/>
      <c r="LO86" s="12"/>
      <c r="LP86" s="11"/>
      <c r="LQ86" s="13"/>
      <c r="LR86" s="11"/>
      <c r="LS86" s="11"/>
      <c r="LT86" s="13"/>
      <c r="LU86" s="11"/>
      <c r="LV86" s="12"/>
      <c r="LW86" s="12"/>
    </row>
    <row r="87">
      <c r="A87" s="10" t="s">
        <v>72</v>
      </c>
      <c r="B87" s="10" t="s">
        <v>126</v>
      </c>
      <c r="C87" s="10" t="s">
        <v>83</v>
      </c>
      <c r="D87" s="11">
        <v>1253</v>
      </c>
      <c r="E87" s="11">
        <f>=ROUNDDOWN(31.6414141414141,0)</f>
      </c>
      <c r="F87" s="11">
        <v>410</v>
      </c>
      <c r="G87" s="12">
        <v>1</v>
      </c>
      <c r="H87" s="11"/>
      <c r="I87" s="11">
        <f>=ROUNDDOWN({0},0)</f>
      </c>
      <c r="J87" s="11"/>
      <c r="K87" s="12"/>
      <c r="L87" s="11">
        <v>367</v>
      </c>
      <c r="M87" s="13">
        <v>27301.21</v>
      </c>
      <c r="N87" s="11">
        <v>12</v>
      </c>
      <c r="O87" s="14">
        <v>2275.1</v>
      </c>
      <c r="P87" s="11"/>
      <c r="Q87" s="13"/>
      <c r="R87" s="11"/>
      <c r="S87" s="14"/>
      <c r="T87" s="12"/>
      <c r="U87" s="12"/>
      <c r="V87" s="12"/>
      <c r="W87" s="12"/>
      <c r="X87" s="11">
        <v>64</v>
      </c>
      <c r="Y87" s="13">
        <v>5122.7</v>
      </c>
      <c r="Z87" s="11">
        <v>8</v>
      </c>
      <c r="AA87" s="11"/>
      <c r="AB87" s="13"/>
      <c r="AC87" s="11"/>
      <c r="AD87" s="12"/>
      <c r="AE87" s="12"/>
      <c r="AF87" s="11">
        <v>64</v>
      </c>
      <c r="AG87" s="13">
        <v>3773.37</v>
      </c>
      <c r="AH87" s="11">
        <v>12</v>
      </c>
      <c r="AI87" s="11"/>
      <c r="AJ87" s="13"/>
      <c r="AK87" s="11"/>
      <c r="AL87" s="12"/>
      <c r="AM87" s="12"/>
      <c r="AN87" s="11">
        <v>27</v>
      </c>
      <c r="AO87" s="13">
        <v>2014.55</v>
      </c>
      <c r="AP87" s="11">
        <v>12</v>
      </c>
      <c r="AQ87" s="11"/>
      <c r="AR87" s="13"/>
      <c r="AS87" s="11"/>
      <c r="AT87" s="12"/>
      <c r="AU87" s="12"/>
      <c r="AV87" s="11"/>
      <c r="AW87" s="13"/>
      <c r="AX87" s="11"/>
      <c r="AY87" s="11"/>
      <c r="AZ87" s="13"/>
      <c r="BA87" s="11"/>
      <c r="BB87" s="12"/>
      <c r="BC87" s="12"/>
      <c r="BD87" s="11">
        <v>91</v>
      </c>
      <c r="BE87" s="13">
        <v>6714.92</v>
      </c>
      <c r="BF87" s="11">
        <v>12</v>
      </c>
      <c r="BG87" s="11"/>
      <c r="BH87" s="13"/>
      <c r="BI87" s="11"/>
      <c r="BJ87" s="12"/>
      <c r="BK87" s="12"/>
      <c r="BL87" s="11">
        <v>76</v>
      </c>
      <c r="BM87" s="13">
        <v>5855.46</v>
      </c>
      <c r="BN87" s="11">
        <v>12</v>
      </c>
      <c r="BO87" s="11"/>
      <c r="BP87" s="13"/>
      <c r="BQ87" s="11"/>
      <c r="BR87" s="12"/>
      <c r="BS87" s="12"/>
      <c r="BT87" s="11">
        <v>14</v>
      </c>
      <c r="BU87" s="13">
        <v>1141.29</v>
      </c>
      <c r="BV87" s="11">
        <v>12</v>
      </c>
      <c r="BW87" s="11"/>
      <c r="BX87" s="13"/>
      <c r="BY87" s="11"/>
      <c r="BZ87" s="12"/>
      <c r="CA87" s="12"/>
      <c r="CB87" s="11">
        <v>14</v>
      </c>
      <c r="CC87" s="13">
        <v>1101.18</v>
      </c>
      <c r="CD87" s="11">
        <v>10</v>
      </c>
      <c r="CE87" s="11"/>
      <c r="CF87" s="13"/>
      <c r="CG87" s="11"/>
      <c r="CH87" s="12"/>
      <c r="CI87" s="12"/>
      <c r="CJ87" s="11">
        <v>5</v>
      </c>
      <c r="CK87" s="13">
        <v>419.95</v>
      </c>
      <c r="CL87" s="11">
        <v>4</v>
      </c>
      <c r="CM87" s="11"/>
      <c r="CN87" s="13"/>
      <c r="CO87" s="11"/>
      <c r="CP87" s="12"/>
      <c r="CQ87" s="12"/>
      <c r="CR87" s="11"/>
      <c r="CS87" s="13"/>
      <c r="CT87" s="11"/>
      <c r="CU87" s="11"/>
      <c r="CV87" s="13"/>
      <c r="CW87" s="11"/>
      <c r="CX87" s="12"/>
      <c r="CY87" s="12"/>
      <c r="CZ87" s="11"/>
      <c r="DA87" s="13"/>
      <c r="DB87" s="11"/>
      <c r="DC87" s="11"/>
      <c r="DD87" s="13"/>
      <c r="DE87" s="11"/>
      <c r="DF87" s="12"/>
      <c r="DG87" s="12"/>
      <c r="DH87" s="11">
        <v>7</v>
      </c>
      <c r="DI87" s="13">
        <v>573.82</v>
      </c>
      <c r="DJ87" s="11">
        <v>8</v>
      </c>
      <c r="DK87" s="11"/>
      <c r="DL87" s="13"/>
      <c r="DM87" s="11"/>
      <c r="DN87" s="12"/>
      <c r="DO87" s="12"/>
      <c r="DP87" s="11">
        <v>2</v>
      </c>
      <c r="DQ87" s="13">
        <v>176.28</v>
      </c>
      <c r="DR87" s="11">
        <v>12</v>
      </c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/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>
        <v>2</v>
      </c>
      <c r="EO87" s="13">
        <v>309.98</v>
      </c>
      <c r="EP87" s="11">
        <v>12</v>
      </c>
      <c r="EQ87" s="11"/>
      <c r="ER87" s="13"/>
      <c r="ES87" s="11"/>
      <c r="ET87" s="12"/>
      <c r="EU87" s="12"/>
      <c r="EV87" s="11"/>
      <c r="EW87" s="13"/>
      <c r="EX87" s="11"/>
      <c r="EY87" s="11"/>
      <c r="EZ87" s="13"/>
      <c r="FA87" s="11"/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/>
      <c r="FO87" s="11"/>
      <c r="FP87" s="13"/>
      <c r="FQ87" s="11"/>
      <c r="FR87" s="12"/>
      <c r="FS87" s="12"/>
      <c r="FT87" s="11"/>
      <c r="FU87" s="13"/>
      <c r="FV87" s="11"/>
      <c r="FW87" s="11"/>
      <c r="FX87" s="13"/>
      <c r="FY87" s="11"/>
      <c r="FZ87" s="12"/>
      <c r="GA87" s="12"/>
      <c r="GB87" s="11"/>
      <c r="GC87" s="13"/>
      <c r="GD87" s="11"/>
      <c r="GE87" s="11"/>
      <c r="GF87" s="13"/>
      <c r="GG87" s="11"/>
      <c r="GH87" s="12"/>
      <c r="GI87" s="12"/>
      <c r="GJ87" s="11"/>
      <c r="GK87" s="13"/>
      <c r="GL87" s="11"/>
      <c r="GM87" s="11"/>
      <c r="GN87" s="13"/>
      <c r="GO87" s="11"/>
      <c r="GP87" s="12"/>
      <c r="GQ87" s="12"/>
      <c r="GR87" s="11"/>
      <c r="GS87" s="13"/>
      <c r="GT87" s="11"/>
      <c r="GU87" s="11"/>
      <c r="GV87" s="13"/>
      <c r="GW87" s="11"/>
      <c r="GX87" s="12"/>
      <c r="GY87" s="12"/>
      <c r="GZ87" s="11">
        <v>1</v>
      </c>
      <c r="HA87" s="13">
        <v>97.71</v>
      </c>
      <c r="HB87" s="11">
        <v>3</v>
      </c>
      <c r="HC87" s="11"/>
      <c r="HD87" s="13"/>
      <c r="HE87" s="11"/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/>
      <c r="HS87" s="11"/>
      <c r="HT87" s="13"/>
      <c r="HU87" s="11"/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/>
      <c r="IQ87" s="11"/>
      <c r="IR87" s="13"/>
      <c r="IS87" s="11"/>
      <c r="IT87" s="12"/>
      <c r="IU87" s="12"/>
      <c r="IV87" s="11"/>
      <c r="IW87" s="13"/>
      <c r="IX87" s="11">
        <v>2</v>
      </c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>
        <v>6</v>
      </c>
      <c r="JO87" s="11"/>
      <c r="JP87" s="13"/>
      <c r="JQ87" s="11"/>
      <c r="JR87" s="12"/>
      <c r="JS87" s="12"/>
      <c r="JT87" s="11"/>
      <c r="JU87" s="13"/>
      <c r="JV87" s="11"/>
      <c r="JW87" s="11"/>
      <c r="JX87" s="13"/>
      <c r="JY87" s="11"/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/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  <c r="LH87" s="11"/>
      <c r="LI87" s="13"/>
      <c r="LJ87" s="11"/>
      <c r="LK87" s="11"/>
      <c r="LL87" s="13"/>
      <c r="LM87" s="11"/>
      <c r="LN87" s="12"/>
      <c r="LO87" s="12"/>
      <c r="LP87" s="11"/>
      <c r="LQ87" s="13"/>
      <c r="LR87" s="11"/>
      <c r="LS87" s="11"/>
      <c r="LT87" s="13"/>
      <c r="LU87" s="11"/>
      <c r="LV87" s="12"/>
      <c r="LW87" s="12"/>
    </row>
    <row r="88">
      <c r="A88" s="10" t="s">
        <v>72</v>
      </c>
      <c r="B88" s="10" t="s">
        <v>126</v>
      </c>
      <c r="C88" s="10" t="s">
        <v>93</v>
      </c>
      <c r="D88" s="11">
        <v>432</v>
      </c>
      <c r="E88" s="11">
        <f>=ROUNDDOWN(24.8275862068965,0)</f>
      </c>
      <c r="F88" s="11">
        <v>260</v>
      </c>
      <c r="G88" s="12">
        <v>1</v>
      </c>
      <c r="H88" s="11"/>
      <c r="I88" s="11">
        <f>=ROUNDDOWN({0},0)</f>
      </c>
      <c r="J88" s="11"/>
      <c r="K88" s="12"/>
      <c r="L88" s="11">
        <v>193</v>
      </c>
      <c r="M88" s="13">
        <v>4066.95</v>
      </c>
      <c r="N88" s="11">
        <v>5</v>
      </c>
      <c r="O88" s="14">
        <v>813.39</v>
      </c>
      <c r="P88" s="11"/>
      <c r="Q88" s="13"/>
      <c r="R88" s="11"/>
      <c r="S88" s="14"/>
      <c r="T88" s="12"/>
      <c r="U88" s="12"/>
      <c r="V88" s="12"/>
      <c r="W88" s="12"/>
      <c r="X88" s="11">
        <v>25</v>
      </c>
      <c r="Y88" s="13">
        <v>484.52</v>
      </c>
      <c r="Z88" s="11">
        <v>5</v>
      </c>
      <c r="AA88" s="11"/>
      <c r="AB88" s="13"/>
      <c r="AC88" s="11"/>
      <c r="AD88" s="12"/>
      <c r="AE88" s="12"/>
      <c r="AF88" s="11">
        <v>31</v>
      </c>
      <c r="AG88" s="13">
        <v>567.19</v>
      </c>
      <c r="AH88" s="11">
        <v>5</v>
      </c>
      <c r="AI88" s="11"/>
      <c r="AJ88" s="13"/>
      <c r="AK88" s="11"/>
      <c r="AL88" s="12"/>
      <c r="AM88" s="12"/>
      <c r="AN88" s="11">
        <v>10</v>
      </c>
      <c r="AO88" s="13">
        <v>208.36</v>
      </c>
      <c r="AP88" s="11">
        <v>5</v>
      </c>
      <c r="AQ88" s="11"/>
      <c r="AR88" s="13"/>
      <c r="AS88" s="11"/>
      <c r="AT88" s="12"/>
      <c r="AU88" s="12"/>
      <c r="AV88" s="11"/>
      <c r="AW88" s="13"/>
      <c r="AX88" s="11"/>
      <c r="AY88" s="11"/>
      <c r="AZ88" s="13"/>
      <c r="BA88" s="11"/>
      <c r="BB88" s="12"/>
      <c r="BC88" s="12"/>
      <c r="BD88" s="11">
        <v>56</v>
      </c>
      <c r="BE88" s="13">
        <v>1085.65</v>
      </c>
      <c r="BF88" s="11">
        <v>5</v>
      </c>
      <c r="BG88" s="11"/>
      <c r="BH88" s="13"/>
      <c r="BI88" s="11"/>
      <c r="BJ88" s="12"/>
      <c r="BK88" s="12"/>
      <c r="BL88" s="11">
        <v>37</v>
      </c>
      <c r="BM88" s="13">
        <v>824.1</v>
      </c>
      <c r="BN88" s="11">
        <v>5</v>
      </c>
      <c r="BO88" s="11"/>
      <c r="BP88" s="13"/>
      <c r="BQ88" s="11"/>
      <c r="BR88" s="12"/>
      <c r="BS88" s="12"/>
      <c r="BT88" s="11">
        <v>20</v>
      </c>
      <c r="BU88" s="13">
        <v>424.56</v>
      </c>
      <c r="BV88" s="11">
        <v>5</v>
      </c>
      <c r="BW88" s="11"/>
      <c r="BX88" s="13"/>
      <c r="BY88" s="11"/>
      <c r="BZ88" s="12"/>
      <c r="CA88" s="12"/>
      <c r="CB88" s="11">
        <v>7</v>
      </c>
      <c r="CC88" s="13">
        <v>138.04</v>
      </c>
      <c r="CD88" s="11">
        <v>3</v>
      </c>
      <c r="CE88" s="11"/>
      <c r="CF88" s="13"/>
      <c r="CG88" s="11"/>
      <c r="CH88" s="12"/>
      <c r="CI88" s="12"/>
      <c r="CJ88" s="11">
        <v>5</v>
      </c>
      <c r="CK88" s="13">
        <v>294.95</v>
      </c>
      <c r="CL88" s="11">
        <v>5</v>
      </c>
      <c r="CM88" s="11"/>
      <c r="CN88" s="13"/>
      <c r="CO88" s="11"/>
      <c r="CP88" s="12"/>
      <c r="CQ88" s="12"/>
      <c r="CR88" s="11"/>
      <c r="CS88" s="13"/>
      <c r="CT88" s="11"/>
      <c r="CU88" s="11"/>
      <c r="CV88" s="13"/>
      <c r="CW88" s="11"/>
      <c r="CX88" s="12"/>
      <c r="CY88" s="12"/>
      <c r="CZ88" s="11"/>
      <c r="DA88" s="13"/>
      <c r="DB88" s="11"/>
      <c r="DC88" s="11"/>
      <c r="DD88" s="13"/>
      <c r="DE88" s="11"/>
      <c r="DF88" s="12"/>
      <c r="DG88" s="12"/>
      <c r="DH88" s="11"/>
      <c r="DI88" s="13"/>
      <c r="DJ88" s="11">
        <v>3</v>
      </c>
      <c r="DK88" s="11"/>
      <c r="DL88" s="13"/>
      <c r="DM88" s="11"/>
      <c r="DN88" s="12"/>
      <c r="DO88" s="12"/>
      <c r="DP88" s="11">
        <v>1</v>
      </c>
      <c r="DQ88" s="13">
        <v>18.79</v>
      </c>
      <c r="DR88" s="11">
        <v>5</v>
      </c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>
        <v>5</v>
      </c>
      <c r="EQ88" s="11"/>
      <c r="ER88" s="13"/>
      <c r="ES88" s="11"/>
      <c r="ET88" s="12"/>
      <c r="EU88" s="12"/>
      <c r="EV88" s="11"/>
      <c r="EW88" s="13"/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/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/>
      <c r="GH88" s="12"/>
      <c r="GI88" s="12"/>
      <c r="GJ88" s="11"/>
      <c r="GK88" s="13"/>
      <c r="GL88" s="11"/>
      <c r="GM88" s="11"/>
      <c r="GN88" s="13"/>
      <c r="GO88" s="11"/>
      <c r="GP88" s="12"/>
      <c r="GQ88" s="12"/>
      <c r="GR88" s="11"/>
      <c r="GS88" s="13"/>
      <c r="GT88" s="11">
        <v>1</v>
      </c>
      <c r="GU88" s="11"/>
      <c r="GV88" s="13"/>
      <c r="GW88" s="11"/>
      <c r="GX88" s="12"/>
      <c r="GY88" s="12"/>
      <c r="GZ88" s="11">
        <v>1</v>
      </c>
      <c r="HA88" s="13">
        <v>20.79</v>
      </c>
      <c r="HB88" s="11">
        <v>4</v>
      </c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/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>
        <v>1</v>
      </c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>
        <v>3</v>
      </c>
      <c r="JO88" s="11"/>
      <c r="JP88" s="13"/>
      <c r="JQ88" s="11"/>
      <c r="JR88" s="12"/>
      <c r="JS88" s="12"/>
      <c r="JT88" s="11"/>
      <c r="JU88" s="13"/>
      <c r="JV88" s="11">
        <v>5</v>
      </c>
      <c r="JW88" s="11"/>
      <c r="JX88" s="13"/>
      <c r="JY88" s="11"/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  <c r="LH88" s="11"/>
      <c r="LI88" s="13"/>
      <c r="LJ88" s="11"/>
      <c r="LK88" s="11"/>
      <c r="LL88" s="13"/>
      <c r="LM88" s="11"/>
      <c r="LN88" s="12"/>
      <c r="LO88" s="12"/>
      <c r="LP88" s="11"/>
      <c r="LQ88" s="13"/>
      <c r="LR88" s="11"/>
      <c r="LS88" s="11"/>
      <c r="LT88" s="13"/>
      <c r="LU88" s="11"/>
      <c r="LV88" s="12"/>
      <c r="LW88" s="12"/>
    </row>
    <row r="89">
      <c r="A89" s="10" t="s">
        <v>72</v>
      </c>
      <c r="B89" s="10" t="s">
        <v>127</v>
      </c>
      <c r="C89" s="10" t="s">
        <v>77</v>
      </c>
      <c r="D89" s="11">
        <v>4406</v>
      </c>
      <c r="E89" s="11">
        <f>=ROUNDDOWN({0},0)</f>
      </c>
      <c r="F89" s="11">
        <v>1160</v>
      </c>
      <c r="G89" s="12"/>
      <c r="H89" s="11"/>
      <c r="I89" s="11">
        <f>=ROUNDDOWN({0},0)</f>
      </c>
      <c r="J89" s="11"/>
      <c r="K89" s="12"/>
      <c r="L89" s="11">
        <v>1485</v>
      </c>
      <c r="M89" s="13">
        <v>102271.03</v>
      </c>
      <c r="N89" s="11">
        <v>34</v>
      </c>
      <c r="O89" s="14">
        <v>3007.97</v>
      </c>
      <c r="P89" s="11"/>
      <c r="Q89" s="13"/>
      <c r="R89" s="11"/>
      <c r="S89" s="14"/>
      <c r="T89" s="12"/>
      <c r="U89" s="12"/>
      <c r="V89" s="12"/>
      <c r="W89" s="12"/>
      <c r="X89" s="11">
        <v>109</v>
      </c>
      <c r="Y89" s="13">
        <v>7635.06</v>
      </c>
      <c r="Z89" s="11">
        <v>24</v>
      </c>
      <c r="AA89" s="11"/>
      <c r="AB89" s="13"/>
      <c r="AC89" s="11"/>
      <c r="AD89" s="12"/>
      <c r="AE89" s="12"/>
      <c r="AF89" s="11">
        <v>314</v>
      </c>
      <c r="AG89" s="13">
        <v>19392.93</v>
      </c>
      <c r="AH89" s="11">
        <v>34</v>
      </c>
      <c r="AI89" s="11"/>
      <c r="AJ89" s="13"/>
      <c r="AK89" s="11"/>
      <c r="AL89" s="12"/>
      <c r="AM89" s="12"/>
      <c r="AN89" s="11">
        <v>117</v>
      </c>
      <c r="AO89" s="13">
        <v>8950.42</v>
      </c>
      <c r="AP89" s="11">
        <v>34</v>
      </c>
      <c r="AQ89" s="11"/>
      <c r="AR89" s="13"/>
      <c r="AS89" s="11"/>
      <c r="AT89" s="12"/>
      <c r="AU89" s="12"/>
      <c r="AV89" s="11"/>
      <c r="AW89" s="13"/>
      <c r="AX89" s="11"/>
      <c r="AY89" s="11"/>
      <c r="AZ89" s="13"/>
      <c r="BA89" s="11"/>
      <c r="BB89" s="12"/>
      <c r="BC89" s="12"/>
      <c r="BD89" s="11">
        <v>306</v>
      </c>
      <c r="BE89" s="13">
        <v>19977.62</v>
      </c>
      <c r="BF89" s="11">
        <v>34</v>
      </c>
      <c r="BG89" s="11"/>
      <c r="BH89" s="13"/>
      <c r="BI89" s="11"/>
      <c r="BJ89" s="12"/>
      <c r="BK89" s="12"/>
      <c r="BL89" s="11">
        <v>319</v>
      </c>
      <c r="BM89" s="13">
        <v>22605.57</v>
      </c>
      <c r="BN89" s="11">
        <v>34</v>
      </c>
      <c r="BO89" s="11"/>
      <c r="BP89" s="13"/>
      <c r="BQ89" s="11"/>
      <c r="BR89" s="12"/>
      <c r="BS89" s="12"/>
      <c r="BT89" s="11">
        <v>150</v>
      </c>
      <c r="BU89" s="13">
        <v>10136.18</v>
      </c>
      <c r="BV89" s="11">
        <v>34</v>
      </c>
      <c r="BW89" s="11"/>
      <c r="BX89" s="13"/>
      <c r="BY89" s="11"/>
      <c r="BZ89" s="12"/>
      <c r="CA89" s="12"/>
      <c r="CB89" s="11">
        <v>100</v>
      </c>
      <c r="CC89" s="13">
        <v>8069.68</v>
      </c>
      <c r="CD89" s="11">
        <v>30</v>
      </c>
      <c r="CE89" s="11"/>
      <c r="CF89" s="13"/>
      <c r="CG89" s="11"/>
      <c r="CH89" s="12"/>
      <c r="CI89" s="12"/>
      <c r="CJ89" s="11">
        <v>19</v>
      </c>
      <c r="CK89" s="13">
        <v>1314.81</v>
      </c>
      <c r="CL89" s="11">
        <v>18</v>
      </c>
      <c r="CM89" s="11"/>
      <c r="CN89" s="13"/>
      <c r="CO89" s="11"/>
      <c r="CP89" s="12"/>
      <c r="CQ89" s="12"/>
      <c r="CR89" s="11"/>
      <c r="CS89" s="13"/>
      <c r="CT89" s="11"/>
      <c r="CU89" s="11"/>
      <c r="CV89" s="13"/>
      <c r="CW89" s="11"/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>
        <v>21</v>
      </c>
      <c r="DI89" s="13">
        <v>1451.45</v>
      </c>
      <c r="DJ89" s="11">
        <v>23</v>
      </c>
      <c r="DK89" s="11"/>
      <c r="DL89" s="13"/>
      <c r="DM89" s="11"/>
      <c r="DN89" s="12"/>
      <c r="DO89" s="12"/>
      <c r="DP89" s="11">
        <v>14</v>
      </c>
      <c r="DQ89" s="13">
        <v>1084.38</v>
      </c>
      <c r="DR89" s="11">
        <v>33</v>
      </c>
      <c r="DS89" s="11"/>
      <c r="DT89" s="13"/>
      <c r="DU89" s="11"/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>
        <v>2</v>
      </c>
      <c r="EO89" s="13">
        <v>309.98</v>
      </c>
      <c r="EP89" s="11">
        <v>34</v>
      </c>
      <c r="EQ89" s="11"/>
      <c r="ER89" s="13"/>
      <c r="ES89" s="11"/>
      <c r="ET89" s="12"/>
      <c r="EU89" s="12"/>
      <c r="EV89" s="11"/>
      <c r="EW89" s="13"/>
      <c r="EX89" s="11"/>
      <c r="EY89" s="11"/>
      <c r="EZ89" s="13"/>
      <c r="FA89" s="11"/>
      <c r="FB89" s="12"/>
      <c r="FC89" s="12"/>
      <c r="FD89" s="11"/>
      <c r="FE89" s="13"/>
      <c r="FF89" s="11"/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>
        <v>2</v>
      </c>
      <c r="FW89" s="11"/>
      <c r="FX89" s="13"/>
      <c r="FY89" s="11"/>
      <c r="FZ89" s="12"/>
      <c r="GA89" s="12"/>
      <c r="GB89" s="11">
        <v>5</v>
      </c>
      <c r="GC89" s="13">
        <v>542.3</v>
      </c>
      <c r="GD89" s="11">
        <v>3</v>
      </c>
      <c r="GE89" s="11"/>
      <c r="GF89" s="13"/>
      <c r="GG89" s="11"/>
      <c r="GH89" s="12"/>
      <c r="GI89" s="12"/>
      <c r="GJ89" s="11"/>
      <c r="GK89" s="13"/>
      <c r="GL89" s="11"/>
      <c r="GM89" s="11"/>
      <c r="GN89" s="13"/>
      <c r="GO89" s="11"/>
      <c r="GP89" s="12"/>
      <c r="GQ89" s="12"/>
      <c r="GR89" s="11"/>
      <c r="GS89" s="13"/>
      <c r="GT89" s="11">
        <v>4</v>
      </c>
      <c r="GU89" s="11"/>
      <c r="GV89" s="13"/>
      <c r="GW89" s="11"/>
      <c r="GX89" s="12"/>
      <c r="GY89" s="12"/>
      <c r="GZ89" s="11">
        <v>9</v>
      </c>
      <c r="HA89" s="13">
        <v>800.65</v>
      </c>
      <c r="HB89" s="11">
        <v>16</v>
      </c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>
        <v>7</v>
      </c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>
        <v>17</v>
      </c>
      <c r="JO89" s="11"/>
      <c r="JP89" s="13"/>
      <c r="JQ89" s="11"/>
      <c r="JR89" s="12"/>
      <c r="JS89" s="12"/>
      <c r="JT89" s="11"/>
      <c r="JU89" s="13"/>
      <c r="JV89" s="11">
        <v>10</v>
      </c>
      <c r="JW89" s="11"/>
      <c r="JX89" s="13"/>
      <c r="JY89" s="11"/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/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  <c r="LH89" s="11"/>
      <c r="LI89" s="13"/>
      <c r="LJ89" s="11"/>
      <c r="LK89" s="11"/>
      <c r="LL89" s="13"/>
      <c r="LM89" s="11"/>
      <c r="LN89" s="12"/>
      <c r="LO89" s="12"/>
      <c r="LP89" s="11"/>
      <c r="LQ89" s="13"/>
      <c r="LR89" s="11"/>
      <c r="LS89" s="11"/>
      <c r="LT89" s="13"/>
      <c r="LU89" s="11"/>
      <c r="LV89" s="12"/>
      <c r="LW89" s="12"/>
    </row>
    <row r="90">
      <c r="A90" s="10" t="s">
        <v>72</v>
      </c>
      <c r="B90" s="10" t="s">
        <v>128</v>
      </c>
      <c r="C90" s="10" t="s">
        <v>92</v>
      </c>
      <c r="D90" s="11">
        <v>1402</v>
      </c>
      <c r="E90" s="11">
        <f>=ROUNDDOWN(43.6760124610592,0)</f>
      </c>
      <c r="F90" s="11">
        <v>5188</v>
      </c>
      <c r="G90" s="12">
        <v>1</v>
      </c>
      <c r="H90" s="11"/>
      <c r="I90" s="11">
        <f>=ROUNDDOWN({0},0)</f>
      </c>
      <c r="J90" s="11"/>
      <c r="K90" s="12"/>
      <c r="L90" s="11">
        <v>522</v>
      </c>
      <c r="M90" s="13">
        <v>7254.93</v>
      </c>
      <c r="N90" s="11"/>
      <c r="O90" s="14"/>
      <c r="P90" s="11"/>
      <c r="Q90" s="13"/>
      <c r="R90" s="11"/>
      <c r="S90" s="14"/>
      <c r="T90" s="12"/>
      <c r="U90" s="12"/>
      <c r="V90" s="12"/>
      <c r="W90" s="12"/>
      <c r="X90" s="11"/>
      <c r="Y90" s="13"/>
      <c r="Z90" s="11"/>
      <c r="AA90" s="11"/>
      <c r="AB90" s="13"/>
      <c r="AC90" s="11"/>
      <c r="AD90" s="12"/>
      <c r="AE90" s="12"/>
      <c r="AF90" s="11"/>
      <c r="AG90" s="13"/>
      <c r="AH90" s="11"/>
      <c r="AI90" s="11"/>
      <c r="AJ90" s="13"/>
      <c r="AK90" s="11"/>
      <c r="AL90" s="12"/>
      <c r="AM90" s="12"/>
      <c r="AN90" s="11"/>
      <c r="AO90" s="13"/>
      <c r="AP90" s="11"/>
      <c r="AQ90" s="11"/>
      <c r="AR90" s="13"/>
      <c r="AS90" s="11"/>
      <c r="AT90" s="12"/>
      <c r="AU90" s="12"/>
      <c r="AV90" s="11"/>
      <c r="AW90" s="13"/>
      <c r="AX90" s="11"/>
      <c r="AY90" s="11"/>
      <c r="AZ90" s="13"/>
      <c r="BA90" s="11"/>
      <c r="BB90" s="12"/>
      <c r="BC90" s="12"/>
      <c r="BD90" s="11"/>
      <c r="BE90" s="13"/>
      <c r="BF90" s="11"/>
      <c r="BG90" s="11"/>
      <c r="BH90" s="13"/>
      <c r="BI90" s="11"/>
      <c r="BJ90" s="12"/>
      <c r="BK90" s="12"/>
      <c r="BL90" s="11"/>
      <c r="BM90" s="13"/>
      <c r="BN90" s="11"/>
      <c r="BO90" s="11"/>
      <c r="BP90" s="13"/>
      <c r="BQ90" s="11"/>
      <c r="BR90" s="12"/>
      <c r="BS90" s="12"/>
      <c r="BT90" s="11"/>
      <c r="BU90" s="13"/>
      <c r="BV90" s="11"/>
      <c r="BW90" s="11"/>
      <c r="BX90" s="13"/>
      <c r="BY90" s="11"/>
      <c r="BZ90" s="12"/>
      <c r="CA90" s="12"/>
      <c r="CB90" s="11"/>
      <c r="CC90" s="13"/>
      <c r="CD90" s="11"/>
      <c r="CE90" s="11"/>
      <c r="CF90" s="13"/>
      <c r="CG90" s="11"/>
      <c r="CH90" s="12"/>
      <c r="CI90" s="12"/>
      <c r="CJ90" s="11"/>
      <c r="CK90" s="13"/>
      <c r="CL90" s="11"/>
      <c r="CM90" s="11"/>
      <c r="CN90" s="13"/>
      <c r="CO90" s="11"/>
      <c r="CP90" s="12"/>
      <c r="CQ90" s="12"/>
      <c r="CR90" s="11"/>
      <c r="CS90" s="13"/>
      <c r="CT90" s="11"/>
      <c r="CU90" s="11"/>
      <c r="CV90" s="13"/>
      <c r="CW90" s="11"/>
      <c r="CX90" s="12"/>
      <c r="CY90" s="12"/>
      <c r="CZ90" s="11"/>
      <c r="DA90" s="13"/>
      <c r="DB90" s="11"/>
      <c r="DC90" s="11"/>
      <c r="DD90" s="13"/>
      <c r="DE90" s="11"/>
      <c r="DF90" s="12"/>
      <c r="DG90" s="12"/>
      <c r="DH90" s="11"/>
      <c r="DI90" s="13"/>
      <c r="DJ90" s="11"/>
      <c r="DK90" s="11"/>
      <c r="DL90" s="13"/>
      <c r="DM90" s="11"/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/>
      <c r="EO90" s="13"/>
      <c r="EP90" s="11"/>
      <c r="EQ90" s="11"/>
      <c r="ER90" s="13"/>
      <c r="ES90" s="11"/>
      <c r="ET90" s="12"/>
      <c r="EU90" s="12"/>
      <c r="EV90" s="11">
        <v>522</v>
      </c>
      <c r="EW90" s="13">
        <v>7254.93</v>
      </c>
      <c r="EX90" s="11"/>
      <c r="EY90" s="11"/>
      <c r="EZ90" s="13"/>
      <c r="FA90" s="11"/>
      <c r="FB90" s="12"/>
      <c r="FC90" s="12"/>
      <c r="FD90" s="11"/>
      <c r="FE90" s="13"/>
      <c r="FF90" s="11"/>
      <c r="FG90" s="11"/>
      <c r="FH90" s="13"/>
      <c r="FI90" s="11"/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/>
      <c r="GS90" s="13"/>
      <c r="GT90" s="11"/>
      <c r="GU90" s="11"/>
      <c r="GV90" s="13"/>
      <c r="GW90" s="11"/>
      <c r="GX90" s="12"/>
      <c r="GY90" s="12"/>
      <c r="GZ90" s="11"/>
      <c r="HA90" s="13"/>
      <c r="HB90" s="11"/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/>
      <c r="HS90" s="11"/>
      <c r="HT90" s="13"/>
      <c r="HU90" s="11"/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/>
      <c r="JO90" s="11"/>
      <c r="JP90" s="13"/>
      <c r="JQ90" s="11"/>
      <c r="JR90" s="12"/>
      <c r="JS90" s="12"/>
      <c r="JT90" s="11"/>
      <c r="JU90" s="13"/>
      <c r="JV90" s="11"/>
      <c r="JW90" s="11"/>
      <c r="JX90" s="13"/>
      <c r="JY90" s="11"/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/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  <c r="LH90" s="11"/>
      <c r="LI90" s="13"/>
      <c r="LJ90" s="11"/>
      <c r="LK90" s="11"/>
      <c r="LL90" s="13"/>
      <c r="LM90" s="11"/>
      <c r="LN90" s="12"/>
      <c r="LO90" s="12"/>
      <c r="LP90" s="11"/>
      <c r="LQ90" s="13"/>
      <c r="LR90" s="11"/>
      <c r="LS90" s="11"/>
      <c r="LT90" s="13"/>
      <c r="LU90" s="11"/>
      <c r="LV90" s="12"/>
      <c r="LW90" s="12"/>
    </row>
    <row r="91">
      <c r="A91" s="10" t="s">
        <v>72</v>
      </c>
      <c r="B91" s="10" t="s">
        <v>128</v>
      </c>
      <c r="C91" s="10" t="s">
        <v>74</v>
      </c>
      <c r="D91" s="11">
        <v>58342</v>
      </c>
      <c r="E91" s="11">
        <f>=ROUNDDOWN(10.6192209683291,0)</f>
      </c>
      <c r="F91" s="11">
        <v>49570</v>
      </c>
      <c r="G91" s="12">
        <v>0.7225</v>
      </c>
      <c r="H91" s="11"/>
      <c r="I91" s="11">
        <f>=ROUNDDOWN({0},0)</f>
      </c>
      <c r="J91" s="11"/>
      <c r="K91" s="12"/>
      <c r="L91" s="11">
        <v>14755</v>
      </c>
      <c r="M91" s="13">
        <v>228270.16</v>
      </c>
      <c r="N91" s="11"/>
      <c r="O91" s="14"/>
      <c r="P91" s="11"/>
      <c r="Q91" s="13"/>
      <c r="R91" s="11"/>
      <c r="S91" s="14"/>
      <c r="T91" s="12"/>
      <c r="U91" s="12"/>
      <c r="V91" s="12"/>
      <c r="W91" s="12"/>
      <c r="X91" s="11"/>
      <c r="Y91" s="13"/>
      <c r="Z91" s="11"/>
      <c r="AA91" s="11"/>
      <c r="AB91" s="13"/>
      <c r="AC91" s="11"/>
      <c r="AD91" s="12"/>
      <c r="AE91" s="12"/>
      <c r="AF91" s="11"/>
      <c r="AG91" s="13"/>
      <c r="AH91" s="11"/>
      <c r="AI91" s="11"/>
      <c r="AJ91" s="13"/>
      <c r="AK91" s="11"/>
      <c r="AL91" s="12"/>
      <c r="AM91" s="12"/>
      <c r="AN91" s="11"/>
      <c r="AO91" s="13"/>
      <c r="AP91" s="11"/>
      <c r="AQ91" s="11"/>
      <c r="AR91" s="13"/>
      <c r="AS91" s="11"/>
      <c r="AT91" s="12"/>
      <c r="AU91" s="12"/>
      <c r="AV91" s="11"/>
      <c r="AW91" s="13"/>
      <c r="AX91" s="11"/>
      <c r="AY91" s="11"/>
      <c r="AZ91" s="13"/>
      <c r="BA91" s="11"/>
      <c r="BB91" s="12"/>
      <c r="BC91" s="12"/>
      <c r="BD91" s="11"/>
      <c r="BE91" s="13"/>
      <c r="BF91" s="11"/>
      <c r="BG91" s="11"/>
      <c r="BH91" s="13"/>
      <c r="BI91" s="11"/>
      <c r="BJ91" s="12"/>
      <c r="BK91" s="12"/>
      <c r="BL91" s="11"/>
      <c r="BM91" s="13"/>
      <c r="BN91" s="11"/>
      <c r="BO91" s="11"/>
      <c r="BP91" s="13"/>
      <c r="BQ91" s="11"/>
      <c r="BR91" s="12"/>
      <c r="BS91" s="12"/>
      <c r="BT91" s="11"/>
      <c r="BU91" s="13"/>
      <c r="BV91" s="11"/>
      <c r="BW91" s="11"/>
      <c r="BX91" s="13"/>
      <c r="BY91" s="11"/>
      <c r="BZ91" s="12"/>
      <c r="CA91" s="12"/>
      <c r="CB91" s="11"/>
      <c r="CC91" s="13"/>
      <c r="CD91" s="11"/>
      <c r="CE91" s="11"/>
      <c r="CF91" s="13"/>
      <c r="CG91" s="11"/>
      <c r="CH91" s="12"/>
      <c r="CI91" s="12"/>
      <c r="CJ91" s="11"/>
      <c r="CK91" s="13"/>
      <c r="CL91" s="11"/>
      <c r="CM91" s="11"/>
      <c r="CN91" s="13"/>
      <c r="CO91" s="11"/>
      <c r="CP91" s="12"/>
      <c r="CQ91" s="12"/>
      <c r="CR91" s="11">
        <v>14748</v>
      </c>
      <c r="CS91" s="13">
        <v>228168.6</v>
      </c>
      <c r="CT91" s="11"/>
      <c r="CU91" s="11"/>
      <c r="CV91" s="13"/>
      <c r="CW91" s="11"/>
      <c r="CX91" s="12"/>
      <c r="CY91" s="12"/>
      <c r="CZ91" s="11"/>
      <c r="DA91" s="13"/>
      <c r="DB91" s="11"/>
      <c r="DC91" s="11"/>
      <c r="DD91" s="13"/>
      <c r="DE91" s="11"/>
      <c r="DF91" s="12"/>
      <c r="DG91" s="12"/>
      <c r="DH91" s="11"/>
      <c r="DI91" s="13"/>
      <c r="DJ91" s="11"/>
      <c r="DK91" s="11"/>
      <c r="DL91" s="13"/>
      <c r="DM91" s="11"/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/>
      <c r="EO91" s="13"/>
      <c r="EP91" s="11"/>
      <c r="EQ91" s="11"/>
      <c r="ER91" s="13"/>
      <c r="ES91" s="11"/>
      <c r="ET91" s="12"/>
      <c r="EU91" s="12"/>
      <c r="EV91" s="11">
        <v>7</v>
      </c>
      <c r="EW91" s="13">
        <v>101.56</v>
      </c>
      <c r="EX91" s="11"/>
      <c r="EY91" s="11"/>
      <c r="EZ91" s="13"/>
      <c r="FA91" s="11"/>
      <c r="FB91" s="12"/>
      <c r="FC91" s="12"/>
      <c r="FD91" s="11"/>
      <c r="FE91" s="13"/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/>
      <c r="FU91" s="13"/>
      <c r="FV91" s="11"/>
      <c r="FW91" s="11"/>
      <c r="FX91" s="13"/>
      <c r="FY91" s="11"/>
      <c r="FZ91" s="12"/>
      <c r="GA91" s="12"/>
      <c r="GB91" s="11"/>
      <c r="GC91" s="13"/>
      <c r="GD91" s="11"/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/>
      <c r="GU91" s="11"/>
      <c r="GV91" s="13"/>
      <c r="GW91" s="11"/>
      <c r="GX91" s="12"/>
      <c r="GY91" s="12"/>
      <c r="GZ91" s="11"/>
      <c r="HA91" s="13"/>
      <c r="HB91" s="11"/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/>
      <c r="HS91" s="11"/>
      <c r="HT91" s="13"/>
      <c r="HU91" s="11"/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/>
      <c r="JO91" s="11"/>
      <c r="JP91" s="13"/>
      <c r="JQ91" s="11"/>
      <c r="JR91" s="12"/>
      <c r="JS91" s="12"/>
      <c r="JT91" s="11"/>
      <c r="JU91" s="13"/>
      <c r="JV91" s="11"/>
      <c r="JW91" s="11"/>
      <c r="JX91" s="13"/>
      <c r="JY91" s="11"/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/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  <c r="LH91" s="11"/>
      <c r="LI91" s="13"/>
      <c r="LJ91" s="11"/>
      <c r="LK91" s="11"/>
      <c r="LL91" s="13"/>
      <c r="LM91" s="11"/>
      <c r="LN91" s="12"/>
      <c r="LO91" s="12"/>
      <c r="LP91" s="11"/>
      <c r="LQ91" s="13"/>
      <c r="LR91" s="11"/>
      <c r="LS91" s="11"/>
      <c r="LT91" s="13"/>
      <c r="LU91" s="11"/>
      <c r="LV91" s="12"/>
      <c r="LW91" s="12"/>
    </row>
    <row r="92">
      <c r="A92" s="10" t="s">
        <v>72</v>
      </c>
      <c r="B92" s="10" t="s">
        <v>128</v>
      </c>
      <c r="C92" s="10" t="s">
        <v>118</v>
      </c>
      <c r="D92" s="11">
        <v>1985</v>
      </c>
      <c r="E92" s="11">
        <f>=ROUNDDOWN(31.259842519685,0)</f>
      </c>
      <c r="F92" s="11">
        <v>7580</v>
      </c>
      <c r="G92" s="12">
        <v>1</v>
      </c>
      <c r="H92" s="11"/>
      <c r="I92" s="11">
        <f>=ROUNDDOWN({0},0)</f>
      </c>
      <c r="J92" s="11"/>
      <c r="K92" s="12"/>
      <c r="L92" s="11">
        <v>706</v>
      </c>
      <c r="M92" s="13">
        <v>24885.15</v>
      </c>
      <c r="N92" s="11"/>
      <c r="O92" s="14"/>
      <c r="P92" s="11"/>
      <c r="Q92" s="13"/>
      <c r="R92" s="11"/>
      <c r="S92" s="14"/>
      <c r="T92" s="12"/>
      <c r="U92" s="12"/>
      <c r="V92" s="12"/>
      <c r="W92" s="12"/>
      <c r="X92" s="11"/>
      <c r="Y92" s="13"/>
      <c r="Z92" s="11"/>
      <c r="AA92" s="11"/>
      <c r="AB92" s="13"/>
      <c r="AC92" s="11"/>
      <c r="AD92" s="12"/>
      <c r="AE92" s="12"/>
      <c r="AF92" s="11"/>
      <c r="AG92" s="13"/>
      <c r="AH92" s="11"/>
      <c r="AI92" s="11"/>
      <c r="AJ92" s="13"/>
      <c r="AK92" s="11"/>
      <c r="AL92" s="12"/>
      <c r="AM92" s="12"/>
      <c r="AN92" s="11"/>
      <c r="AO92" s="13"/>
      <c r="AP92" s="11"/>
      <c r="AQ92" s="11"/>
      <c r="AR92" s="13"/>
      <c r="AS92" s="11"/>
      <c r="AT92" s="12"/>
      <c r="AU92" s="12"/>
      <c r="AV92" s="11"/>
      <c r="AW92" s="13"/>
      <c r="AX92" s="11"/>
      <c r="AY92" s="11"/>
      <c r="AZ92" s="13"/>
      <c r="BA92" s="11"/>
      <c r="BB92" s="12"/>
      <c r="BC92" s="12"/>
      <c r="BD92" s="11"/>
      <c r="BE92" s="13"/>
      <c r="BF92" s="11"/>
      <c r="BG92" s="11"/>
      <c r="BH92" s="13"/>
      <c r="BI92" s="11"/>
      <c r="BJ92" s="12"/>
      <c r="BK92" s="12"/>
      <c r="BL92" s="11"/>
      <c r="BM92" s="13"/>
      <c r="BN92" s="11"/>
      <c r="BO92" s="11"/>
      <c r="BP92" s="13"/>
      <c r="BQ92" s="11"/>
      <c r="BR92" s="12"/>
      <c r="BS92" s="12"/>
      <c r="BT92" s="11"/>
      <c r="BU92" s="13"/>
      <c r="BV92" s="11"/>
      <c r="BW92" s="11"/>
      <c r="BX92" s="13"/>
      <c r="BY92" s="11"/>
      <c r="BZ92" s="12"/>
      <c r="CA92" s="12"/>
      <c r="CB92" s="11"/>
      <c r="CC92" s="13"/>
      <c r="CD92" s="11"/>
      <c r="CE92" s="11"/>
      <c r="CF92" s="13"/>
      <c r="CG92" s="11"/>
      <c r="CH92" s="12"/>
      <c r="CI92" s="12"/>
      <c r="CJ92" s="11"/>
      <c r="CK92" s="13"/>
      <c r="CL92" s="11"/>
      <c r="CM92" s="11"/>
      <c r="CN92" s="13"/>
      <c r="CO92" s="11"/>
      <c r="CP92" s="12"/>
      <c r="CQ92" s="12"/>
      <c r="CR92" s="11"/>
      <c r="CS92" s="13"/>
      <c r="CT92" s="11"/>
      <c r="CU92" s="11"/>
      <c r="CV92" s="13"/>
      <c r="CW92" s="11"/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/>
      <c r="DI92" s="13"/>
      <c r="DJ92" s="11"/>
      <c r="DK92" s="11"/>
      <c r="DL92" s="13"/>
      <c r="DM92" s="11"/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>
        <v>706</v>
      </c>
      <c r="EW92" s="13">
        <v>24885.15</v>
      </c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/>
      <c r="GS92" s="13"/>
      <c r="GT92" s="11"/>
      <c r="GU92" s="11"/>
      <c r="GV92" s="13"/>
      <c r="GW92" s="11"/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/>
      <c r="JO92" s="11"/>
      <c r="JP92" s="13"/>
      <c r="JQ92" s="11"/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/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  <c r="LH92" s="11"/>
      <c r="LI92" s="13"/>
      <c r="LJ92" s="11"/>
      <c r="LK92" s="11"/>
      <c r="LL92" s="13"/>
      <c r="LM92" s="11"/>
      <c r="LN92" s="12"/>
      <c r="LO92" s="12"/>
      <c r="LP92" s="11"/>
      <c r="LQ92" s="13"/>
      <c r="LR92" s="11"/>
      <c r="LS92" s="11"/>
      <c r="LT92" s="13"/>
      <c r="LU92" s="11"/>
      <c r="LV92" s="12"/>
      <c r="LW92" s="12"/>
    </row>
    <row r="93">
      <c r="A93" s="10" t="s">
        <v>72</v>
      </c>
      <c r="B93" s="10" t="s">
        <v>129</v>
      </c>
      <c r="C93" s="10" t="s">
        <v>77</v>
      </c>
      <c r="D93" s="11">
        <v>61729</v>
      </c>
      <c r="E93" s="11">
        <f>=ROUNDDOWN({0},0)</f>
      </c>
      <c r="F93" s="11">
        <v>62338</v>
      </c>
      <c r="G93" s="12"/>
      <c r="H93" s="11"/>
      <c r="I93" s="11">
        <f>=ROUNDDOWN({0},0)</f>
      </c>
      <c r="J93" s="11"/>
      <c r="K93" s="12"/>
      <c r="L93" s="11">
        <v>15983</v>
      </c>
      <c r="M93" s="13">
        <v>260410.24</v>
      </c>
      <c r="N93" s="11"/>
      <c r="O93" s="14"/>
      <c r="P93" s="11"/>
      <c r="Q93" s="13"/>
      <c r="R93" s="11"/>
      <c r="S93" s="14"/>
      <c r="T93" s="12"/>
      <c r="U93" s="12"/>
      <c r="V93" s="12"/>
      <c r="W93" s="12"/>
      <c r="X93" s="11"/>
      <c r="Y93" s="13"/>
      <c r="Z93" s="11"/>
      <c r="AA93" s="11"/>
      <c r="AB93" s="13"/>
      <c r="AC93" s="11"/>
      <c r="AD93" s="12"/>
      <c r="AE93" s="12"/>
      <c r="AF93" s="11"/>
      <c r="AG93" s="13"/>
      <c r="AH93" s="11"/>
      <c r="AI93" s="11"/>
      <c r="AJ93" s="13"/>
      <c r="AK93" s="11"/>
      <c r="AL93" s="12"/>
      <c r="AM93" s="12"/>
      <c r="AN93" s="11"/>
      <c r="AO93" s="13"/>
      <c r="AP93" s="11"/>
      <c r="AQ93" s="11"/>
      <c r="AR93" s="13"/>
      <c r="AS93" s="11"/>
      <c r="AT93" s="12"/>
      <c r="AU93" s="12"/>
      <c r="AV93" s="11"/>
      <c r="AW93" s="13"/>
      <c r="AX93" s="11"/>
      <c r="AY93" s="11"/>
      <c r="AZ93" s="13"/>
      <c r="BA93" s="11"/>
      <c r="BB93" s="12"/>
      <c r="BC93" s="12"/>
      <c r="BD93" s="11"/>
      <c r="BE93" s="13"/>
      <c r="BF93" s="11"/>
      <c r="BG93" s="11"/>
      <c r="BH93" s="13"/>
      <c r="BI93" s="11"/>
      <c r="BJ93" s="12"/>
      <c r="BK93" s="12"/>
      <c r="BL93" s="11"/>
      <c r="BM93" s="13"/>
      <c r="BN93" s="11"/>
      <c r="BO93" s="11"/>
      <c r="BP93" s="13"/>
      <c r="BQ93" s="11"/>
      <c r="BR93" s="12"/>
      <c r="BS93" s="12"/>
      <c r="BT93" s="11"/>
      <c r="BU93" s="13"/>
      <c r="BV93" s="11"/>
      <c r="BW93" s="11"/>
      <c r="BX93" s="13"/>
      <c r="BY93" s="11"/>
      <c r="BZ93" s="12"/>
      <c r="CA93" s="12"/>
      <c r="CB93" s="11"/>
      <c r="CC93" s="13"/>
      <c r="CD93" s="11"/>
      <c r="CE93" s="11"/>
      <c r="CF93" s="13"/>
      <c r="CG93" s="11"/>
      <c r="CH93" s="12"/>
      <c r="CI93" s="12"/>
      <c r="CJ93" s="11"/>
      <c r="CK93" s="13"/>
      <c r="CL93" s="11"/>
      <c r="CM93" s="11"/>
      <c r="CN93" s="13"/>
      <c r="CO93" s="11"/>
      <c r="CP93" s="12"/>
      <c r="CQ93" s="12"/>
      <c r="CR93" s="11">
        <v>14748</v>
      </c>
      <c r="CS93" s="13">
        <v>228168.6</v>
      </c>
      <c r="CT93" s="11"/>
      <c r="CU93" s="11"/>
      <c r="CV93" s="13"/>
      <c r="CW93" s="11"/>
      <c r="CX93" s="12"/>
      <c r="CY93" s="12"/>
      <c r="CZ93" s="11"/>
      <c r="DA93" s="13"/>
      <c r="DB93" s="11"/>
      <c r="DC93" s="11"/>
      <c r="DD93" s="13"/>
      <c r="DE93" s="11"/>
      <c r="DF93" s="12"/>
      <c r="DG93" s="12"/>
      <c r="DH93" s="11"/>
      <c r="DI93" s="13"/>
      <c r="DJ93" s="11"/>
      <c r="DK93" s="11"/>
      <c r="DL93" s="13"/>
      <c r="DM93" s="11"/>
      <c r="DN93" s="12"/>
      <c r="DO93" s="12"/>
      <c r="DP93" s="11"/>
      <c r="DQ93" s="13"/>
      <c r="DR93" s="11"/>
      <c r="DS93" s="11"/>
      <c r="DT93" s="13"/>
      <c r="DU93" s="11"/>
      <c r="DV93" s="12"/>
      <c r="DW93" s="12"/>
      <c r="DX93" s="11"/>
      <c r="DY93" s="13"/>
      <c r="DZ93" s="11"/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>
        <v>1235</v>
      </c>
      <c r="EW93" s="13">
        <v>32241.64</v>
      </c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/>
      <c r="FR93" s="12"/>
      <c r="FS93" s="12"/>
      <c r="FT93" s="11"/>
      <c r="FU93" s="13"/>
      <c r="FV93" s="11"/>
      <c r="FW93" s="11"/>
      <c r="FX93" s="13"/>
      <c r="FY93" s="11"/>
      <c r="FZ93" s="12"/>
      <c r="GA93" s="12"/>
      <c r="GB93" s="11"/>
      <c r="GC93" s="13"/>
      <c r="GD93" s="11"/>
      <c r="GE93" s="11"/>
      <c r="GF93" s="13"/>
      <c r="GG93" s="11"/>
      <c r="GH93" s="12"/>
      <c r="GI93" s="12"/>
      <c r="GJ93" s="11"/>
      <c r="GK93" s="13"/>
      <c r="GL93" s="11"/>
      <c r="GM93" s="11"/>
      <c r="GN93" s="13"/>
      <c r="GO93" s="11"/>
      <c r="GP93" s="12"/>
      <c r="GQ93" s="12"/>
      <c r="GR93" s="11"/>
      <c r="GS93" s="13"/>
      <c r="GT93" s="11"/>
      <c r="GU93" s="11"/>
      <c r="GV93" s="13"/>
      <c r="GW93" s="11"/>
      <c r="GX93" s="12"/>
      <c r="GY93" s="12"/>
      <c r="GZ93" s="11"/>
      <c r="HA93" s="13"/>
      <c r="HB93" s="11"/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/>
      <c r="HS93" s="11"/>
      <c r="HT93" s="13"/>
      <c r="HU93" s="11"/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/>
      <c r="JO93" s="11"/>
      <c r="JP93" s="13"/>
      <c r="JQ93" s="11"/>
      <c r="JR93" s="12"/>
      <c r="JS93" s="12"/>
      <c r="JT93" s="11"/>
      <c r="JU93" s="13"/>
      <c r="JV93" s="11"/>
      <c r="JW93" s="11"/>
      <c r="JX93" s="13"/>
      <c r="JY93" s="11"/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/>
      <c r="KM93" s="11"/>
      <c r="KN93" s="13"/>
      <c r="KO93" s="11"/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  <c r="LH93" s="11"/>
      <c r="LI93" s="13"/>
      <c r="LJ93" s="11"/>
      <c r="LK93" s="11"/>
      <c r="LL93" s="13"/>
      <c r="LM93" s="11"/>
      <c r="LN93" s="12"/>
      <c r="LO93" s="12"/>
      <c r="LP93" s="11"/>
      <c r="LQ93" s="13"/>
      <c r="LR93" s="11"/>
      <c r="LS93" s="11"/>
      <c r="LT93" s="13"/>
      <c r="LU93" s="11"/>
      <c r="LV93" s="12"/>
      <c r="LW93" s="12"/>
    </row>
    <row r="94">
      <c r="A94" s="10" t="s">
        <v>72</v>
      </c>
      <c r="B94" s="10" t="s">
        <v>130</v>
      </c>
      <c r="C94" s="10" t="s">
        <v>74</v>
      </c>
      <c r="D94" s="11"/>
      <c r="E94" s="11">
        <f>=ROUNDDOWN({0},0)</f>
      </c>
      <c r="F94" s="11"/>
      <c r="G94" s="12">
        <v>0.1149</v>
      </c>
      <c r="H94" s="11"/>
      <c r="I94" s="11">
        <f>=ROUNDDOWN({0},0)</f>
      </c>
      <c r="J94" s="11"/>
      <c r="K94" s="12"/>
      <c r="L94" s="11"/>
      <c r="M94" s="13"/>
      <c r="N94" s="11"/>
      <c r="O94" s="14"/>
      <c r="P94" s="11"/>
      <c r="Q94" s="13"/>
      <c r="R94" s="11"/>
      <c r="S94" s="14"/>
      <c r="T94" s="12"/>
      <c r="U94" s="12"/>
      <c r="V94" s="12"/>
      <c r="W94" s="12"/>
      <c r="X94" s="11"/>
      <c r="Y94" s="13"/>
      <c r="Z94" s="11"/>
      <c r="AA94" s="11"/>
      <c r="AB94" s="13"/>
      <c r="AC94" s="11"/>
      <c r="AD94" s="12"/>
      <c r="AE94" s="12"/>
      <c r="AF94" s="11"/>
      <c r="AG94" s="13"/>
      <c r="AH94" s="11"/>
      <c r="AI94" s="11"/>
      <c r="AJ94" s="13"/>
      <c r="AK94" s="11"/>
      <c r="AL94" s="12"/>
      <c r="AM94" s="12"/>
      <c r="AN94" s="11"/>
      <c r="AO94" s="13"/>
      <c r="AP94" s="11"/>
      <c r="AQ94" s="11"/>
      <c r="AR94" s="13"/>
      <c r="AS94" s="11"/>
      <c r="AT94" s="12"/>
      <c r="AU94" s="12"/>
      <c r="AV94" s="11"/>
      <c r="AW94" s="13"/>
      <c r="AX94" s="11"/>
      <c r="AY94" s="11"/>
      <c r="AZ94" s="13"/>
      <c r="BA94" s="11"/>
      <c r="BB94" s="12"/>
      <c r="BC94" s="12"/>
      <c r="BD94" s="11"/>
      <c r="BE94" s="13"/>
      <c r="BF94" s="11"/>
      <c r="BG94" s="11"/>
      <c r="BH94" s="13"/>
      <c r="BI94" s="11"/>
      <c r="BJ94" s="12"/>
      <c r="BK94" s="12"/>
      <c r="BL94" s="11"/>
      <c r="BM94" s="13"/>
      <c r="BN94" s="11"/>
      <c r="BO94" s="11"/>
      <c r="BP94" s="13"/>
      <c r="BQ94" s="11"/>
      <c r="BR94" s="12"/>
      <c r="BS94" s="12"/>
      <c r="BT94" s="11"/>
      <c r="BU94" s="13"/>
      <c r="BV94" s="11"/>
      <c r="BW94" s="11"/>
      <c r="BX94" s="13"/>
      <c r="BY94" s="11"/>
      <c r="BZ94" s="12"/>
      <c r="CA94" s="12"/>
      <c r="CB94" s="11"/>
      <c r="CC94" s="13"/>
      <c r="CD94" s="11"/>
      <c r="CE94" s="11"/>
      <c r="CF94" s="13"/>
      <c r="CG94" s="11"/>
      <c r="CH94" s="12"/>
      <c r="CI94" s="12"/>
      <c r="CJ94" s="11"/>
      <c r="CK94" s="13"/>
      <c r="CL94" s="11"/>
      <c r="CM94" s="11"/>
      <c r="CN94" s="13"/>
      <c r="CO94" s="11"/>
      <c r="CP94" s="12"/>
      <c r="CQ94" s="12"/>
      <c r="CR94" s="11"/>
      <c r="CS94" s="13"/>
      <c r="CT94" s="11"/>
      <c r="CU94" s="11"/>
      <c r="CV94" s="13"/>
      <c r="CW94" s="11"/>
      <c r="CX94" s="12"/>
      <c r="CY94" s="12"/>
      <c r="CZ94" s="11"/>
      <c r="DA94" s="13"/>
      <c r="DB94" s="11"/>
      <c r="DC94" s="11"/>
      <c r="DD94" s="13"/>
      <c r="DE94" s="11"/>
      <c r="DF94" s="12"/>
      <c r="DG94" s="12"/>
      <c r="DH94" s="11"/>
      <c r="DI94" s="13"/>
      <c r="DJ94" s="11"/>
      <c r="DK94" s="11"/>
      <c r="DL94" s="13"/>
      <c r="DM94" s="11"/>
      <c r="DN94" s="12"/>
      <c r="DO94" s="12"/>
      <c r="DP94" s="11"/>
      <c r="DQ94" s="13"/>
      <c r="DR94" s="11"/>
      <c r="DS94" s="11"/>
      <c r="DT94" s="13"/>
      <c r="DU94" s="11"/>
      <c r="DV94" s="12"/>
      <c r="DW94" s="12"/>
      <c r="DX94" s="11"/>
      <c r="DY94" s="13"/>
      <c r="DZ94" s="11"/>
      <c r="EA94" s="11"/>
      <c r="EB94" s="13"/>
      <c r="EC94" s="11"/>
      <c r="ED94" s="12"/>
      <c r="EE94" s="12"/>
      <c r="EF94" s="11"/>
      <c r="EG94" s="13"/>
      <c r="EH94" s="11"/>
      <c r="EI94" s="11"/>
      <c r="EJ94" s="13"/>
      <c r="EK94" s="11"/>
      <c r="EL94" s="12"/>
      <c r="EM94" s="12"/>
      <c r="EN94" s="11"/>
      <c r="EO94" s="13"/>
      <c r="EP94" s="11"/>
      <c r="EQ94" s="11"/>
      <c r="ER94" s="13"/>
      <c r="ES94" s="11"/>
      <c r="ET94" s="12"/>
      <c r="EU94" s="12"/>
      <c r="EV94" s="11"/>
      <c r="EW94" s="13"/>
      <c r="EX94" s="11"/>
      <c r="EY94" s="11"/>
      <c r="EZ94" s="13"/>
      <c r="FA94" s="11"/>
      <c r="FB94" s="12"/>
      <c r="FC94" s="12"/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/>
      <c r="FO94" s="11"/>
      <c r="FP94" s="13"/>
      <c r="FQ94" s="11"/>
      <c r="FR94" s="12"/>
      <c r="FS94" s="12"/>
      <c r="FT94" s="11"/>
      <c r="FU94" s="13"/>
      <c r="FV94" s="11"/>
      <c r="FW94" s="11"/>
      <c r="FX94" s="13"/>
      <c r="FY94" s="11"/>
      <c r="FZ94" s="12"/>
      <c r="GA94" s="12"/>
      <c r="GB94" s="11"/>
      <c r="GC94" s="13"/>
      <c r="GD94" s="11"/>
      <c r="GE94" s="11"/>
      <c r="GF94" s="13"/>
      <c r="GG94" s="11"/>
      <c r="GH94" s="12"/>
      <c r="GI94" s="12"/>
      <c r="GJ94" s="11"/>
      <c r="GK94" s="13"/>
      <c r="GL94" s="11"/>
      <c r="GM94" s="11"/>
      <c r="GN94" s="13"/>
      <c r="GO94" s="11"/>
      <c r="GP94" s="12"/>
      <c r="GQ94" s="12"/>
      <c r="GR94" s="11"/>
      <c r="GS94" s="13"/>
      <c r="GT94" s="11"/>
      <c r="GU94" s="11"/>
      <c r="GV94" s="13"/>
      <c r="GW94" s="11"/>
      <c r="GX94" s="12"/>
      <c r="GY94" s="12"/>
      <c r="GZ94" s="11"/>
      <c r="HA94" s="13"/>
      <c r="HB94" s="11"/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/>
      <c r="HS94" s="11"/>
      <c r="HT94" s="13"/>
      <c r="HU94" s="11"/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/>
      <c r="JO94" s="11"/>
      <c r="JP94" s="13"/>
      <c r="JQ94" s="11"/>
      <c r="JR94" s="12"/>
      <c r="JS94" s="12"/>
      <c r="JT94" s="11"/>
      <c r="JU94" s="13"/>
      <c r="JV94" s="11"/>
      <c r="JW94" s="11"/>
      <c r="JX94" s="13"/>
      <c r="JY94" s="11"/>
      <c r="JZ94" s="12"/>
      <c r="KA94" s="12"/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/>
      <c r="KM94" s="11"/>
      <c r="KN94" s="13"/>
      <c r="KO94" s="11"/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  <c r="LH94" s="11"/>
      <c r="LI94" s="13"/>
      <c r="LJ94" s="11"/>
      <c r="LK94" s="11"/>
      <c r="LL94" s="13"/>
      <c r="LM94" s="11"/>
      <c r="LN94" s="12"/>
      <c r="LO94" s="12"/>
      <c r="LP94" s="11"/>
      <c r="LQ94" s="13"/>
      <c r="LR94" s="11"/>
      <c r="LS94" s="11"/>
      <c r="LT94" s="13"/>
      <c r="LU94" s="11"/>
      <c r="LV94" s="12"/>
      <c r="LW94" s="12"/>
    </row>
    <row r="95">
      <c r="A95" s="10" t="s">
        <v>72</v>
      </c>
      <c r="B95" s="10" t="s">
        <v>131</v>
      </c>
      <c r="C95" s="10" t="s">
        <v>77</v>
      </c>
      <c r="D95" s="11"/>
      <c r="E95" s="11">
        <f>=ROUNDDOWN({0},0)</f>
      </c>
      <c r="F95" s="11"/>
      <c r="G95" s="12"/>
      <c r="H95" s="11"/>
      <c r="I95" s="11">
        <f>=ROUNDDOWN({0},0)</f>
      </c>
      <c r="J95" s="11"/>
      <c r="K95" s="12"/>
      <c r="L95" s="11"/>
      <c r="M95" s="13"/>
      <c r="N95" s="11"/>
      <c r="O95" s="14"/>
      <c r="P95" s="11"/>
      <c r="Q95" s="13"/>
      <c r="R95" s="11"/>
      <c r="S95" s="14"/>
      <c r="T95" s="12"/>
      <c r="U95" s="12"/>
      <c r="V95" s="12"/>
      <c r="W95" s="12"/>
      <c r="X95" s="11"/>
      <c r="Y95" s="13"/>
      <c r="Z95" s="11"/>
      <c r="AA95" s="11"/>
      <c r="AB95" s="13"/>
      <c r="AC95" s="11"/>
      <c r="AD95" s="12"/>
      <c r="AE95" s="12"/>
      <c r="AF95" s="11"/>
      <c r="AG95" s="13"/>
      <c r="AH95" s="11"/>
      <c r="AI95" s="11"/>
      <c r="AJ95" s="13"/>
      <c r="AK95" s="11"/>
      <c r="AL95" s="12"/>
      <c r="AM95" s="12"/>
      <c r="AN95" s="11"/>
      <c r="AO95" s="13"/>
      <c r="AP95" s="11"/>
      <c r="AQ95" s="11"/>
      <c r="AR95" s="13"/>
      <c r="AS95" s="11"/>
      <c r="AT95" s="12"/>
      <c r="AU95" s="12"/>
      <c r="AV95" s="11"/>
      <c r="AW95" s="13"/>
      <c r="AX95" s="11"/>
      <c r="AY95" s="11"/>
      <c r="AZ95" s="13"/>
      <c r="BA95" s="11"/>
      <c r="BB95" s="12"/>
      <c r="BC95" s="12"/>
      <c r="BD95" s="11"/>
      <c r="BE95" s="13"/>
      <c r="BF95" s="11"/>
      <c r="BG95" s="11"/>
      <c r="BH95" s="13"/>
      <c r="BI95" s="11"/>
      <c r="BJ95" s="12"/>
      <c r="BK95" s="12"/>
      <c r="BL95" s="11"/>
      <c r="BM95" s="13"/>
      <c r="BN95" s="11"/>
      <c r="BO95" s="11"/>
      <c r="BP95" s="13"/>
      <c r="BQ95" s="11"/>
      <c r="BR95" s="12"/>
      <c r="BS95" s="12"/>
      <c r="BT95" s="11"/>
      <c r="BU95" s="13"/>
      <c r="BV95" s="11"/>
      <c r="BW95" s="11"/>
      <c r="BX95" s="13"/>
      <c r="BY95" s="11"/>
      <c r="BZ95" s="12"/>
      <c r="CA95" s="12"/>
      <c r="CB95" s="11"/>
      <c r="CC95" s="13"/>
      <c r="CD95" s="11"/>
      <c r="CE95" s="11"/>
      <c r="CF95" s="13"/>
      <c r="CG95" s="11"/>
      <c r="CH95" s="12"/>
      <c r="CI95" s="12"/>
      <c r="CJ95" s="11"/>
      <c r="CK95" s="13"/>
      <c r="CL95" s="11"/>
      <c r="CM95" s="11"/>
      <c r="CN95" s="13"/>
      <c r="CO95" s="11"/>
      <c r="CP95" s="12"/>
      <c r="CQ95" s="12"/>
      <c r="CR95" s="11"/>
      <c r="CS95" s="13"/>
      <c r="CT95" s="11"/>
      <c r="CU95" s="11"/>
      <c r="CV95" s="13"/>
      <c r="CW95" s="11"/>
      <c r="CX95" s="12"/>
      <c r="CY95" s="12"/>
      <c r="CZ95" s="11"/>
      <c r="DA95" s="13"/>
      <c r="DB95" s="11"/>
      <c r="DC95" s="11"/>
      <c r="DD95" s="13"/>
      <c r="DE95" s="11"/>
      <c r="DF95" s="12"/>
      <c r="DG95" s="12"/>
      <c r="DH95" s="11"/>
      <c r="DI95" s="13"/>
      <c r="DJ95" s="11"/>
      <c r="DK95" s="11"/>
      <c r="DL95" s="13"/>
      <c r="DM95" s="11"/>
      <c r="DN95" s="12"/>
      <c r="DO95" s="12"/>
      <c r="DP95" s="11"/>
      <c r="DQ95" s="13"/>
      <c r="DR95" s="11"/>
      <c r="DS95" s="11"/>
      <c r="DT95" s="13"/>
      <c r="DU95" s="11"/>
      <c r="DV95" s="12"/>
      <c r="DW95" s="12"/>
      <c r="DX95" s="11"/>
      <c r="DY95" s="13"/>
      <c r="DZ95" s="11"/>
      <c r="EA95" s="11"/>
      <c r="EB95" s="13"/>
      <c r="EC95" s="11"/>
      <c r="ED95" s="12"/>
      <c r="EE95" s="12"/>
      <c r="EF95" s="11"/>
      <c r="EG95" s="13"/>
      <c r="EH95" s="11"/>
      <c r="EI95" s="11"/>
      <c r="EJ95" s="13"/>
      <c r="EK95" s="11"/>
      <c r="EL95" s="12"/>
      <c r="EM95" s="12"/>
      <c r="EN95" s="11"/>
      <c r="EO95" s="13"/>
      <c r="EP95" s="11"/>
      <c r="EQ95" s="11"/>
      <c r="ER95" s="13"/>
      <c r="ES95" s="11"/>
      <c r="ET95" s="12"/>
      <c r="EU95" s="12"/>
      <c r="EV95" s="11"/>
      <c r="EW95" s="13"/>
      <c r="EX95" s="11"/>
      <c r="EY95" s="11"/>
      <c r="EZ95" s="13"/>
      <c r="FA95" s="11"/>
      <c r="FB95" s="12"/>
      <c r="FC95" s="12"/>
      <c r="FD95" s="11"/>
      <c r="FE95" s="13"/>
      <c r="FF95" s="11"/>
      <c r="FG95" s="11"/>
      <c r="FH95" s="13"/>
      <c r="FI95" s="11"/>
      <c r="FJ95" s="12"/>
      <c r="FK95" s="12"/>
      <c r="FL95" s="11"/>
      <c r="FM95" s="13"/>
      <c r="FN95" s="11"/>
      <c r="FO95" s="11"/>
      <c r="FP95" s="13"/>
      <c r="FQ95" s="11"/>
      <c r="FR95" s="12"/>
      <c r="FS95" s="12"/>
      <c r="FT95" s="11"/>
      <c r="FU95" s="13"/>
      <c r="FV95" s="11"/>
      <c r="FW95" s="11"/>
      <c r="FX95" s="13"/>
      <c r="FY95" s="11"/>
      <c r="FZ95" s="12"/>
      <c r="GA95" s="12"/>
      <c r="GB95" s="11"/>
      <c r="GC95" s="13"/>
      <c r="GD95" s="11"/>
      <c r="GE95" s="11"/>
      <c r="GF95" s="13"/>
      <c r="GG95" s="11"/>
      <c r="GH95" s="12"/>
      <c r="GI95" s="12"/>
      <c r="GJ95" s="11"/>
      <c r="GK95" s="13"/>
      <c r="GL95" s="11"/>
      <c r="GM95" s="11"/>
      <c r="GN95" s="13"/>
      <c r="GO95" s="11"/>
      <c r="GP95" s="12"/>
      <c r="GQ95" s="12"/>
      <c r="GR95" s="11"/>
      <c r="GS95" s="13"/>
      <c r="GT95" s="11"/>
      <c r="GU95" s="11"/>
      <c r="GV95" s="13"/>
      <c r="GW95" s="11"/>
      <c r="GX95" s="12"/>
      <c r="GY95" s="12"/>
      <c r="GZ95" s="11"/>
      <c r="HA95" s="13"/>
      <c r="HB95" s="11"/>
      <c r="HC95" s="11"/>
      <c r="HD95" s="13"/>
      <c r="HE95" s="11"/>
      <c r="HF95" s="12"/>
      <c r="HG95" s="12"/>
      <c r="HH95" s="11"/>
      <c r="HI95" s="13"/>
      <c r="HJ95" s="11"/>
      <c r="HK95" s="11"/>
      <c r="HL95" s="13"/>
      <c r="HM95" s="11"/>
      <c r="HN95" s="12"/>
      <c r="HO95" s="12"/>
      <c r="HP95" s="11"/>
      <c r="HQ95" s="13"/>
      <c r="HR95" s="11"/>
      <c r="HS95" s="11"/>
      <c r="HT95" s="13"/>
      <c r="HU95" s="11"/>
      <c r="HV95" s="12"/>
      <c r="HW95" s="12"/>
      <c r="HX95" s="11"/>
      <c r="HY95" s="13"/>
      <c r="HZ95" s="11"/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/>
      <c r="IQ95" s="11"/>
      <c r="IR95" s="13"/>
      <c r="IS95" s="11"/>
      <c r="IT95" s="12"/>
      <c r="IU95" s="12"/>
      <c r="IV95" s="11"/>
      <c r="IW95" s="13"/>
      <c r="IX95" s="11"/>
      <c r="IY95" s="11"/>
      <c r="IZ95" s="13"/>
      <c r="JA95" s="11"/>
      <c r="JB95" s="12"/>
      <c r="JC95" s="12"/>
      <c r="JD95" s="11"/>
      <c r="JE95" s="13"/>
      <c r="JF95" s="11"/>
      <c r="JG95" s="11"/>
      <c r="JH95" s="13"/>
      <c r="JI95" s="11"/>
      <c r="JJ95" s="12"/>
      <c r="JK95" s="12"/>
      <c r="JL95" s="11"/>
      <c r="JM95" s="13"/>
      <c r="JN95" s="11"/>
      <c r="JO95" s="11"/>
      <c r="JP95" s="13"/>
      <c r="JQ95" s="11"/>
      <c r="JR95" s="12"/>
      <c r="JS95" s="12"/>
      <c r="JT95" s="11"/>
      <c r="JU95" s="13"/>
      <c r="JV95" s="11"/>
      <c r="JW95" s="11"/>
      <c r="JX95" s="13"/>
      <c r="JY95" s="11"/>
      <c r="JZ95" s="12"/>
      <c r="KA95" s="12"/>
      <c r="KB95" s="11"/>
      <c r="KC95" s="13"/>
      <c r="KD95" s="11"/>
      <c r="KE95" s="11"/>
      <c r="KF95" s="13"/>
      <c r="KG95" s="11"/>
      <c r="KH95" s="12"/>
      <c r="KI95" s="12"/>
      <c r="KJ95" s="11"/>
      <c r="KK95" s="13"/>
      <c r="KL95" s="11"/>
      <c r="KM95" s="11"/>
      <c r="KN95" s="13"/>
      <c r="KO95" s="11"/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  <c r="LH95" s="11"/>
      <c r="LI95" s="13"/>
      <c r="LJ95" s="11"/>
      <c r="LK95" s="11"/>
      <c r="LL95" s="13"/>
      <c r="LM95" s="11"/>
      <c r="LN95" s="12"/>
      <c r="LO95" s="12"/>
      <c r="LP95" s="11"/>
      <c r="LQ95" s="13"/>
      <c r="LR95" s="11"/>
      <c r="LS95" s="11"/>
      <c r="LT95" s="13"/>
      <c r="LU95" s="11"/>
      <c r="LV95" s="12"/>
      <c r="LW95" s="12"/>
    </row>
    <row r="96">
      <c r="A96" s="10" t="s">
        <v>72</v>
      </c>
      <c r="B96" s="10" t="s">
        <v>132</v>
      </c>
      <c r="C96" s="10" t="s">
        <v>74</v>
      </c>
      <c r="D96" s="11">
        <v>1036</v>
      </c>
      <c r="E96" s="11">
        <f>=ROUNDDOWN({0},0)</f>
      </c>
      <c r="F96" s="11">
        <v>6566</v>
      </c>
      <c r="G96" s="12"/>
      <c r="H96" s="11"/>
      <c r="I96" s="11">
        <f>=ROUNDDOWN({0},0)</f>
      </c>
      <c r="J96" s="11"/>
      <c r="K96" s="12"/>
      <c r="L96" s="11"/>
      <c r="M96" s="13"/>
      <c r="N96" s="11"/>
      <c r="O96" s="14"/>
      <c r="P96" s="11"/>
      <c r="Q96" s="13"/>
      <c r="R96" s="11"/>
      <c r="S96" s="14"/>
      <c r="T96" s="12"/>
      <c r="U96" s="12"/>
      <c r="V96" s="12"/>
      <c r="W96" s="12"/>
      <c r="X96" s="11"/>
      <c r="Y96" s="13"/>
      <c r="Z96" s="11"/>
      <c r="AA96" s="11"/>
      <c r="AB96" s="13"/>
      <c r="AC96" s="11"/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/>
      <c r="AO96" s="13"/>
      <c r="AP96" s="11"/>
      <c r="AQ96" s="11"/>
      <c r="AR96" s="13"/>
      <c r="AS96" s="11"/>
      <c r="AT96" s="12"/>
      <c r="AU96" s="12"/>
      <c r="AV96" s="11"/>
      <c r="AW96" s="13"/>
      <c r="AX96" s="11"/>
      <c r="AY96" s="11"/>
      <c r="AZ96" s="13"/>
      <c r="BA96" s="11"/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  <c r="LH96" s="11"/>
      <c r="LI96" s="13"/>
      <c r="LJ96" s="11"/>
      <c r="LK96" s="11"/>
      <c r="LL96" s="13"/>
      <c r="LM96" s="11"/>
      <c r="LN96" s="12"/>
      <c r="LO96" s="12"/>
      <c r="LP96" s="11"/>
      <c r="LQ96" s="13"/>
      <c r="LR96" s="11"/>
      <c r="LS96" s="11"/>
      <c r="LT96" s="13"/>
      <c r="LU96" s="11"/>
      <c r="LV96" s="12"/>
      <c r="LW96" s="12"/>
    </row>
    <row r="97">
      <c r="A97" s="10" t="s">
        <v>72</v>
      </c>
      <c r="B97" s="10" t="s">
        <v>133</v>
      </c>
      <c r="C97" s="10" t="s">
        <v>77</v>
      </c>
      <c r="D97" s="11">
        <v>1036</v>
      </c>
      <c r="E97" s="11">
        <f>=ROUNDDOWN({0},0)</f>
      </c>
      <c r="F97" s="11">
        <v>6566</v>
      </c>
      <c r="G97" s="12"/>
      <c r="H97" s="11"/>
      <c r="I97" s="11">
        <f>=ROUNDDOWN({0},0)</f>
      </c>
      <c r="J97" s="11"/>
      <c r="K97" s="12"/>
      <c r="L97" s="11"/>
      <c r="M97" s="13"/>
      <c r="N97" s="11"/>
      <c r="O97" s="14"/>
      <c r="P97" s="11"/>
      <c r="Q97" s="13"/>
      <c r="R97" s="11"/>
      <c r="S97" s="14"/>
      <c r="T97" s="12"/>
      <c r="U97" s="12"/>
      <c r="V97" s="12"/>
      <c r="W97" s="12"/>
      <c r="X97" s="11"/>
      <c r="Y97" s="13"/>
      <c r="Z97" s="11"/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/>
      <c r="AO97" s="13"/>
      <c r="AP97" s="11"/>
      <c r="AQ97" s="11"/>
      <c r="AR97" s="13"/>
      <c r="AS97" s="11"/>
      <c r="AT97" s="12"/>
      <c r="AU97" s="12"/>
      <c r="AV97" s="11"/>
      <c r="AW97" s="13"/>
      <c r="AX97" s="11"/>
      <c r="AY97" s="11"/>
      <c r="AZ97" s="13"/>
      <c r="BA97" s="11"/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/>
      <c r="EW97" s="13"/>
      <c r="EX97" s="11"/>
      <c r="EY97" s="11"/>
      <c r="EZ97" s="13"/>
      <c r="FA97" s="11"/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  <c r="LH97" s="11"/>
      <c r="LI97" s="13"/>
      <c r="LJ97" s="11"/>
      <c r="LK97" s="11"/>
      <c r="LL97" s="13"/>
      <c r="LM97" s="11"/>
      <c r="LN97" s="12"/>
      <c r="LO97" s="12"/>
      <c r="LP97" s="11"/>
      <c r="LQ97" s="13"/>
      <c r="LR97" s="11"/>
      <c r="LS97" s="11"/>
      <c r="LT97" s="13"/>
      <c r="LU97" s="11"/>
      <c r="LV97" s="12"/>
      <c r="LW97" s="12"/>
    </row>
    <row r="98">
      <c r="A98" s="10" t="s">
        <v>72</v>
      </c>
      <c r="B98" s="10" t="s">
        <v>134</v>
      </c>
      <c r="C98" s="10" t="s">
        <v>74</v>
      </c>
      <c r="D98" s="11">
        <v>198077</v>
      </c>
      <c r="E98" s="11">
        <f>=ROUNDDOWN(41.0462730795532,0)</f>
      </c>
      <c r="F98" s="11">
        <v>38576</v>
      </c>
      <c r="G98" s="12">
        <v>0.9704</v>
      </c>
      <c r="H98" s="11"/>
      <c r="I98" s="11">
        <f>=ROUNDDOWN({0},0)</f>
      </c>
      <c r="J98" s="11"/>
      <c r="K98" s="12"/>
      <c r="L98" s="11">
        <v>65826</v>
      </c>
      <c r="M98" s="13">
        <v>1885309.1</v>
      </c>
      <c r="N98" s="11">
        <v>188</v>
      </c>
      <c r="O98" s="14">
        <v>10028.24</v>
      </c>
      <c r="P98" s="11"/>
      <c r="Q98" s="13"/>
      <c r="R98" s="11"/>
      <c r="S98" s="14"/>
      <c r="T98" s="12"/>
      <c r="U98" s="12"/>
      <c r="V98" s="12"/>
      <c r="W98" s="12"/>
      <c r="X98" s="11">
        <v>6678</v>
      </c>
      <c r="Y98" s="13">
        <v>180023.83</v>
      </c>
      <c r="Z98" s="11">
        <v>152</v>
      </c>
      <c r="AA98" s="11"/>
      <c r="AB98" s="13"/>
      <c r="AC98" s="11"/>
      <c r="AD98" s="12"/>
      <c r="AE98" s="12"/>
      <c r="AF98" s="11">
        <v>5447</v>
      </c>
      <c r="AG98" s="13">
        <v>141398.91</v>
      </c>
      <c r="AH98" s="11">
        <v>159</v>
      </c>
      <c r="AI98" s="11"/>
      <c r="AJ98" s="13"/>
      <c r="AK98" s="11"/>
      <c r="AL98" s="12"/>
      <c r="AM98" s="12"/>
      <c r="AN98" s="11">
        <v>28947</v>
      </c>
      <c r="AO98" s="13">
        <v>737685.53</v>
      </c>
      <c r="AP98" s="11">
        <v>179</v>
      </c>
      <c r="AQ98" s="11"/>
      <c r="AR98" s="13"/>
      <c r="AS98" s="11"/>
      <c r="AT98" s="12"/>
      <c r="AU98" s="12"/>
      <c r="AV98" s="11">
        <v>3421</v>
      </c>
      <c r="AW98" s="13">
        <v>94632.94</v>
      </c>
      <c r="AX98" s="11">
        <v>168</v>
      </c>
      <c r="AY98" s="11"/>
      <c r="AZ98" s="13"/>
      <c r="BA98" s="11"/>
      <c r="BB98" s="12"/>
      <c r="BC98" s="12"/>
      <c r="BD98" s="11">
        <v>3287</v>
      </c>
      <c r="BE98" s="13">
        <v>99932.99</v>
      </c>
      <c r="BF98" s="11">
        <v>171</v>
      </c>
      <c r="BG98" s="11"/>
      <c r="BH98" s="13"/>
      <c r="BI98" s="11"/>
      <c r="BJ98" s="12"/>
      <c r="BK98" s="12"/>
      <c r="BL98" s="11">
        <v>3074</v>
      </c>
      <c r="BM98" s="13">
        <v>96050.71</v>
      </c>
      <c r="BN98" s="11">
        <v>185</v>
      </c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>
        <v>4013</v>
      </c>
      <c r="CC98" s="13">
        <v>97744.51</v>
      </c>
      <c r="CD98" s="11">
        <v>119</v>
      </c>
      <c r="CE98" s="11"/>
      <c r="CF98" s="13"/>
      <c r="CG98" s="11"/>
      <c r="CH98" s="12"/>
      <c r="CI98" s="12"/>
      <c r="CJ98" s="11">
        <v>8205</v>
      </c>
      <c r="CK98" s="13">
        <v>353298.43</v>
      </c>
      <c r="CL98" s="11">
        <v>185</v>
      </c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>
        <v>413</v>
      </c>
      <c r="DA98" s="13">
        <v>12757.75</v>
      </c>
      <c r="DB98" s="11">
        <v>39</v>
      </c>
      <c r="DC98" s="11"/>
      <c r="DD98" s="13"/>
      <c r="DE98" s="11"/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>
        <v>396</v>
      </c>
      <c r="DQ98" s="13">
        <v>11974.3</v>
      </c>
      <c r="DR98" s="11">
        <v>185</v>
      </c>
      <c r="DS98" s="11"/>
      <c r="DT98" s="13"/>
      <c r="DU98" s="11"/>
      <c r="DV98" s="12"/>
      <c r="DW98" s="12"/>
      <c r="DX98" s="11">
        <v>1449</v>
      </c>
      <c r="DY98" s="13">
        <v>35324.45</v>
      </c>
      <c r="DZ98" s="11">
        <v>185</v>
      </c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>
        <v>496</v>
      </c>
      <c r="EO98" s="13">
        <v>24484.75</v>
      </c>
      <c r="EP98" s="11">
        <v>188</v>
      </c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>
        <v>39</v>
      </c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  <c r="LH98" s="11"/>
      <c r="LI98" s="13"/>
      <c r="LJ98" s="11"/>
      <c r="LK98" s="11"/>
      <c r="LL98" s="13"/>
      <c r="LM98" s="11"/>
      <c r="LN98" s="12"/>
      <c r="LO98" s="12"/>
      <c r="LP98" s="11"/>
      <c r="LQ98" s="13"/>
      <c r="LR98" s="11"/>
      <c r="LS98" s="11"/>
      <c r="LT98" s="13"/>
      <c r="LU98" s="11"/>
      <c r="LV98" s="12"/>
      <c r="LW98" s="12"/>
    </row>
    <row r="99">
      <c r="A99" s="10" t="s">
        <v>72</v>
      </c>
      <c r="B99" s="10" t="s">
        <v>134</v>
      </c>
      <c r="C99" s="10" t="s">
        <v>83</v>
      </c>
      <c r="D99" s="11">
        <v>55803</v>
      </c>
      <c r="E99" s="11">
        <f>=ROUNDDOWN(38.0907849829351,0)</f>
      </c>
      <c r="F99" s="11">
        <v>9512</v>
      </c>
      <c r="G99" s="12">
        <v>0.9664</v>
      </c>
      <c r="H99" s="11"/>
      <c r="I99" s="11">
        <f>=ROUNDDOWN({0},0)</f>
      </c>
      <c r="J99" s="11"/>
      <c r="K99" s="12"/>
      <c r="L99" s="11">
        <v>17428</v>
      </c>
      <c r="M99" s="13">
        <v>378811.1</v>
      </c>
      <c r="N99" s="11">
        <v>95</v>
      </c>
      <c r="O99" s="14">
        <v>3987.49</v>
      </c>
      <c r="P99" s="11"/>
      <c r="Q99" s="13"/>
      <c r="R99" s="11"/>
      <c r="S99" s="14"/>
      <c r="T99" s="12"/>
      <c r="U99" s="12"/>
      <c r="V99" s="12"/>
      <c r="W99" s="12"/>
      <c r="X99" s="11">
        <v>8172</v>
      </c>
      <c r="Y99" s="13">
        <v>168100.83</v>
      </c>
      <c r="Z99" s="11">
        <v>95</v>
      </c>
      <c r="AA99" s="11"/>
      <c r="AB99" s="13"/>
      <c r="AC99" s="11"/>
      <c r="AD99" s="12"/>
      <c r="AE99" s="12"/>
      <c r="AF99" s="11">
        <v>1729</v>
      </c>
      <c r="AG99" s="13">
        <v>37001.9</v>
      </c>
      <c r="AH99" s="11">
        <v>60</v>
      </c>
      <c r="AI99" s="11"/>
      <c r="AJ99" s="13"/>
      <c r="AK99" s="11"/>
      <c r="AL99" s="12"/>
      <c r="AM99" s="12"/>
      <c r="AN99" s="11">
        <v>3099</v>
      </c>
      <c r="AO99" s="13">
        <v>68814.76</v>
      </c>
      <c r="AP99" s="11">
        <v>86</v>
      </c>
      <c r="AQ99" s="11"/>
      <c r="AR99" s="13"/>
      <c r="AS99" s="11"/>
      <c r="AT99" s="12"/>
      <c r="AU99" s="12"/>
      <c r="AV99" s="11">
        <v>961</v>
      </c>
      <c r="AW99" s="13">
        <v>23979.01</v>
      </c>
      <c r="AX99" s="11">
        <v>74</v>
      </c>
      <c r="AY99" s="11"/>
      <c r="AZ99" s="13"/>
      <c r="BA99" s="11"/>
      <c r="BB99" s="12"/>
      <c r="BC99" s="12"/>
      <c r="BD99" s="11">
        <v>1243</v>
      </c>
      <c r="BE99" s="13">
        <v>29549.69</v>
      </c>
      <c r="BF99" s="11">
        <v>72</v>
      </c>
      <c r="BG99" s="11"/>
      <c r="BH99" s="13"/>
      <c r="BI99" s="11"/>
      <c r="BJ99" s="12"/>
      <c r="BK99" s="12"/>
      <c r="BL99" s="11">
        <v>733</v>
      </c>
      <c r="BM99" s="13">
        <v>17761.39</v>
      </c>
      <c r="BN99" s="11">
        <v>86</v>
      </c>
      <c r="BO99" s="11"/>
      <c r="BP99" s="13"/>
      <c r="BQ99" s="11"/>
      <c r="BR99" s="12"/>
      <c r="BS99" s="12"/>
      <c r="BT99" s="11"/>
      <c r="BU99" s="13"/>
      <c r="BV99" s="11"/>
      <c r="BW99" s="11"/>
      <c r="BX99" s="13"/>
      <c r="BY99" s="11"/>
      <c r="BZ99" s="12"/>
      <c r="CA99" s="12"/>
      <c r="CB99" s="11">
        <v>975</v>
      </c>
      <c r="CC99" s="13">
        <v>19447.2</v>
      </c>
      <c r="CD99" s="11">
        <v>33</v>
      </c>
      <c r="CE99" s="11"/>
      <c r="CF99" s="13"/>
      <c r="CG99" s="11"/>
      <c r="CH99" s="12"/>
      <c r="CI99" s="12"/>
      <c r="CJ99" s="11">
        <v>174</v>
      </c>
      <c r="CK99" s="13">
        <v>6377.52</v>
      </c>
      <c r="CL99" s="11">
        <v>86</v>
      </c>
      <c r="CM99" s="11"/>
      <c r="CN99" s="13"/>
      <c r="CO99" s="11"/>
      <c r="CP99" s="12"/>
      <c r="CQ99" s="12"/>
      <c r="CR99" s="11"/>
      <c r="CS99" s="13"/>
      <c r="CT99" s="11"/>
      <c r="CU99" s="11"/>
      <c r="CV99" s="13"/>
      <c r="CW99" s="11"/>
      <c r="CX99" s="12"/>
      <c r="CY99" s="12"/>
      <c r="CZ99" s="11"/>
      <c r="DA99" s="13"/>
      <c r="DB99" s="11"/>
      <c r="DC99" s="11"/>
      <c r="DD99" s="13"/>
      <c r="DE99" s="11"/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>
        <v>113</v>
      </c>
      <c r="DQ99" s="13">
        <v>2785.68</v>
      </c>
      <c r="DR99" s="11">
        <v>86</v>
      </c>
      <c r="DS99" s="11"/>
      <c r="DT99" s="13"/>
      <c r="DU99" s="11"/>
      <c r="DV99" s="12"/>
      <c r="DW99" s="12"/>
      <c r="DX99" s="11">
        <v>222</v>
      </c>
      <c r="DY99" s="13">
        <v>4591.69</v>
      </c>
      <c r="DZ99" s="11">
        <v>86</v>
      </c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>
        <v>7</v>
      </c>
      <c r="EO99" s="13">
        <v>401.43</v>
      </c>
      <c r="EP99" s="11">
        <v>86</v>
      </c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/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  <c r="LH99" s="11"/>
      <c r="LI99" s="13"/>
      <c r="LJ99" s="11"/>
      <c r="LK99" s="11"/>
      <c r="LL99" s="13"/>
      <c r="LM99" s="11"/>
      <c r="LN99" s="12"/>
      <c r="LO99" s="12"/>
      <c r="LP99" s="11"/>
      <c r="LQ99" s="13"/>
      <c r="LR99" s="11"/>
      <c r="LS99" s="11"/>
      <c r="LT99" s="13"/>
      <c r="LU99" s="11"/>
      <c r="LV99" s="12"/>
      <c r="LW99" s="12"/>
    </row>
    <row r="100">
      <c r="A100" s="10" t="s">
        <v>72</v>
      </c>
      <c r="B100" s="10" t="s">
        <v>134</v>
      </c>
      <c r="C100" s="10" t="s">
        <v>118</v>
      </c>
      <c r="D100" s="11">
        <v>7823</v>
      </c>
      <c r="E100" s="11">
        <f>=ROUNDDOWN(152.495126705653,0)</f>
      </c>
      <c r="F100" s="11"/>
      <c r="G100" s="12"/>
      <c r="H100" s="11"/>
      <c r="I100" s="11">
        <f>=ROUNDDOWN({0},0)</f>
      </c>
      <c r="J100" s="11"/>
      <c r="K100" s="12"/>
      <c r="L100" s="11">
        <v>84</v>
      </c>
      <c r="M100" s="13">
        <v>2306.85</v>
      </c>
      <c r="N100" s="11">
        <v>12</v>
      </c>
      <c r="O100" s="14">
        <v>192.24</v>
      </c>
      <c r="P100" s="11"/>
      <c r="Q100" s="13"/>
      <c r="R100" s="11"/>
      <c r="S100" s="14"/>
      <c r="T100" s="12"/>
      <c r="U100" s="12"/>
      <c r="V100" s="12"/>
      <c r="W100" s="12"/>
      <c r="X100" s="11"/>
      <c r="Y100" s="13"/>
      <c r="Z100" s="11">
        <v>12</v>
      </c>
      <c r="AA100" s="11"/>
      <c r="AB100" s="13"/>
      <c r="AC100" s="11"/>
      <c r="AD100" s="12"/>
      <c r="AE100" s="12"/>
      <c r="AF100" s="11">
        <v>1</v>
      </c>
      <c r="AG100" s="13">
        <v>35.41</v>
      </c>
      <c r="AH100" s="11">
        <v>12</v>
      </c>
      <c r="AI100" s="11"/>
      <c r="AJ100" s="13"/>
      <c r="AK100" s="11"/>
      <c r="AL100" s="12"/>
      <c r="AM100" s="12"/>
      <c r="AN100" s="11">
        <v>71</v>
      </c>
      <c r="AO100" s="13">
        <v>1912</v>
      </c>
      <c r="AP100" s="11">
        <v>12</v>
      </c>
      <c r="AQ100" s="11"/>
      <c r="AR100" s="13"/>
      <c r="AS100" s="11"/>
      <c r="AT100" s="12"/>
      <c r="AU100" s="12"/>
      <c r="AV100" s="11"/>
      <c r="AW100" s="13"/>
      <c r="AX100" s="11">
        <v>12</v>
      </c>
      <c r="AY100" s="11"/>
      <c r="AZ100" s="13"/>
      <c r="BA100" s="11"/>
      <c r="BB100" s="12"/>
      <c r="BC100" s="12"/>
      <c r="BD100" s="11">
        <v>7</v>
      </c>
      <c r="BE100" s="13">
        <v>221.13</v>
      </c>
      <c r="BF100" s="11">
        <v>12</v>
      </c>
      <c r="BG100" s="11"/>
      <c r="BH100" s="13"/>
      <c r="BI100" s="11"/>
      <c r="BJ100" s="12"/>
      <c r="BK100" s="12"/>
      <c r="BL100" s="11"/>
      <c r="BM100" s="13"/>
      <c r="BN100" s="11">
        <v>12</v>
      </c>
      <c r="BO100" s="11"/>
      <c r="BP100" s="13"/>
      <c r="BQ100" s="11"/>
      <c r="BR100" s="12"/>
      <c r="BS100" s="12"/>
      <c r="BT100" s="11"/>
      <c r="BU100" s="13"/>
      <c r="BV100" s="11"/>
      <c r="BW100" s="11"/>
      <c r="BX100" s="13"/>
      <c r="BY100" s="11"/>
      <c r="BZ100" s="12"/>
      <c r="CA100" s="12"/>
      <c r="CB100" s="11">
        <v>4</v>
      </c>
      <c r="CC100" s="13">
        <v>106.82</v>
      </c>
      <c r="CD100" s="11">
        <v>12</v>
      </c>
      <c r="CE100" s="11"/>
      <c r="CF100" s="13"/>
      <c r="CG100" s="11"/>
      <c r="CH100" s="12"/>
      <c r="CI100" s="12"/>
      <c r="CJ100" s="11"/>
      <c r="CK100" s="13"/>
      <c r="CL100" s="11"/>
      <c r="CM100" s="11"/>
      <c r="CN100" s="13"/>
      <c r="CO100" s="11"/>
      <c r="CP100" s="12"/>
      <c r="CQ100" s="12"/>
      <c r="CR100" s="11"/>
      <c r="CS100" s="13"/>
      <c r="CT100" s="11"/>
      <c r="CU100" s="11"/>
      <c r="CV100" s="13"/>
      <c r="CW100" s="11"/>
      <c r="CX100" s="12"/>
      <c r="CY100" s="12"/>
      <c r="CZ100" s="11"/>
      <c r="DA100" s="13"/>
      <c r="DB100" s="11"/>
      <c r="DC100" s="11"/>
      <c r="DD100" s="13"/>
      <c r="DE100" s="11"/>
      <c r="DF100" s="12"/>
      <c r="DG100" s="12"/>
      <c r="DH100" s="11"/>
      <c r="DI100" s="13"/>
      <c r="DJ100" s="11"/>
      <c r="DK100" s="11"/>
      <c r="DL100" s="13"/>
      <c r="DM100" s="11"/>
      <c r="DN100" s="12"/>
      <c r="DO100" s="12"/>
      <c r="DP100" s="11">
        <v>1</v>
      </c>
      <c r="DQ100" s="13">
        <v>31.49</v>
      </c>
      <c r="DR100" s="11">
        <v>12</v>
      </c>
      <c r="DS100" s="11"/>
      <c r="DT100" s="13"/>
      <c r="DU100" s="11"/>
      <c r="DV100" s="12"/>
      <c r="DW100" s="12"/>
      <c r="DX100" s="11"/>
      <c r="DY100" s="13"/>
      <c r="DZ100" s="11">
        <v>12</v>
      </c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>
        <v>12</v>
      </c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/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/>
      <c r="GM100" s="11"/>
      <c r="GN100" s="13"/>
      <c r="GO100" s="11"/>
      <c r="GP100" s="12"/>
      <c r="GQ100" s="12"/>
      <c r="GR100" s="11"/>
      <c r="GS100" s="13"/>
      <c r="GT100" s="11"/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  <c r="LH100" s="11"/>
      <c r="LI100" s="13"/>
      <c r="LJ100" s="11"/>
      <c r="LK100" s="11"/>
      <c r="LL100" s="13"/>
      <c r="LM100" s="11"/>
      <c r="LN100" s="12"/>
      <c r="LO100" s="12"/>
      <c r="LP100" s="11"/>
      <c r="LQ100" s="13"/>
      <c r="LR100" s="11"/>
      <c r="LS100" s="11"/>
      <c r="LT100" s="13"/>
      <c r="LU100" s="11"/>
      <c r="LV100" s="12"/>
      <c r="LW100" s="12"/>
    </row>
    <row r="101">
      <c r="A101" s="10" t="s">
        <v>72</v>
      </c>
      <c r="B101" s="10" t="s">
        <v>135</v>
      </c>
      <c r="C101" s="10" t="s">
        <v>77</v>
      </c>
      <c r="D101" s="11">
        <v>261703</v>
      </c>
      <c r="E101" s="11">
        <f>=ROUNDDOWN({0},0)</f>
      </c>
      <c r="F101" s="11">
        <v>48088</v>
      </c>
      <c r="G101" s="12"/>
      <c r="H101" s="11"/>
      <c r="I101" s="11">
        <f>=ROUNDDOWN({0},0)</f>
      </c>
      <c r="J101" s="11"/>
      <c r="K101" s="12"/>
      <c r="L101" s="11">
        <v>83338</v>
      </c>
      <c r="M101" s="13">
        <v>2266427.05</v>
      </c>
      <c r="N101" s="11">
        <v>295</v>
      </c>
      <c r="O101" s="14">
        <v>7682.8</v>
      </c>
      <c r="P101" s="11"/>
      <c r="Q101" s="13"/>
      <c r="R101" s="11"/>
      <c r="S101" s="14"/>
      <c r="T101" s="12"/>
      <c r="U101" s="12"/>
      <c r="V101" s="12"/>
      <c r="W101" s="12"/>
      <c r="X101" s="11">
        <v>14850</v>
      </c>
      <c r="Y101" s="13">
        <v>348124.66</v>
      </c>
      <c r="Z101" s="11">
        <v>259</v>
      </c>
      <c r="AA101" s="11"/>
      <c r="AB101" s="13"/>
      <c r="AC101" s="11"/>
      <c r="AD101" s="12"/>
      <c r="AE101" s="12"/>
      <c r="AF101" s="11">
        <v>7177</v>
      </c>
      <c r="AG101" s="13">
        <v>178436.22</v>
      </c>
      <c r="AH101" s="11">
        <v>231</v>
      </c>
      <c r="AI101" s="11"/>
      <c r="AJ101" s="13"/>
      <c r="AK101" s="11"/>
      <c r="AL101" s="12"/>
      <c r="AM101" s="12"/>
      <c r="AN101" s="11">
        <v>32117</v>
      </c>
      <c r="AO101" s="13">
        <v>808412.29</v>
      </c>
      <c r="AP101" s="11">
        <v>277</v>
      </c>
      <c r="AQ101" s="11"/>
      <c r="AR101" s="13"/>
      <c r="AS101" s="11"/>
      <c r="AT101" s="12"/>
      <c r="AU101" s="12"/>
      <c r="AV101" s="11">
        <v>4382</v>
      </c>
      <c r="AW101" s="13">
        <v>118611.95</v>
      </c>
      <c r="AX101" s="11">
        <v>254</v>
      </c>
      <c r="AY101" s="11"/>
      <c r="AZ101" s="13"/>
      <c r="BA101" s="11"/>
      <c r="BB101" s="12"/>
      <c r="BC101" s="12"/>
      <c r="BD101" s="11">
        <v>4537</v>
      </c>
      <c r="BE101" s="13">
        <v>129703.81</v>
      </c>
      <c r="BF101" s="11">
        <v>255</v>
      </c>
      <c r="BG101" s="11"/>
      <c r="BH101" s="13"/>
      <c r="BI101" s="11"/>
      <c r="BJ101" s="12"/>
      <c r="BK101" s="12"/>
      <c r="BL101" s="11">
        <v>3807</v>
      </c>
      <c r="BM101" s="13">
        <v>113812.1</v>
      </c>
      <c r="BN101" s="11">
        <v>283</v>
      </c>
      <c r="BO101" s="11"/>
      <c r="BP101" s="13"/>
      <c r="BQ101" s="11"/>
      <c r="BR101" s="12"/>
      <c r="BS101" s="12"/>
      <c r="BT101" s="11"/>
      <c r="BU101" s="13"/>
      <c r="BV101" s="11"/>
      <c r="BW101" s="11"/>
      <c r="BX101" s="13"/>
      <c r="BY101" s="11"/>
      <c r="BZ101" s="12"/>
      <c r="CA101" s="12"/>
      <c r="CB101" s="11">
        <v>4992</v>
      </c>
      <c r="CC101" s="13">
        <v>117298.53</v>
      </c>
      <c r="CD101" s="11">
        <v>164</v>
      </c>
      <c r="CE101" s="11"/>
      <c r="CF101" s="13"/>
      <c r="CG101" s="11"/>
      <c r="CH101" s="12"/>
      <c r="CI101" s="12"/>
      <c r="CJ101" s="11">
        <v>8379</v>
      </c>
      <c r="CK101" s="13">
        <v>359675.95</v>
      </c>
      <c r="CL101" s="11">
        <v>271</v>
      </c>
      <c r="CM101" s="11"/>
      <c r="CN101" s="13"/>
      <c r="CO101" s="11"/>
      <c r="CP101" s="12"/>
      <c r="CQ101" s="12"/>
      <c r="CR101" s="11"/>
      <c r="CS101" s="13"/>
      <c r="CT101" s="11"/>
      <c r="CU101" s="11"/>
      <c r="CV101" s="13"/>
      <c r="CW101" s="11"/>
      <c r="CX101" s="12"/>
      <c r="CY101" s="12"/>
      <c r="CZ101" s="11">
        <v>413</v>
      </c>
      <c r="DA101" s="13">
        <v>12757.75</v>
      </c>
      <c r="DB101" s="11">
        <v>39</v>
      </c>
      <c r="DC101" s="11"/>
      <c r="DD101" s="13"/>
      <c r="DE101" s="11"/>
      <c r="DF101" s="12"/>
      <c r="DG101" s="12"/>
      <c r="DH101" s="11"/>
      <c r="DI101" s="13"/>
      <c r="DJ101" s="11"/>
      <c r="DK101" s="11"/>
      <c r="DL101" s="13"/>
      <c r="DM101" s="11"/>
      <c r="DN101" s="12"/>
      <c r="DO101" s="12"/>
      <c r="DP101" s="11">
        <v>510</v>
      </c>
      <c r="DQ101" s="13">
        <v>14791.47</v>
      </c>
      <c r="DR101" s="11">
        <v>283</v>
      </c>
      <c r="DS101" s="11"/>
      <c r="DT101" s="13"/>
      <c r="DU101" s="11"/>
      <c r="DV101" s="12"/>
      <c r="DW101" s="12"/>
      <c r="DX101" s="11">
        <v>1671</v>
      </c>
      <c r="DY101" s="13">
        <v>39916.14</v>
      </c>
      <c r="DZ101" s="11">
        <v>283</v>
      </c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>
        <v>503</v>
      </c>
      <c r="EO101" s="13">
        <v>24886.18</v>
      </c>
      <c r="EP101" s="11">
        <v>286</v>
      </c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/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/>
      <c r="HA101" s="13"/>
      <c r="HB101" s="11"/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/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/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>
        <v>39</v>
      </c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  <c r="LH101" s="11"/>
      <c r="LI101" s="13"/>
      <c r="LJ101" s="11"/>
      <c r="LK101" s="11"/>
      <c r="LL101" s="13"/>
      <c r="LM101" s="11"/>
      <c r="LN101" s="12"/>
      <c r="LO101" s="12"/>
      <c r="LP101" s="11"/>
      <c r="LQ101" s="13"/>
      <c r="LR101" s="11"/>
      <c r="LS101" s="11"/>
      <c r="LT101" s="13"/>
      <c r="LU101" s="11"/>
      <c r="LV101" s="12"/>
      <c r="LW101" s="12"/>
    </row>
    <row r="102">
      <c r="A102" s="10" t="s">
        <v>72</v>
      </c>
      <c r="B102" s="10" t="s">
        <v>136</v>
      </c>
      <c r="C102" s="10" t="s">
        <v>92</v>
      </c>
      <c r="D102" s="11">
        <v>151</v>
      </c>
      <c r="E102" s="11">
        <f>=ROUNDDOWN(21.5714285714286,0)</f>
      </c>
      <c r="F102" s="11">
        <v>350</v>
      </c>
      <c r="G102" s="12">
        <v>1</v>
      </c>
      <c r="H102" s="11"/>
      <c r="I102" s="11">
        <f>=ROUNDDOWN({0},0)</f>
      </c>
      <c r="J102" s="11"/>
      <c r="K102" s="12"/>
      <c r="L102" s="11">
        <v>105</v>
      </c>
      <c r="M102" s="13">
        <v>1730.62</v>
      </c>
      <c r="N102" s="11">
        <v>1</v>
      </c>
      <c r="O102" s="14">
        <v>1730.62</v>
      </c>
      <c r="P102" s="11"/>
      <c r="Q102" s="13"/>
      <c r="R102" s="11"/>
      <c r="S102" s="14"/>
      <c r="T102" s="12"/>
      <c r="U102" s="12"/>
      <c r="V102" s="12"/>
      <c r="W102" s="12"/>
      <c r="X102" s="11">
        <v>54</v>
      </c>
      <c r="Y102" s="13">
        <v>866.7</v>
      </c>
      <c r="Z102" s="11">
        <v>1</v>
      </c>
      <c r="AA102" s="11"/>
      <c r="AB102" s="13"/>
      <c r="AC102" s="11"/>
      <c r="AD102" s="12"/>
      <c r="AE102" s="12"/>
      <c r="AF102" s="11">
        <v>23</v>
      </c>
      <c r="AG102" s="13">
        <v>366.96</v>
      </c>
      <c r="AH102" s="11">
        <v>1</v>
      </c>
      <c r="AI102" s="11"/>
      <c r="AJ102" s="13"/>
      <c r="AK102" s="11"/>
      <c r="AL102" s="12"/>
      <c r="AM102" s="12"/>
      <c r="AN102" s="11">
        <v>5</v>
      </c>
      <c r="AO102" s="13">
        <v>95.85</v>
      </c>
      <c r="AP102" s="11">
        <v>1</v>
      </c>
      <c r="AQ102" s="11"/>
      <c r="AR102" s="13"/>
      <c r="AS102" s="11"/>
      <c r="AT102" s="12"/>
      <c r="AU102" s="12"/>
      <c r="AV102" s="11"/>
      <c r="AW102" s="13"/>
      <c r="AX102" s="11"/>
      <c r="AY102" s="11"/>
      <c r="AZ102" s="13"/>
      <c r="BA102" s="11"/>
      <c r="BB102" s="12"/>
      <c r="BC102" s="12"/>
      <c r="BD102" s="11"/>
      <c r="BE102" s="13"/>
      <c r="BF102" s="11"/>
      <c r="BG102" s="11"/>
      <c r="BH102" s="13"/>
      <c r="BI102" s="11"/>
      <c r="BJ102" s="12"/>
      <c r="BK102" s="12"/>
      <c r="BL102" s="11">
        <v>5</v>
      </c>
      <c r="BM102" s="13">
        <v>88.9</v>
      </c>
      <c r="BN102" s="11">
        <v>1</v>
      </c>
      <c r="BO102" s="11"/>
      <c r="BP102" s="13"/>
      <c r="BQ102" s="11"/>
      <c r="BR102" s="12"/>
      <c r="BS102" s="12"/>
      <c r="BT102" s="11">
        <v>8</v>
      </c>
      <c r="BU102" s="13">
        <v>160.16</v>
      </c>
      <c r="BV102" s="11">
        <v>1</v>
      </c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>
        <v>1</v>
      </c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>
        <v>1</v>
      </c>
      <c r="DQ102" s="13">
        <v>19.75</v>
      </c>
      <c r="DR102" s="11">
        <v>1</v>
      </c>
      <c r="DS102" s="11"/>
      <c r="DT102" s="13"/>
      <c r="DU102" s="11"/>
      <c r="DV102" s="12"/>
      <c r="DW102" s="12"/>
      <c r="DX102" s="11">
        <v>9</v>
      </c>
      <c r="DY102" s="13">
        <v>132.3</v>
      </c>
      <c r="DZ102" s="11">
        <v>1</v>
      </c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>
        <v>1</v>
      </c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>
        <v>1</v>
      </c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  <c r="LH102" s="11"/>
      <c r="LI102" s="13"/>
      <c r="LJ102" s="11"/>
      <c r="LK102" s="11"/>
      <c r="LL102" s="13"/>
      <c r="LM102" s="11"/>
      <c r="LN102" s="12"/>
      <c r="LO102" s="12"/>
      <c r="LP102" s="11"/>
      <c r="LQ102" s="13"/>
      <c r="LR102" s="11"/>
      <c r="LS102" s="11"/>
      <c r="LT102" s="13"/>
      <c r="LU102" s="11"/>
      <c r="LV102" s="12"/>
      <c r="LW102" s="12"/>
    </row>
    <row r="103">
      <c r="A103" s="10" t="s">
        <v>72</v>
      </c>
      <c r="B103" s="10" t="s">
        <v>136</v>
      </c>
      <c r="C103" s="10" t="s">
        <v>74</v>
      </c>
      <c r="D103" s="11">
        <v>7351</v>
      </c>
      <c r="E103" s="11">
        <f>=ROUNDDOWN(39.3101604278075,0)</f>
      </c>
      <c r="F103" s="11">
        <v>5692</v>
      </c>
      <c r="G103" s="12">
        <v>0.8182</v>
      </c>
      <c r="H103" s="11"/>
      <c r="I103" s="11">
        <f>=ROUNDDOWN({0},0)</f>
      </c>
      <c r="J103" s="11"/>
      <c r="K103" s="12"/>
      <c r="L103" s="11">
        <v>2797</v>
      </c>
      <c r="M103" s="13">
        <v>242989.26</v>
      </c>
      <c r="N103" s="11">
        <v>14</v>
      </c>
      <c r="O103" s="14">
        <v>17356.38</v>
      </c>
      <c r="P103" s="11"/>
      <c r="Q103" s="13"/>
      <c r="R103" s="11"/>
      <c r="S103" s="14"/>
      <c r="T103" s="12"/>
      <c r="U103" s="12"/>
      <c r="V103" s="12"/>
      <c r="W103" s="12"/>
      <c r="X103" s="11">
        <v>1717</v>
      </c>
      <c r="Y103" s="13">
        <v>150053.04</v>
      </c>
      <c r="Z103" s="11">
        <v>14</v>
      </c>
      <c r="AA103" s="11"/>
      <c r="AB103" s="13"/>
      <c r="AC103" s="11"/>
      <c r="AD103" s="12"/>
      <c r="AE103" s="12"/>
      <c r="AF103" s="11">
        <v>181</v>
      </c>
      <c r="AG103" s="13">
        <v>14029.42</v>
      </c>
      <c r="AH103" s="11">
        <v>14</v>
      </c>
      <c r="AI103" s="11"/>
      <c r="AJ103" s="13"/>
      <c r="AK103" s="11"/>
      <c r="AL103" s="12"/>
      <c r="AM103" s="12"/>
      <c r="AN103" s="11">
        <v>210</v>
      </c>
      <c r="AO103" s="13">
        <v>17731.19</v>
      </c>
      <c r="AP103" s="11">
        <v>14</v>
      </c>
      <c r="AQ103" s="11"/>
      <c r="AR103" s="13"/>
      <c r="AS103" s="11"/>
      <c r="AT103" s="12"/>
      <c r="AU103" s="12"/>
      <c r="AV103" s="11">
        <v>88</v>
      </c>
      <c r="AW103" s="13">
        <v>8206.46</v>
      </c>
      <c r="AX103" s="11">
        <v>8</v>
      </c>
      <c r="AY103" s="11"/>
      <c r="AZ103" s="13"/>
      <c r="BA103" s="11"/>
      <c r="BB103" s="12"/>
      <c r="BC103" s="12"/>
      <c r="BD103" s="11">
        <v>111</v>
      </c>
      <c r="BE103" s="13">
        <v>9841.08</v>
      </c>
      <c r="BF103" s="11">
        <v>7</v>
      </c>
      <c r="BG103" s="11"/>
      <c r="BH103" s="13"/>
      <c r="BI103" s="11"/>
      <c r="BJ103" s="12"/>
      <c r="BK103" s="12"/>
      <c r="BL103" s="11">
        <v>250</v>
      </c>
      <c r="BM103" s="13">
        <v>22174.6</v>
      </c>
      <c r="BN103" s="11">
        <v>14</v>
      </c>
      <c r="BO103" s="11"/>
      <c r="BP103" s="13"/>
      <c r="BQ103" s="11"/>
      <c r="BR103" s="12"/>
      <c r="BS103" s="12"/>
      <c r="BT103" s="11">
        <v>38</v>
      </c>
      <c r="BU103" s="13">
        <v>3411.94</v>
      </c>
      <c r="BV103" s="11">
        <v>14</v>
      </c>
      <c r="BW103" s="11"/>
      <c r="BX103" s="13"/>
      <c r="BY103" s="11"/>
      <c r="BZ103" s="12"/>
      <c r="CA103" s="12"/>
      <c r="CB103" s="11">
        <v>94</v>
      </c>
      <c r="CC103" s="13">
        <v>8081.84</v>
      </c>
      <c r="CD103" s="11">
        <v>14</v>
      </c>
      <c r="CE103" s="11"/>
      <c r="CF103" s="13"/>
      <c r="CG103" s="11"/>
      <c r="CH103" s="12"/>
      <c r="CI103" s="12"/>
      <c r="CJ103" s="11">
        <v>2</v>
      </c>
      <c r="CK103" s="13">
        <v>140.98</v>
      </c>
      <c r="CL103" s="11">
        <v>3</v>
      </c>
      <c r="CM103" s="11"/>
      <c r="CN103" s="13"/>
      <c r="CO103" s="11"/>
      <c r="CP103" s="12"/>
      <c r="CQ103" s="12"/>
      <c r="CR103" s="11"/>
      <c r="CS103" s="13"/>
      <c r="CT103" s="11"/>
      <c r="CU103" s="11"/>
      <c r="CV103" s="13"/>
      <c r="CW103" s="11"/>
      <c r="CX103" s="12"/>
      <c r="CY103" s="12"/>
      <c r="CZ103" s="11"/>
      <c r="DA103" s="13"/>
      <c r="DB103" s="11"/>
      <c r="DC103" s="11"/>
      <c r="DD103" s="13"/>
      <c r="DE103" s="11"/>
      <c r="DF103" s="12"/>
      <c r="DG103" s="12"/>
      <c r="DH103" s="11">
        <v>10</v>
      </c>
      <c r="DI103" s="13">
        <v>906.26</v>
      </c>
      <c r="DJ103" s="11">
        <v>7</v>
      </c>
      <c r="DK103" s="11"/>
      <c r="DL103" s="13"/>
      <c r="DM103" s="11"/>
      <c r="DN103" s="12"/>
      <c r="DO103" s="12"/>
      <c r="DP103" s="11">
        <v>16</v>
      </c>
      <c r="DQ103" s="13">
        <v>1382</v>
      </c>
      <c r="DR103" s="11">
        <v>14</v>
      </c>
      <c r="DS103" s="11"/>
      <c r="DT103" s="13"/>
      <c r="DU103" s="11"/>
      <c r="DV103" s="12"/>
      <c r="DW103" s="12"/>
      <c r="DX103" s="11">
        <v>49</v>
      </c>
      <c r="DY103" s="13">
        <v>3790.93</v>
      </c>
      <c r="DZ103" s="11">
        <v>14</v>
      </c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>
        <v>2</v>
      </c>
      <c r="EO103" s="13">
        <v>336.99</v>
      </c>
      <c r="EP103" s="11">
        <v>14</v>
      </c>
      <c r="EQ103" s="11"/>
      <c r="ER103" s="13"/>
      <c r="ES103" s="11"/>
      <c r="ET103" s="12"/>
      <c r="EU103" s="12"/>
      <c r="EV103" s="11">
        <v>1</v>
      </c>
      <c r="EW103" s="13">
        <v>47.5</v>
      </c>
      <c r="EX103" s="11"/>
      <c r="EY103" s="11"/>
      <c r="EZ103" s="13"/>
      <c r="FA103" s="11"/>
      <c r="FB103" s="12"/>
      <c r="FC103" s="12"/>
      <c r="FD103" s="11">
        <v>23</v>
      </c>
      <c r="FE103" s="13">
        <v>2352.22</v>
      </c>
      <c r="FF103" s="11">
        <v>10</v>
      </c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>
        <v>4</v>
      </c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>
        <v>7</v>
      </c>
      <c r="GU103" s="11"/>
      <c r="GV103" s="13"/>
      <c r="GW103" s="11"/>
      <c r="GX103" s="12"/>
      <c r="GY103" s="12"/>
      <c r="GZ103" s="11"/>
      <c r="HA103" s="13"/>
      <c r="HB103" s="11">
        <v>3</v>
      </c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>
        <v>2</v>
      </c>
      <c r="HY103" s="13">
        <v>196.54</v>
      </c>
      <c r="HZ103" s="11">
        <v>11</v>
      </c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>
        <v>8</v>
      </c>
      <c r="IY103" s="11"/>
      <c r="IZ103" s="13"/>
      <c r="JA103" s="11"/>
      <c r="JB103" s="12"/>
      <c r="JC103" s="12"/>
      <c r="JD103" s="11">
        <v>3</v>
      </c>
      <c r="JE103" s="13">
        <v>306.27</v>
      </c>
      <c r="JF103" s="11">
        <v>7</v>
      </c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  <c r="LH103" s="11"/>
      <c r="LI103" s="13"/>
      <c r="LJ103" s="11"/>
      <c r="LK103" s="11"/>
      <c r="LL103" s="13"/>
      <c r="LM103" s="11"/>
      <c r="LN103" s="12"/>
      <c r="LO103" s="12"/>
      <c r="LP103" s="11"/>
      <c r="LQ103" s="13"/>
      <c r="LR103" s="11"/>
      <c r="LS103" s="11"/>
      <c r="LT103" s="13"/>
      <c r="LU103" s="11"/>
      <c r="LV103" s="12"/>
      <c r="LW103" s="12"/>
    </row>
    <row r="104">
      <c r="A104" s="10" t="s">
        <v>72</v>
      </c>
      <c r="B104" s="10" t="s">
        <v>136</v>
      </c>
      <c r="C104" s="10" t="s">
        <v>75</v>
      </c>
      <c r="D104" s="11">
        <v>11431</v>
      </c>
      <c r="E104" s="11">
        <f>=ROUNDDOWN(27.5711529184756,0)</f>
      </c>
      <c r="F104" s="11">
        <v>5489</v>
      </c>
      <c r="G104" s="12">
        <v>0.9952</v>
      </c>
      <c r="H104" s="11"/>
      <c r="I104" s="11">
        <f>=ROUNDDOWN({0},0)</f>
      </c>
      <c r="J104" s="11"/>
      <c r="K104" s="12"/>
      <c r="L104" s="11">
        <v>6711</v>
      </c>
      <c r="M104" s="13">
        <v>375322.21</v>
      </c>
      <c r="N104" s="11">
        <v>42</v>
      </c>
      <c r="O104" s="14">
        <v>8936.24</v>
      </c>
      <c r="P104" s="11"/>
      <c r="Q104" s="13"/>
      <c r="R104" s="11"/>
      <c r="S104" s="14"/>
      <c r="T104" s="12"/>
      <c r="U104" s="12"/>
      <c r="V104" s="12"/>
      <c r="W104" s="12"/>
      <c r="X104" s="11">
        <v>3829</v>
      </c>
      <c r="Y104" s="13">
        <v>218742.02</v>
      </c>
      <c r="Z104" s="11">
        <v>39</v>
      </c>
      <c r="AA104" s="11"/>
      <c r="AB104" s="13"/>
      <c r="AC104" s="11"/>
      <c r="AD104" s="12"/>
      <c r="AE104" s="12"/>
      <c r="AF104" s="11">
        <v>676</v>
      </c>
      <c r="AG104" s="13">
        <v>33290.44</v>
      </c>
      <c r="AH104" s="11">
        <v>36</v>
      </c>
      <c r="AI104" s="11"/>
      <c r="AJ104" s="13"/>
      <c r="AK104" s="11"/>
      <c r="AL104" s="12"/>
      <c r="AM104" s="12"/>
      <c r="AN104" s="11">
        <v>691</v>
      </c>
      <c r="AO104" s="13">
        <v>37226.63</v>
      </c>
      <c r="AP104" s="11">
        <v>36</v>
      </c>
      <c r="AQ104" s="11"/>
      <c r="AR104" s="13"/>
      <c r="AS104" s="11"/>
      <c r="AT104" s="12"/>
      <c r="AU104" s="12"/>
      <c r="AV104" s="11">
        <v>345</v>
      </c>
      <c r="AW104" s="13">
        <v>20784.69</v>
      </c>
      <c r="AX104" s="11">
        <v>18</v>
      </c>
      <c r="AY104" s="11"/>
      <c r="AZ104" s="13"/>
      <c r="BA104" s="11"/>
      <c r="BB104" s="12"/>
      <c r="BC104" s="12"/>
      <c r="BD104" s="11">
        <v>212</v>
      </c>
      <c r="BE104" s="13">
        <v>10631.15</v>
      </c>
      <c r="BF104" s="11">
        <v>17</v>
      </c>
      <c r="BG104" s="11"/>
      <c r="BH104" s="13"/>
      <c r="BI104" s="11"/>
      <c r="BJ104" s="12"/>
      <c r="BK104" s="12"/>
      <c r="BL104" s="11">
        <v>228</v>
      </c>
      <c r="BM104" s="13">
        <v>13391.91</v>
      </c>
      <c r="BN104" s="11">
        <v>36</v>
      </c>
      <c r="BO104" s="11"/>
      <c r="BP104" s="13"/>
      <c r="BQ104" s="11"/>
      <c r="BR104" s="12"/>
      <c r="BS104" s="12"/>
      <c r="BT104" s="11">
        <v>129</v>
      </c>
      <c r="BU104" s="13">
        <v>7263.58</v>
      </c>
      <c r="BV104" s="11">
        <v>36</v>
      </c>
      <c r="BW104" s="11"/>
      <c r="BX104" s="13"/>
      <c r="BY104" s="11"/>
      <c r="BZ104" s="12"/>
      <c r="CA104" s="12"/>
      <c r="CB104" s="11">
        <v>398</v>
      </c>
      <c r="CC104" s="13">
        <v>22202.41</v>
      </c>
      <c r="CD104" s="11">
        <v>36</v>
      </c>
      <c r="CE104" s="11"/>
      <c r="CF104" s="13"/>
      <c r="CG104" s="11"/>
      <c r="CH104" s="12"/>
      <c r="CI104" s="12"/>
      <c r="CJ104" s="11"/>
      <c r="CK104" s="13"/>
      <c r="CL104" s="11">
        <v>4</v>
      </c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>
        <v>6</v>
      </c>
      <c r="DI104" s="13">
        <v>347.3</v>
      </c>
      <c r="DJ104" s="11">
        <v>16</v>
      </c>
      <c r="DK104" s="11"/>
      <c r="DL104" s="13"/>
      <c r="DM104" s="11"/>
      <c r="DN104" s="12"/>
      <c r="DO104" s="12"/>
      <c r="DP104" s="11">
        <v>89</v>
      </c>
      <c r="DQ104" s="13">
        <v>4986.56</v>
      </c>
      <c r="DR104" s="11">
        <v>31</v>
      </c>
      <c r="DS104" s="11"/>
      <c r="DT104" s="13"/>
      <c r="DU104" s="11"/>
      <c r="DV104" s="12"/>
      <c r="DW104" s="12"/>
      <c r="DX104" s="11">
        <v>45</v>
      </c>
      <c r="DY104" s="13">
        <v>2477.45</v>
      </c>
      <c r="DZ104" s="11">
        <v>34</v>
      </c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>
        <v>4</v>
      </c>
      <c r="EO104" s="13">
        <v>429.96</v>
      </c>
      <c r="EP104" s="11">
        <v>36</v>
      </c>
      <c r="EQ104" s="11"/>
      <c r="ER104" s="13"/>
      <c r="ES104" s="11"/>
      <c r="ET104" s="12"/>
      <c r="EU104" s="12"/>
      <c r="EV104" s="11">
        <v>3</v>
      </c>
      <c r="EW104" s="13">
        <v>200.2</v>
      </c>
      <c r="EX104" s="11">
        <v>2</v>
      </c>
      <c r="EY104" s="11"/>
      <c r="EZ104" s="13"/>
      <c r="FA104" s="11"/>
      <c r="FB104" s="12"/>
      <c r="FC104" s="12"/>
      <c r="FD104" s="11">
        <v>35</v>
      </c>
      <c r="FE104" s="13">
        <v>2045.92</v>
      </c>
      <c r="FF104" s="11">
        <v>10</v>
      </c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>
        <v>1</v>
      </c>
      <c r="FU104" s="13">
        <v>52.49</v>
      </c>
      <c r="FV104" s="11">
        <v>12</v>
      </c>
      <c r="FW104" s="11"/>
      <c r="FX104" s="13"/>
      <c r="FY104" s="11"/>
      <c r="FZ104" s="12"/>
      <c r="GA104" s="12"/>
      <c r="GB104" s="11">
        <v>1</v>
      </c>
      <c r="GC104" s="13">
        <v>57.77</v>
      </c>
      <c r="GD104" s="11">
        <v>1</v>
      </c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>
        <v>1</v>
      </c>
      <c r="GS104" s="13">
        <v>67.38</v>
      </c>
      <c r="GT104" s="11">
        <v>10</v>
      </c>
      <c r="GU104" s="11"/>
      <c r="GV104" s="13"/>
      <c r="GW104" s="11"/>
      <c r="GX104" s="12"/>
      <c r="GY104" s="12"/>
      <c r="GZ104" s="11">
        <v>15</v>
      </c>
      <c r="HA104" s="13">
        <v>956.17</v>
      </c>
      <c r="HB104" s="11">
        <v>4</v>
      </c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>
        <v>3</v>
      </c>
      <c r="HY104" s="13">
        <v>168.18</v>
      </c>
      <c r="HZ104" s="11">
        <v>30</v>
      </c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>
        <v>2</v>
      </c>
      <c r="IY104" s="11"/>
      <c r="IZ104" s="13"/>
      <c r="JA104" s="11"/>
      <c r="JB104" s="12"/>
      <c r="JC104" s="12"/>
      <c r="JD104" s="11"/>
      <c r="JE104" s="13"/>
      <c r="JF104" s="11">
        <v>6</v>
      </c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>
        <v>9</v>
      </c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  <c r="LH104" s="11"/>
      <c r="LI104" s="13"/>
      <c r="LJ104" s="11"/>
      <c r="LK104" s="11"/>
      <c r="LL104" s="13"/>
      <c r="LM104" s="11"/>
      <c r="LN104" s="12"/>
      <c r="LO104" s="12"/>
      <c r="LP104" s="11"/>
      <c r="LQ104" s="13"/>
      <c r="LR104" s="11"/>
      <c r="LS104" s="11"/>
      <c r="LT104" s="13"/>
      <c r="LU104" s="11"/>
      <c r="LV104" s="12"/>
      <c r="LW104" s="12"/>
    </row>
    <row r="105">
      <c r="A105" s="10" t="s">
        <v>72</v>
      </c>
      <c r="B105" s="10" t="s">
        <v>136</v>
      </c>
      <c r="C105" s="10" t="s">
        <v>83</v>
      </c>
      <c r="D105" s="11"/>
      <c r="E105" s="11">
        <f>=ROUNDDOWN({0},0)</f>
      </c>
      <c r="F105" s="11">
        <v>764</v>
      </c>
      <c r="G105" s="12"/>
      <c r="H105" s="11"/>
      <c r="I105" s="11">
        <f>=ROUNDDOWN({0},0)</f>
      </c>
      <c r="J105" s="11"/>
      <c r="K105" s="12"/>
      <c r="L105" s="11"/>
      <c r="M105" s="13"/>
      <c r="N105" s="11"/>
      <c r="O105" s="14"/>
      <c r="P105" s="11"/>
      <c r="Q105" s="13"/>
      <c r="R105" s="11"/>
      <c r="S105" s="14"/>
      <c r="T105" s="12"/>
      <c r="U105" s="12"/>
      <c r="V105" s="12"/>
      <c r="W105" s="12"/>
      <c r="X105" s="11"/>
      <c r="Y105" s="13"/>
      <c r="Z105" s="11"/>
      <c r="AA105" s="11"/>
      <c r="AB105" s="13"/>
      <c r="AC105" s="11"/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/>
      <c r="AO105" s="13"/>
      <c r="AP105" s="11"/>
      <c r="AQ105" s="11"/>
      <c r="AR105" s="13"/>
      <c r="AS105" s="11"/>
      <c r="AT105" s="12"/>
      <c r="AU105" s="12"/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  <c r="LH105" s="11"/>
      <c r="LI105" s="13"/>
      <c r="LJ105" s="11"/>
      <c r="LK105" s="11"/>
      <c r="LL105" s="13"/>
      <c r="LM105" s="11"/>
      <c r="LN105" s="12"/>
      <c r="LO105" s="12"/>
      <c r="LP105" s="11"/>
      <c r="LQ105" s="13"/>
      <c r="LR105" s="11"/>
      <c r="LS105" s="11"/>
      <c r="LT105" s="13"/>
      <c r="LU105" s="11"/>
      <c r="LV105" s="12"/>
      <c r="LW105" s="12"/>
    </row>
    <row r="106">
      <c r="A106" s="10" t="s">
        <v>72</v>
      </c>
      <c r="B106" s="10" t="s">
        <v>136</v>
      </c>
      <c r="C106" s="10" t="s">
        <v>93</v>
      </c>
      <c r="D106" s="11">
        <v>563</v>
      </c>
      <c r="E106" s="11">
        <f>=ROUNDDOWN(18.1612903225806,0)</f>
      </c>
      <c r="F106" s="11">
        <v>400</v>
      </c>
      <c r="G106" s="12">
        <v>1</v>
      </c>
      <c r="H106" s="11"/>
      <c r="I106" s="11">
        <f>=ROUNDDOWN({0},0)</f>
      </c>
      <c r="J106" s="11"/>
      <c r="K106" s="12"/>
      <c r="L106" s="11">
        <v>441</v>
      </c>
      <c r="M106" s="13">
        <v>6374.33</v>
      </c>
      <c r="N106" s="11">
        <v>2</v>
      </c>
      <c r="O106" s="14">
        <v>3187.16</v>
      </c>
      <c r="P106" s="11"/>
      <c r="Q106" s="13"/>
      <c r="R106" s="11"/>
      <c r="S106" s="14"/>
      <c r="T106" s="12"/>
      <c r="U106" s="12"/>
      <c r="V106" s="12"/>
      <c r="W106" s="12"/>
      <c r="X106" s="11">
        <v>73</v>
      </c>
      <c r="Y106" s="13">
        <v>1632.28</v>
      </c>
      <c r="Z106" s="11">
        <v>1</v>
      </c>
      <c r="AA106" s="11"/>
      <c r="AB106" s="13"/>
      <c r="AC106" s="11"/>
      <c r="AD106" s="12"/>
      <c r="AE106" s="12"/>
      <c r="AF106" s="11">
        <v>69</v>
      </c>
      <c r="AG106" s="13">
        <v>849.12</v>
      </c>
      <c r="AH106" s="11">
        <v>2</v>
      </c>
      <c r="AI106" s="11"/>
      <c r="AJ106" s="13"/>
      <c r="AK106" s="11"/>
      <c r="AL106" s="12"/>
      <c r="AM106" s="12"/>
      <c r="AN106" s="11">
        <v>58</v>
      </c>
      <c r="AO106" s="13">
        <v>717.71</v>
      </c>
      <c r="AP106" s="11">
        <v>2</v>
      </c>
      <c r="AQ106" s="11"/>
      <c r="AR106" s="13"/>
      <c r="AS106" s="11"/>
      <c r="AT106" s="12"/>
      <c r="AU106" s="12"/>
      <c r="AV106" s="11">
        <v>5</v>
      </c>
      <c r="AW106" s="13">
        <v>60.95</v>
      </c>
      <c r="AX106" s="11">
        <v>1</v>
      </c>
      <c r="AY106" s="11"/>
      <c r="AZ106" s="13"/>
      <c r="BA106" s="11"/>
      <c r="BB106" s="12"/>
      <c r="BC106" s="12"/>
      <c r="BD106" s="11">
        <v>155</v>
      </c>
      <c r="BE106" s="13">
        <v>1860</v>
      </c>
      <c r="BF106" s="11">
        <v>1</v>
      </c>
      <c r="BG106" s="11"/>
      <c r="BH106" s="13"/>
      <c r="BI106" s="11"/>
      <c r="BJ106" s="12"/>
      <c r="BK106" s="12"/>
      <c r="BL106" s="11">
        <v>52</v>
      </c>
      <c r="BM106" s="13">
        <v>706.36</v>
      </c>
      <c r="BN106" s="11">
        <v>2</v>
      </c>
      <c r="BO106" s="11"/>
      <c r="BP106" s="13"/>
      <c r="BQ106" s="11"/>
      <c r="BR106" s="12"/>
      <c r="BS106" s="12"/>
      <c r="BT106" s="11">
        <v>5</v>
      </c>
      <c r="BU106" s="13">
        <v>124.42</v>
      </c>
      <c r="BV106" s="11">
        <v>2</v>
      </c>
      <c r="BW106" s="11"/>
      <c r="BX106" s="13"/>
      <c r="BY106" s="11"/>
      <c r="BZ106" s="12"/>
      <c r="CA106" s="12"/>
      <c r="CB106" s="11"/>
      <c r="CC106" s="13"/>
      <c r="CD106" s="11"/>
      <c r="CE106" s="11"/>
      <c r="CF106" s="13"/>
      <c r="CG106" s="11"/>
      <c r="CH106" s="12"/>
      <c r="CI106" s="12"/>
      <c r="CJ106" s="11">
        <v>1</v>
      </c>
      <c r="CK106" s="13">
        <v>58.99</v>
      </c>
      <c r="CL106" s="11">
        <v>2</v>
      </c>
      <c r="CM106" s="11"/>
      <c r="CN106" s="13"/>
      <c r="CO106" s="11"/>
      <c r="CP106" s="12"/>
      <c r="CQ106" s="12"/>
      <c r="CR106" s="11"/>
      <c r="CS106" s="13"/>
      <c r="CT106" s="11"/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/>
      <c r="DI106" s="13"/>
      <c r="DJ106" s="11">
        <v>2</v>
      </c>
      <c r="DK106" s="11"/>
      <c r="DL106" s="13"/>
      <c r="DM106" s="11"/>
      <c r="DN106" s="12"/>
      <c r="DO106" s="12"/>
      <c r="DP106" s="11">
        <v>8</v>
      </c>
      <c r="DQ106" s="13">
        <v>120.12</v>
      </c>
      <c r="DR106" s="11">
        <v>2</v>
      </c>
      <c r="DS106" s="11"/>
      <c r="DT106" s="13"/>
      <c r="DU106" s="11"/>
      <c r="DV106" s="12"/>
      <c r="DW106" s="12"/>
      <c r="DX106" s="11">
        <v>15</v>
      </c>
      <c r="DY106" s="13">
        <v>244.38</v>
      </c>
      <c r="DZ106" s="11">
        <v>2</v>
      </c>
      <c r="EA106" s="11"/>
      <c r="EB106" s="13"/>
      <c r="EC106" s="11"/>
      <c r="ED106" s="12"/>
      <c r="EE106" s="12"/>
      <c r="EF106" s="11"/>
      <c r="EG106" s="13"/>
      <c r="EH106" s="11"/>
      <c r="EI106" s="11"/>
      <c r="EJ106" s="13"/>
      <c r="EK106" s="11"/>
      <c r="EL106" s="12"/>
      <c r="EM106" s="12"/>
      <c r="EN106" s="11"/>
      <c r="EO106" s="13"/>
      <c r="EP106" s="11">
        <v>2</v>
      </c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>
        <v>1</v>
      </c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/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>
        <v>2</v>
      </c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  <c r="LH106" s="11"/>
      <c r="LI106" s="13"/>
      <c r="LJ106" s="11"/>
      <c r="LK106" s="11"/>
      <c r="LL106" s="13"/>
      <c r="LM106" s="11"/>
      <c r="LN106" s="12"/>
      <c r="LO106" s="12"/>
      <c r="LP106" s="11"/>
      <c r="LQ106" s="13"/>
      <c r="LR106" s="11"/>
      <c r="LS106" s="11"/>
      <c r="LT106" s="13"/>
      <c r="LU106" s="11"/>
      <c r="LV106" s="12"/>
      <c r="LW106" s="12"/>
    </row>
    <row r="107">
      <c r="A107" s="10" t="s">
        <v>72</v>
      </c>
      <c r="B107" s="10" t="s">
        <v>136</v>
      </c>
      <c r="C107" s="10" t="s">
        <v>115</v>
      </c>
      <c r="D107" s="11">
        <v>2670</v>
      </c>
      <c r="E107" s="11">
        <f>=ROUNDDOWN(20.5384615384615,0)</f>
      </c>
      <c r="F107" s="11">
        <v>2180</v>
      </c>
      <c r="G107" s="12">
        <v>0.9946</v>
      </c>
      <c r="H107" s="11"/>
      <c r="I107" s="11">
        <f>=ROUNDDOWN({0},0)</f>
      </c>
      <c r="J107" s="11"/>
      <c r="K107" s="12"/>
      <c r="L107" s="11">
        <v>2317</v>
      </c>
      <c r="M107" s="13">
        <v>53705.92</v>
      </c>
      <c r="N107" s="11">
        <v>9</v>
      </c>
      <c r="O107" s="14">
        <v>5967.32</v>
      </c>
      <c r="P107" s="11"/>
      <c r="Q107" s="13"/>
      <c r="R107" s="11"/>
      <c r="S107" s="14"/>
      <c r="T107" s="12"/>
      <c r="U107" s="12"/>
      <c r="V107" s="12"/>
      <c r="W107" s="12"/>
      <c r="X107" s="11">
        <v>1736</v>
      </c>
      <c r="Y107" s="13">
        <v>40521.76</v>
      </c>
      <c r="Z107" s="11">
        <v>9</v>
      </c>
      <c r="AA107" s="11"/>
      <c r="AB107" s="13"/>
      <c r="AC107" s="11"/>
      <c r="AD107" s="12"/>
      <c r="AE107" s="12"/>
      <c r="AF107" s="11">
        <v>100</v>
      </c>
      <c r="AG107" s="13">
        <v>1934.9</v>
      </c>
      <c r="AH107" s="11">
        <v>7</v>
      </c>
      <c r="AI107" s="11"/>
      <c r="AJ107" s="13"/>
      <c r="AK107" s="11"/>
      <c r="AL107" s="12"/>
      <c r="AM107" s="12"/>
      <c r="AN107" s="11">
        <v>187</v>
      </c>
      <c r="AO107" s="13">
        <v>4183.19</v>
      </c>
      <c r="AP107" s="11">
        <v>7</v>
      </c>
      <c r="AQ107" s="11"/>
      <c r="AR107" s="13"/>
      <c r="AS107" s="11"/>
      <c r="AT107" s="12"/>
      <c r="AU107" s="12"/>
      <c r="AV107" s="11">
        <v>44</v>
      </c>
      <c r="AW107" s="13">
        <v>1072.72</v>
      </c>
      <c r="AX107" s="11">
        <v>5</v>
      </c>
      <c r="AY107" s="11"/>
      <c r="AZ107" s="13"/>
      <c r="BA107" s="11"/>
      <c r="BB107" s="12"/>
      <c r="BC107" s="12"/>
      <c r="BD107" s="11">
        <v>72</v>
      </c>
      <c r="BE107" s="13">
        <v>1684.08</v>
      </c>
      <c r="BF107" s="11">
        <v>3</v>
      </c>
      <c r="BG107" s="11"/>
      <c r="BH107" s="13"/>
      <c r="BI107" s="11"/>
      <c r="BJ107" s="12"/>
      <c r="BK107" s="12"/>
      <c r="BL107" s="11">
        <v>11</v>
      </c>
      <c r="BM107" s="13">
        <v>250.64</v>
      </c>
      <c r="BN107" s="11">
        <v>7</v>
      </c>
      <c r="BO107" s="11"/>
      <c r="BP107" s="13"/>
      <c r="BQ107" s="11"/>
      <c r="BR107" s="12"/>
      <c r="BS107" s="12"/>
      <c r="BT107" s="11">
        <v>14</v>
      </c>
      <c r="BU107" s="13">
        <v>339.9</v>
      </c>
      <c r="BV107" s="11">
        <v>7</v>
      </c>
      <c r="BW107" s="11"/>
      <c r="BX107" s="13"/>
      <c r="BY107" s="11"/>
      <c r="BZ107" s="12"/>
      <c r="CA107" s="12"/>
      <c r="CB107" s="11">
        <v>88</v>
      </c>
      <c r="CC107" s="13">
        <v>2139.28</v>
      </c>
      <c r="CD107" s="11">
        <v>4</v>
      </c>
      <c r="CE107" s="11"/>
      <c r="CF107" s="13"/>
      <c r="CG107" s="11"/>
      <c r="CH107" s="12"/>
      <c r="CI107" s="12"/>
      <c r="CJ107" s="11">
        <v>1</v>
      </c>
      <c r="CK107" s="13">
        <v>58.99</v>
      </c>
      <c r="CL107" s="11">
        <v>7</v>
      </c>
      <c r="CM107" s="11"/>
      <c r="CN107" s="13"/>
      <c r="CO107" s="11"/>
      <c r="CP107" s="12"/>
      <c r="CQ107" s="12"/>
      <c r="CR107" s="11"/>
      <c r="CS107" s="13"/>
      <c r="CT107" s="11"/>
      <c r="CU107" s="11"/>
      <c r="CV107" s="13"/>
      <c r="CW107" s="11"/>
      <c r="CX107" s="12"/>
      <c r="CY107" s="12"/>
      <c r="CZ107" s="11"/>
      <c r="DA107" s="13"/>
      <c r="DB107" s="11"/>
      <c r="DC107" s="11"/>
      <c r="DD107" s="13"/>
      <c r="DE107" s="11"/>
      <c r="DF107" s="12"/>
      <c r="DG107" s="12"/>
      <c r="DH107" s="11">
        <v>2</v>
      </c>
      <c r="DI107" s="13">
        <v>46.3</v>
      </c>
      <c r="DJ107" s="11">
        <v>1</v>
      </c>
      <c r="DK107" s="11"/>
      <c r="DL107" s="13"/>
      <c r="DM107" s="11"/>
      <c r="DN107" s="12"/>
      <c r="DO107" s="12"/>
      <c r="DP107" s="11">
        <v>44</v>
      </c>
      <c r="DQ107" s="13">
        <v>1004.1</v>
      </c>
      <c r="DR107" s="11">
        <v>7</v>
      </c>
      <c r="DS107" s="11"/>
      <c r="DT107" s="13"/>
      <c r="DU107" s="11"/>
      <c r="DV107" s="12"/>
      <c r="DW107" s="12"/>
      <c r="DX107" s="11">
        <v>4</v>
      </c>
      <c r="DY107" s="13">
        <v>97.24</v>
      </c>
      <c r="DZ107" s="11">
        <v>6</v>
      </c>
      <c r="EA107" s="11"/>
      <c r="EB107" s="13"/>
      <c r="EC107" s="11"/>
      <c r="ED107" s="12"/>
      <c r="EE107" s="12"/>
      <c r="EF107" s="11"/>
      <c r="EG107" s="13"/>
      <c r="EH107" s="11"/>
      <c r="EI107" s="11"/>
      <c r="EJ107" s="13"/>
      <c r="EK107" s="11"/>
      <c r="EL107" s="12"/>
      <c r="EM107" s="12"/>
      <c r="EN107" s="11"/>
      <c r="EO107" s="13"/>
      <c r="EP107" s="11">
        <v>7</v>
      </c>
      <c r="EQ107" s="11"/>
      <c r="ER107" s="13"/>
      <c r="ES107" s="11"/>
      <c r="ET107" s="12"/>
      <c r="EU107" s="12"/>
      <c r="EV107" s="11">
        <v>14</v>
      </c>
      <c r="EW107" s="13">
        <v>372.82</v>
      </c>
      <c r="EX107" s="11">
        <v>2</v>
      </c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>
        <v>1</v>
      </c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/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>
        <v>6</v>
      </c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>
        <v>7</v>
      </c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/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  <c r="LH107" s="11"/>
      <c r="LI107" s="13"/>
      <c r="LJ107" s="11"/>
      <c r="LK107" s="11"/>
      <c r="LL107" s="13"/>
      <c r="LM107" s="11"/>
      <c r="LN107" s="12"/>
      <c r="LO107" s="12"/>
      <c r="LP107" s="11"/>
      <c r="LQ107" s="13"/>
      <c r="LR107" s="11"/>
      <c r="LS107" s="11"/>
      <c r="LT107" s="13"/>
      <c r="LU107" s="11"/>
      <c r="LV107" s="12"/>
      <c r="LW107" s="12"/>
    </row>
    <row r="108">
      <c r="A108" s="10" t="s">
        <v>72</v>
      </c>
      <c r="B108" s="10" t="s">
        <v>137</v>
      </c>
      <c r="C108" s="10" t="s">
        <v>77</v>
      </c>
      <c r="D108" s="11">
        <v>22166</v>
      </c>
      <c r="E108" s="11">
        <f>=ROUNDDOWN({0},0)</f>
      </c>
      <c r="F108" s="11">
        <v>14875</v>
      </c>
      <c r="G108" s="12"/>
      <c r="H108" s="11"/>
      <c r="I108" s="11">
        <f>=ROUNDDOWN({0},0)</f>
      </c>
      <c r="J108" s="11"/>
      <c r="K108" s="12"/>
      <c r="L108" s="11">
        <v>12371</v>
      </c>
      <c r="M108" s="13">
        <v>680122.34</v>
      </c>
      <c r="N108" s="11">
        <v>68</v>
      </c>
      <c r="O108" s="14">
        <v>10001.8</v>
      </c>
      <c r="P108" s="11"/>
      <c r="Q108" s="13"/>
      <c r="R108" s="11"/>
      <c r="S108" s="14"/>
      <c r="T108" s="12"/>
      <c r="U108" s="12"/>
      <c r="V108" s="12"/>
      <c r="W108" s="12"/>
      <c r="X108" s="11">
        <v>7409</v>
      </c>
      <c r="Y108" s="13">
        <v>411815.8</v>
      </c>
      <c r="Z108" s="11">
        <v>64</v>
      </c>
      <c r="AA108" s="11"/>
      <c r="AB108" s="13"/>
      <c r="AC108" s="11"/>
      <c r="AD108" s="12"/>
      <c r="AE108" s="12"/>
      <c r="AF108" s="11">
        <v>1049</v>
      </c>
      <c r="AG108" s="13">
        <v>50470.84</v>
      </c>
      <c r="AH108" s="11">
        <v>60</v>
      </c>
      <c r="AI108" s="11"/>
      <c r="AJ108" s="13"/>
      <c r="AK108" s="11"/>
      <c r="AL108" s="12"/>
      <c r="AM108" s="12"/>
      <c r="AN108" s="11">
        <v>1151</v>
      </c>
      <c r="AO108" s="13">
        <v>59954.57</v>
      </c>
      <c r="AP108" s="11">
        <v>60</v>
      </c>
      <c r="AQ108" s="11"/>
      <c r="AR108" s="13"/>
      <c r="AS108" s="11"/>
      <c r="AT108" s="12"/>
      <c r="AU108" s="12"/>
      <c r="AV108" s="11">
        <v>482</v>
      </c>
      <c r="AW108" s="13">
        <v>30124.82</v>
      </c>
      <c r="AX108" s="11">
        <v>32</v>
      </c>
      <c r="AY108" s="11"/>
      <c r="AZ108" s="13"/>
      <c r="BA108" s="11"/>
      <c r="BB108" s="12"/>
      <c r="BC108" s="12"/>
      <c r="BD108" s="11">
        <v>550</v>
      </c>
      <c r="BE108" s="13">
        <v>24016.31</v>
      </c>
      <c r="BF108" s="11">
        <v>28</v>
      </c>
      <c r="BG108" s="11"/>
      <c r="BH108" s="13"/>
      <c r="BI108" s="11"/>
      <c r="BJ108" s="12"/>
      <c r="BK108" s="12"/>
      <c r="BL108" s="11">
        <v>546</v>
      </c>
      <c r="BM108" s="13">
        <v>36612.41</v>
      </c>
      <c r="BN108" s="11">
        <v>60</v>
      </c>
      <c r="BO108" s="11"/>
      <c r="BP108" s="13"/>
      <c r="BQ108" s="11"/>
      <c r="BR108" s="12"/>
      <c r="BS108" s="12"/>
      <c r="BT108" s="11">
        <v>194</v>
      </c>
      <c r="BU108" s="13">
        <v>11300</v>
      </c>
      <c r="BV108" s="11">
        <v>60</v>
      </c>
      <c r="BW108" s="11"/>
      <c r="BX108" s="13"/>
      <c r="BY108" s="11"/>
      <c r="BZ108" s="12"/>
      <c r="CA108" s="12"/>
      <c r="CB108" s="11">
        <v>580</v>
      </c>
      <c r="CC108" s="13">
        <v>32423.53</v>
      </c>
      <c r="CD108" s="11">
        <v>54</v>
      </c>
      <c r="CE108" s="11"/>
      <c r="CF108" s="13"/>
      <c r="CG108" s="11"/>
      <c r="CH108" s="12"/>
      <c r="CI108" s="12"/>
      <c r="CJ108" s="11">
        <v>4</v>
      </c>
      <c r="CK108" s="13">
        <v>258.96</v>
      </c>
      <c r="CL108" s="11">
        <v>17</v>
      </c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>
        <v>18</v>
      </c>
      <c r="DI108" s="13">
        <v>1299.86</v>
      </c>
      <c r="DJ108" s="11">
        <v>26</v>
      </c>
      <c r="DK108" s="11"/>
      <c r="DL108" s="13"/>
      <c r="DM108" s="11"/>
      <c r="DN108" s="12"/>
      <c r="DO108" s="12"/>
      <c r="DP108" s="11">
        <v>158</v>
      </c>
      <c r="DQ108" s="13">
        <v>7512.53</v>
      </c>
      <c r="DR108" s="11">
        <v>55</v>
      </c>
      <c r="DS108" s="11"/>
      <c r="DT108" s="13"/>
      <c r="DU108" s="11"/>
      <c r="DV108" s="12"/>
      <c r="DW108" s="12"/>
      <c r="DX108" s="11">
        <v>122</v>
      </c>
      <c r="DY108" s="13">
        <v>6742.3</v>
      </c>
      <c r="DZ108" s="11">
        <v>57</v>
      </c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>
        <v>6</v>
      </c>
      <c r="EO108" s="13">
        <v>766.95</v>
      </c>
      <c r="EP108" s="11">
        <v>60</v>
      </c>
      <c r="EQ108" s="11"/>
      <c r="ER108" s="13"/>
      <c r="ES108" s="11"/>
      <c r="ET108" s="12"/>
      <c r="EU108" s="12"/>
      <c r="EV108" s="11">
        <v>18</v>
      </c>
      <c r="EW108" s="13">
        <v>620.52</v>
      </c>
      <c r="EX108" s="11">
        <v>4</v>
      </c>
      <c r="EY108" s="11"/>
      <c r="EZ108" s="13"/>
      <c r="FA108" s="11"/>
      <c r="FB108" s="12"/>
      <c r="FC108" s="12"/>
      <c r="FD108" s="11">
        <v>58</v>
      </c>
      <c r="FE108" s="13">
        <v>4398.14</v>
      </c>
      <c r="FF108" s="11">
        <v>20</v>
      </c>
      <c r="FG108" s="11"/>
      <c r="FH108" s="13"/>
      <c r="FI108" s="11"/>
      <c r="FJ108" s="12"/>
      <c r="FK108" s="12"/>
      <c r="FL108" s="11"/>
      <c r="FM108" s="13"/>
      <c r="FN108" s="11">
        <v>1</v>
      </c>
      <c r="FO108" s="11"/>
      <c r="FP108" s="13"/>
      <c r="FQ108" s="11"/>
      <c r="FR108" s="12"/>
      <c r="FS108" s="12"/>
      <c r="FT108" s="11">
        <v>1</v>
      </c>
      <c r="FU108" s="13">
        <v>52.49</v>
      </c>
      <c r="FV108" s="11">
        <v>16</v>
      </c>
      <c r="FW108" s="11"/>
      <c r="FX108" s="13"/>
      <c r="FY108" s="11"/>
      <c r="FZ108" s="12"/>
      <c r="GA108" s="12"/>
      <c r="GB108" s="11">
        <v>1</v>
      </c>
      <c r="GC108" s="13">
        <v>57.77</v>
      </c>
      <c r="GD108" s="11">
        <v>1</v>
      </c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>
        <v>1</v>
      </c>
      <c r="GS108" s="13">
        <v>67.38</v>
      </c>
      <c r="GT108" s="11">
        <v>18</v>
      </c>
      <c r="GU108" s="11"/>
      <c r="GV108" s="13"/>
      <c r="GW108" s="11"/>
      <c r="GX108" s="12"/>
      <c r="GY108" s="12"/>
      <c r="GZ108" s="11">
        <v>15</v>
      </c>
      <c r="HA108" s="13">
        <v>956.17</v>
      </c>
      <c r="HB108" s="11">
        <v>7</v>
      </c>
      <c r="HC108" s="11"/>
      <c r="HD108" s="13"/>
      <c r="HE108" s="11"/>
      <c r="HF108" s="12"/>
      <c r="HG108" s="12"/>
      <c r="HH108" s="11"/>
      <c r="HI108" s="13"/>
      <c r="HJ108" s="11"/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>
        <v>5</v>
      </c>
      <c r="HY108" s="13">
        <v>364.72</v>
      </c>
      <c r="HZ108" s="11">
        <v>41</v>
      </c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>
        <v>16</v>
      </c>
      <c r="IY108" s="11"/>
      <c r="IZ108" s="13"/>
      <c r="JA108" s="11"/>
      <c r="JB108" s="12"/>
      <c r="JC108" s="12"/>
      <c r="JD108" s="11">
        <v>3</v>
      </c>
      <c r="JE108" s="13">
        <v>306.27</v>
      </c>
      <c r="JF108" s="11">
        <v>13</v>
      </c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>
        <v>19</v>
      </c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  <c r="LH108" s="11"/>
      <c r="LI108" s="13"/>
      <c r="LJ108" s="11"/>
      <c r="LK108" s="11"/>
      <c r="LL108" s="13"/>
      <c r="LM108" s="11"/>
      <c r="LN108" s="12"/>
      <c r="LO108" s="12"/>
      <c r="LP108" s="11"/>
      <c r="LQ108" s="13"/>
      <c r="LR108" s="11"/>
      <c r="LS108" s="11"/>
      <c r="LT108" s="13"/>
      <c r="LU108" s="11"/>
      <c r="LV108" s="12"/>
      <c r="LW108" s="12"/>
    </row>
    <row r="109">
      <c r="A109" s="10" t="s">
        <v>138</v>
      </c>
      <c r="B109" s="10" t="s">
        <v>77</v>
      </c>
      <c r="C109" s="10" t="s">
        <v>77</v>
      </c>
      <c r="D109" s="11">
        <v>1147665</v>
      </c>
      <c r="E109" s="11">
        <f>=ROUNDDOWN({0},0)</f>
      </c>
      <c r="F109" s="11">
        <v>344534</v>
      </c>
      <c r="G109" s="12"/>
      <c r="H109" s="11"/>
      <c r="I109" s="11">
        <f>=ROUNDDOWN({0},0)</f>
      </c>
      <c r="J109" s="11">
        <v>350</v>
      </c>
      <c r="K109" s="12"/>
      <c r="L109" s="11">
        <v>377252</v>
      </c>
      <c r="M109" s="13">
        <v>19122130.34</v>
      </c>
      <c r="N109" s="11">
        <v>2201</v>
      </c>
      <c r="O109" s="14">
        <v>8687.93</v>
      </c>
      <c r="P109" s="11"/>
      <c r="Q109" s="13"/>
      <c r="R109" s="11"/>
      <c r="S109" s="14"/>
      <c r="T109" s="12"/>
      <c r="U109" s="12"/>
      <c r="V109" s="12"/>
      <c r="W109" s="12"/>
      <c r="X109" s="11">
        <v>100973</v>
      </c>
      <c r="Y109" s="13">
        <v>5414941</v>
      </c>
      <c r="Z109" s="11">
        <v>1860</v>
      </c>
      <c r="AA109" s="11"/>
      <c r="AB109" s="13"/>
      <c r="AC109" s="11"/>
      <c r="AD109" s="12"/>
      <c r="AE109" s="12"/>
      <c r="AF109" s="11">
        <v>41693</v>
      </c>
      <c r="AG109" s="13">
        <v>2192354.33</v>
      </c>
      <c r="AH109" s="11">
        <v>1939</v>
      </c>
      <c r="AI109" s="11"/>
      <c r="AJ109" s="13"/>
      <c r="AK109" s="11"/>
      <c r="AL109" s="12"/>
      <c r="AM109" s="12"/>
      <c r="AN109" s="11">
        <v>78550</v>
      </c>
      <c r="AO109" s="13">
        <v>3006522.15</v>
      </c>
      <c r="AP109" s="11">
        <v>1960</v>
      </c>
      <c r="AQ109" s="11"/>
      <c r="AR109" s="13"/>
      <c r="AS109" s="11"/>
      <c r="AT109" s="12"/>
      <c r="AU109" s="12"/>
      <c r="AV109" s="11">
        <v>18929</v>
      </c>
      <c r="AW109" s="13">
        <v>1006136.56</v>
      </c>
      <c r="AX109" s="11">
        <v>1380</v>
      </c>
      <c r="AY109" s="11"/>
      <c r="AZ109" s="13"/>
      <c r="BA109" s="11"/>
      <c r="BB109" s="12"/>
      <c r="BC109" s="12"/>
      <c r="BD109" s="11">
        <v>36422</v>
      </c>
      <c r="BE109" s="13">
        <v>2159067.59</v>
      </c>
      <c r="BF109" s="11">
        <v>1795</v>
      </c>
      <c r="BG109" s="11"/>
      <c r="BH109" s="13"/>
      <c r="BI109" s="11"/>
      <c r="BJ109" s="12"/>
      <c r="BK109" s="12"/>
      <c r="BL109" s="11">
        <v>20675</v>
      </c>
      <c r="BM109" s="13">
        <v>1497574.95</v>
      </c>
      <c r="BN109" s="11">
        <v>1994</v>
      </c>
      <c r="BO109" s="11"/>
      <c r="BP109" s="13"/>
      <c r="BQ109" s="11"/>
      <c r="BR109" s="12"/>
      <c r="BS109" s="12"/>
      <c r="BT109" s="11">
        <v>8960</v>
      </c>
      <c r="BU109" s="13">
        <v>642098.75</v>
      </c>
      <c r="BV109" s="11">
        <v>1713</v>
      </c>
      <c r="BW109" s="11"/>
      <c r="BX109" s="13"/>
      <c r="BY109" s="11"/>
      <c r="BZ109" s="12"/>
      <c r="CA109" s="12"/>
      <c r="CB109" s="11">
        <v>22994</v>
      </c>
      <c r="CC109" s="13">
        <v>1219982.6</v>
      </c>
      <c r="CD109" s="11">
        <v>1730</v>
      </c>
      <c r="CE109" s="11"/>
      <c r="CF109" s="13"/>
      <c r="CG109" s="11"/>
      <c r="CH109" s="12"/>
      <c r="CI109" s="12"/>
      <c r="CJ109" s="11">
        <v>11124</v>
      </c>
      <c r="CK109" s="13">
        <v>578209.92</v>
      </c>
      <c r="CL109" s="11">
        <v>1900</v>
      </c>
      <c r="CM109" s="11"/>
      <c r="CN109" s="13"/>
      <c r="CO109" s="11"/>
      <c r="CP109" s="12"/>
      <c r="CQ109" s="12"/>
      <c r="CR109" s="11">
        <v>18060</v>
      </c>
      <c r="CS109" s="13">
        <v>361392.6</v>
      </c>
      <c r="CT109" s="11"/>
      <c r="CU109" s="11"/>
      <c r="CV109" s="13"/>
      <c r="CW109" s="11"/>
      <c r="CX109" s="12"/>
      <c r="CY109" s="12"/>
      <c r="CZ109" s="11">
        <v>959</v>
      </c>
      <c r="DA109" s="13">
        <v>44007.31</v>
      </c>
      <c r="DB109" s="11">
        <v>157</v>
      </c>
      <c r="DC109" s="11"/>
      <c r="DD109" s="13"/>
      <c r="DE109" s="11"/>
      <c r="DF109" s="12"/>
      <c r="DG109" s="12"/>
      <c r="DH109" s="11">
        <v>755</v>
      </c>
      <c r="DI109" s="13">
        <v>43676.76</v>
      </c>
      <c r="DJ109" s="11">
        <v>610</v>
      </c>
      <c r="DK109" s="11"/>
      <c r="DL109" s="13"/>
      <c r="DM109" s="11"/>
      <c r="DN109" s="12"/>
      <c r="DO109" s="12"/>
      <c r="DP109" s="11">
        <v>6237</v>
      </c>
      <c r="DQ109" s="13">
        <v>388455.86</v>
      </c>
      <c r="DR109" s="11">
        <v>1824</v>
      </c>
      <c r="DS109" s="11"/>
      <c r="DT109" s="13"/>
      <c r="DU109" s="11"/>
      <c r="DV109" s="12"/>
      <c r="DW109" s="12"/>
      <c r="DX109" s="11">
        <v>2546</v>
      </c>
      <c r="DY109" s="13">
        <v>86741.78</v>
      </c>
      <c r="DZ109" s="11">
        <v>648</v>
      </c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>
        <v>1696</v>
      </c>
      <c r="EO109" s="13">
        <v>107786.47</v>
      </c>
      <c r="EP109" s="11">
        <v>2099</v>
      </c>
      <c r="EQ109" s="11"/>
      <c r="ER109" s="13"/>
      <c r="ES109" s="11"/>
      <c r="ET109" s="12"/>
      <c r="EU109" s="12"/>
      <c r="EV109" s="11">
        <v>3137</v>
      </c>
      <c r="EW109" s="13">
        <v>119333.23</v>
      </c>
      <c r="EX109" s="11">
        <v>233</v>
      </c>
      <c r="EY109" s="11"/>
      <c r="EZ109" s="13"/>
      <c r="FA109" s="11"/>
      <c r="FB109" s="12"/>
      <c r="FC109" s="12"/>
      <c r="FD109" s="11">
        <v>1133</v>
      </c>
      <c r="FE109" s="13">
        <v>81787.1</v>
      </c>
      <c r="FF109" s="11">
        <v>271</v>
      </c>
      <c r="FG109" s="11"/>
      <c r="FH109" s="13"/>
      <c r="FI109" s="11"/>
      <c r="FJ109" s="12"/>
      <c r="FK109" s="12"/>
      <c r="FL109" s="11">
        <v>329</v>
      </c>
      <c r="FM109" s="13">
        <v>22444.46</v>
      </c>
      <c r="FN109" s="11">
        <v>239</v>
      </c>
      <c r="FO109" s="11"/>
      <c r="FP109" s="13"/>
      <c r="FQ109" s="11"/>
      <c r="FR109" s="12"/>
      <c r="FS109" s="12"/>
      <c r="FT109" s="11">
        <v>325</v>
      </c>
      <c r="FU109" s="13">
        <v>23317.5</v>
      </c>
      <c r="FV109" s="11">
        <v>627</v>
      </c>
      <c r="FW109" s="11"/>
      <c r="FX109" s="13"/>
      <c r="FY109" s="11"/>
      <c r="FZ109" s="12"/>
      <c r="GA109" s="12"/>
      <c r="GB109" s="11">
        <v>202</v>
      </c>
      <c r="GC109" s="13">
        <v>19214.63</v>
      </c>
      <c r="GD109" s="11">
        <v>266</v>
      </c>
      <c r="GE109" s="11"/>
      <c r="GF109" s="13"/>
      <c r="GG109" s="11"/>
      <c r="GH109" s="12"/>
      <c r="GI109" s="12"/>
      <c r="GJ109" s="11">
        <v>67</v>
      </c>
      <c r="GK109" s="13">
        <v>6404.62</v>
      </c>
      <c r="GL109" s="11">
        <v>187</v>
      </c>
      <c r="GM109" s="11"/>
      <c r="GN109" s="13"/>
      <c r="GO109" s="11"/>
      <c r="GP109" s="12"/>
      <c r="GQ109" s="12"/>
      <c r="GR109" s="11">
        <v>88</v>
      </c>
      <c r="GS109" s="13">
        <v>6504.39</v>
      </c>
      <c r="GT109" s="11">
        <v>1044</v>
      </c>
      <c r="GU109" s="11"/>
      <c r="GV109" s="13"/>
      <c r="GW109" s="11"/>
      <c r="GX109" s="12"/>
      <c r="GY109" s="12"/>
      <c r="GZ109" s="11">
        <v>478</v>
      </c>
      <c r="HA109" s="13">
        <v>30343.71</v>
      </c>
      <c r="HB109" s="11">
        <v>549</v>
      </c>
      <c r="HC109" s="11"/>
      <c r="HD109" s="13"/>
      <c r="HE109" s="11"/>
      <c r="HF109" s="12"/>
      <c r="HG109" s="12"/>
      <c r="HH109" s="11">
        <v>587</v>
      </c>
      <c r="HI109" s="13">
        <v>32927.09</v>
      </c>
      <c r="HJ109" s="11"/>
      <c r="HK109" s="11"/>
      <c r="HL109" s="13"/>
      <c r="HM109" s="11"/>
      <c r="HN109" s="12"/>
      <c r="HO109" s="12"/>
      <c r="HP109" s="11"/>
      <c r="HQ109" s="13"/>
      <c r="HR109" s="11"/>
      <c r="HS109" s="11"/>
      <c r="HT109" s="13"/>
      <c r="HU109" s="11"/>
      <c r="HV109" s="12"/>
      <c r="HW109" s="12"/>
      <c r="HX109" s="11">
        <v>78</v>
      </c>
      <c r="HY109" s="13">
        <v>5791.24</v>
      </c>
      <c r="HZ109" s="11">
        <v>356</v>
      </c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>
        <v>89</v>
      </c>
      <c r="IO109" s="13">
        <v>15014.12</v>
      </c>
      <c r="IP109" s="11">
        <v>69</v>
      </c>
      <c r="IQ109" s="11"/>
      <c r="IR109" s="13"/>
      <c r="IS109" s="11"/>
      <c r="IT109" s="12"/>
      <c r="IU109" s="12"/>
      <c r="IV109" s="11">
        <v>142</v>
      </c>
      <c r="IW109" s="13">
        <v>8732.83</v>
      </c>
      <c r="IX109" s="11">
        <v>676</v>
      </c>
      <c r="IY109" s="11"/>
      <c r="IZ109" s="13"/>
      <c r="JA109" s="11"/>
      <c r="JB109" s="12"/>
      <c r="JC109" s="12"/>
      <c r="JD109" s="11">
        <v>14</v>
      </c>
      <c r="JE109" s="13">
        <v>1159.45</v>
      </c>
      <c r="JF109" s="11">
        <v>56</v>
      </c>
      <c r="JG109" s="11"/>
      <c r="JH109" s="13"/>
      <c r="JI109" s="11"/>
      <c r="JJ109" s="12"/>
      <c r="JK109" s="12"/>
      <c r="JL109" s="11"/>
      <c r="JM109" s="13"/>
      <c r="JN109" s="11">
        <v>17</v>
      </c>
      <c r="JO109" s="11"/>
      <c r="JP109" s="13"/>
      <c r="JQ109" s="11"/>
      <c r="JR109" s="12"/>
      <c r="JS109" s="12"/>
      <c r="JT109" s="11"/>
      <c r="JU109" s="13"/>
      <c r="JV109" s="11">
        <v>324</v>
      </c>
      <c r="JW109" s="11"/>
      <c r="JX109" s="13"/>
      <c r="JY109" s="11"/>
      <c r="JZ109" s="12"/>
      <c r="KA109" s="12"/>
      <c r="KB109" s="11">
        <v>10</v>
      </c>
      <c r="KC109" s="13">
        <v>207.34</v>
      </c>
      <c r="KD109" s="11"/>
      <c r="KE109" s="11"/>
      <c r="KF109" s="13"/>
      <c r="KG109" s="11"/>
      <c r="KH109" s="12"/>
      <c r="KI109" s="12"/>
      <c r="KJ109" s="11"/>
      <c r="KK109" s="13"/>
      <c r="KL109" s="11"/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  <c r="LH109" s="11"/>
      <c r="LI109" s="13"/>
      <c r="LJ109" s="11"/>
      <c r="LK109" s="11"/>
      <c r="LL109" s="13"/>
      <c r="LM109" s="11"/>
      <c r="LN109" s="12"/>
      <c r="LO109" s="12"/>
      <c r="LP109" s="11"/>
      <c r="LQ109" s="13"/>
      <c r="LR109" s="11"/>
      <c r="LS109" s="11"/>
      <c r="LT109" s="13"/>
      <c r="LU109" s="11"/>
      <c r="LV109" s="12"/>
      <c r="LW109" s="12"/>
    </row>
    <row r="110">
      <c r="A110" s="10" t="s">
        <v>139</v>
      </c>
      <c r="B110" s="10" t="s">
        <v>82</v>
      </c>
      <c r="C110" s="10" t="s">
        <v>140</v>
      </c>
      <c r="D110" s="11">
        <v>37</v>
      </c>
      <c r="E110" s="11">
        <f>=ROUNDDOWN(185,0)</f>
      </c>
      <c r="F110" s="11"/>
      <c r="G110" s="12"/>
      <c r="H110" s="11"/>
      <c r="I110" s="11">
        <f>=ROUNDDOWN({0},0)</f>
      </c>
      <c r="J110" s="11"/>
      <c r="K110" s="12"/>
      <c r="L110" s="11">
        <v>14</v>
      </c>
      <c r="M110" s="13">
        <v>105.84</v>
      </c>
      <c r="N110" s="11"/>
      <c r="O110" s="14"/>
      <c r="P110" s="11"/>
      <c r="Q110" s="13"/>
      <c r="R110" s="11"/>
      <c r="S110" s="14"/>
      <c r="T110" s="12"/>
      <c r="U110" s="12"/>
      <c r="V110" s="12"/>
      <c r="W110" s="12"/>
      <c r="X110" s="11"/>
      <c r="Y110" s="13"/>
      <c r="Z110" s="11"/>
      <c r="AA110" s="11"/>
      <c r="AB110" s="13"/>
      <c r="AC110" s="11"/>
      <c r="AD110" s="12"/>
      <c r="AE110" s="12"/>
      <c r="AF110" s="11"/>
      <c r="AG110" s="13"/>
      <c r="AH110" s="11"/>
      <c r="AI110" s="11"/>
      <c r="AJ110" s="13"/>
      <c r="AK110" s="11"/>
      <c r="AL110" s="12"/>
      <c r="AM110" s="12"/>
      <c r="AN110" s="11"/>
      <c r="AO110" s="13"/>
      <c r="AP110" s="11"/>
      <c r="AQ110" s="11"/>
      <c r="AR110" s="13"/>
      <c r="AS110" s="11"/>
      <c r="AT110" s="12"/>
      <c r="AU110" s="12"/>
      <c r="AV110" s="11"/>
      <c r="AW110" s="13"/>
      <c r="AX110" s="11"/>
      <c r="AY110" s="11"/>
      <c r="AZ110" s="13"/>
      <c r="BA110" s="11"/>
      <c r="BB110" s="12"/>
      <c r="BC110" s="12"/>
      <c r="BD110" s="11">
        <v>14</v>
      </c>
      <c r="BE110" s="13">
        <v>105.84</v>
      </c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/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/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  <c r="LH110" s="11"/>
      <c r="LI110" s="13"/>
      <c r="LJ110" s="11"/>
      <c r="LK110" s="11"/>
      <c r="LL110" s="13"/>
      <c r="LM110" s="11"/>
      <c r="LN110" s="12"/>
      <c r="LO110" s="12"/>
      <c r="LP110" s="11"/>
      <c r="LQ110" s="13"/>
      <c r="LR110" s="11"/>
      <c r="LS110" s="11"/>
      <c r="LT110" s="13"/>
      <c r="LU110" s="11"/>
      <c r="LV110" s="12"/>
      <c r="LW110" s="12"/>
    </row>
    <row r="111">
      <c r="A111" s="10" t="s">
        <v>139</v>
      </c>
      <c r="B111" s="10" t="s">
        <v>82</v>
      </c>
      <c r="C111" s="10" t="s">
        <v>141</v>
      </c>
      <c r="D111" s="11">
        <v>3278</v>
      </c>
      <c r="E111" s="11">
        <f>=ROUNDDOWN(32.4233432245302,0)</f>
      </c>
      <c r="F111" s="11"/>
      <c r="G111" s="12"/>
      <c r="H111" s="11"/>
      <c r="I111" s="11">
        <f>=ROUNDDOWN({0},0)</f>
      </c>
      <c r="J111" s="11"/>
      <c r="K111" s="12"/>
      <c r="L111" s="11">
        <v>119</v>
      </c>
      <c r="M111" s="13">
        <v>1398.7</v>
      </c>
      <c r="N111" s="11">
        <v>11</v>
      </c>
      <c r="O111" s="14">
        <v>127.15</v>
      </c>
      <c r="P111" s="11"/>
      <c r="Q111" s="13"/>
      <c r="R111" s="11"/>
      <c r="S111" s="14"/>
      <c r="T111" s="12"/>
      <c r="U111" s="12"/>
      <c r="V111" s="12"/>
      <c r="W111" s="12"/>
      <c r="X111" s="11"/>
      <c r="Y111" s="13"/>
      <c r="Z111" s="11"/>
      <c r="AA111" s="11"/>
      <c r="AB111" s="13"/>
      <c r="AC111" s="11"/>
      <c r="AD111" s="12"/>
      <c r="AE111" s="12"/>
      <c r="AF111" s="11"/>
      <c r="AG111" s="13"/>
      <c r="AH111" s="11"/>
      <c r="AI111" s="11"/>
      <c r="AJ111" s="13"/>
      <c r="AK111" s="11"/>
      <c r="AL111" s="12"/>
      <c r="AM111" s="12"/>
      <c r="AN111" s="11"/>
      <c r="AO111" s="13"/>
      <c r="AP111" s="11"/>
      <c r="AQ111" s="11"/>
      <c r="AR111" s="13"/>
      <c r="AS111" s="11"/>
      <c r="AT111" s="12"/>
      <c r="AU111" s="12"/>
      <c r="AV111" s="11"/>
      <c r="AW111" s="13"/>
      <c r="AX111" s="11"/>
      <c r="AY111" s="11"/>
      <c r="AZ111" s="13"/>
      <c r="BA111" s="11"/>
      <c r="BB111" s="12"/>
      <c r="BC111" s="12"/>
      <c r="BD111" s="11">
        <v>116</v>
      </c>
      <c r="BE111" s="13">
        <v>1362.7</v>
      </c>
      <c r="BF111" s="11">
        <v>11</v>
      </c>
      <c r="BG111" s="11"/>
      <c r="BH111" s="13"/>
      <c r="BI111" s="11"/>
      <c r="BJ111" s="12"/>
      <c r="BK111" s="12"/>
      <c r="BL111" s="11"/>
      <c r="BM111" s="13"/>
      <c r="BN111" s="11"/>
      <c r="BO111" s="11"/>
      <c r="BP111" s="13"/>
      <c r="BQ111" s="11"/>
      <c r="BR111" s="12"/>
      <c r="BS111" s="12"/>
      <c r="BT111" s="11"/>
      <c r="BU111" s="13"/>
      <c r="BV111" s="11"/>
      <c r="BW111" s="11"/>
      <c r="BX111" s="13"/>
      <c r="BY111" s="11"/>
      <c r="BZ111" s="12"/>
      <c r="CA111" s="12"/>
      <c r="CB111" s="11">
        <v>3</v>
      </c>
      <c r="CC111" s="13">
        <v>36</v>
      </c>
      <c r="CD111" s="11"/>
      <c r="CE111" s="11"/>
      <c r="CF111" s="13"/>
      <c r="CG111" s="11"/>
      <c r="CH111" s="12"/>
      <c r="CI111" s="12"/>
      <c r="CJ111" s="11"/>
      <c r="CK111" s="13"/>
      <c r="CL111" s="11"/>
      <c r="CM111" s="11"/>
      <c r="CN111" s="13"/>
      <c r="CO111" s="11"/>
      <c r="CP111" s="12"/>
      <c r="CQ111" s="12"/>
      <c r="CR111" s="11"/>
      <c r="CS111" s="13"/>
      <c r="CT111" s="11"/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/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/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/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  <c r="LH111" s="11"/>
      <c r="LI111" s="13"/>
      <c r="LJ111" s="11"/>
      <c r="LK111" s="11"/>
      <c r="LL111" s="13"/>
      <c r="LM111" s="11"/>
      <c r="LN111" s="12"/>
      <c r="LO111" s="12"/>
      <c r="LP111" s="11"/>
      <c r="LQ111" s="13"/>
      <c r="LR111" s="11"/>
      <c r="LS111" s="11"/>
      <c r="LT111" s="13"/>
      <c r="LU111" s="11"/>
      <c r="LV111" s="12"/>
      <c r="LW111" s="12"/>
    </row>
    <row r="112">
      <c r="A112" s="10" t="s">
        <v>139</v>
      </c>
      <c r="B112" s="10" t="s">
        <v>82</v>
      </c>
      <c r="C112" s="10" t="s">
        <v>142</v>
      </c>
      <c r="D112" s="11">
        <v>5143</v>
      </c>
      <c r="E112" s="11">
        <f>=ROUNDDOWN(57.9819616685457,0)</f>
      </c>
      <c r="F112" s="11"/>
      <c r="G112" s="12"/>
      <c r="H112" s="11"/>
      <c r="I112" s="11">
        <f>=ROUNDDOWN({0},0)</f>
      </c>
      <c r="J112" s="11"/>
      <c r="K112" s="12"/>
      <c r="L112" s="11">
        <v>10</v>
      </c>
      <c r="M112" s="13">
        <v>131</v>
      </c>
      <c r="N112" s="11">
        <v>8</v>
      </c>
      <c r="O112" s="14">
        <v>16.38</v>
      </c>
      <c r="P112" s="11"/>
      <c r="Q112" s="13"/>
      <c r="R112" s="11"/>
      <c r="S112" s="14"/>
      <c r="T112" s="12"/>
      <c r="U112" s="12"/>
      <c r="V112" s="12"/>
      <c r="W112" s="12"/>
      <c r="X112" s="11"/>
      <c r="Y112" s="13"/>
      <c r="Z112" s="11"/>
      <c r="AA112" s="11"/>
      <c r="AB112" s="13"/>
      <c r="AC112" s="11"/>
      <c r="AD112" s="12"/>
      <c r="AE112" s="12"/>
      <c r="AF112" s="11"/>
      <c r="AG112" s="13"/>
      <c r="AH112" s="11">
        <v>8</v>
      </c>
      <c r="AI112" s="11"/>
      <c r="AJ112" s="13"/>
      <c r="AK112" s="11"/>
      <c r="AL112" s="12"/>
      <c r="AM112" s="12"/>
      <c r="AN112" s="11"/>
      <c r="AO112" s="13"/>
      <c r="AP112" s="11"/>
      <c r="AQ112" s="11"/>
      <c r="AR112" s="13"/>
      <c r="AS112" s="11"/>
      <c r="AT112" s="12"/>
      <c r="AU112" s="12"/>
      <c r="AV112" s="11"/>
      <c r="AW112" s="13"/>
      <c r="AX112" s="11"/>
      <c r="AY112" s="11"/>
      <c r="AZ112" s="13"/>
      <c r="BA112" s="11"/>
      <c r="BB112" s="12"/>
      <c r="BC112" s="12"/>
      <c r="BD112" s="11">
        <v>10</v>
      </c>
      <c r="BE112" s="13">
        <v>131</v>
      </c>
      <c r="BF112" s="11">
        <v>8</v>
      </c>
      <c r="BG112" s="11"/>
      <c r="BH112" s="13"/>
      <c r="BI112" s="11"/>
      <c r="BJ112" s="12"/>
      <c r="BK112" s="12"/>
      <c r="BL112" s="11"/>
      <c r="BM112" s="13"/>
      <c r="BN112" s="11">
        <v>8</v>
      </c>
      <c r="BO112" s="11"/>
      <c r="BP112" s="13"/>
      <c r="BQ112" s="11"/>
      <c r="BR112" s="12"/>
      <c r="BS112" s="12"/>
      <c r="BT112" s="11"/>
      <c r="BU112" s="13"/>
      <c r="BV112" s="11"/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/>
      <c r="CM112" s="11"/>
      <c r="CN112" s="13"/>
      <c r="CO112" s="11"/>
      <c r="CP112" s="12"/>
      <c r="CQ112" s="12"/>
      <c r="CR112" s="11"/>
      <c r="CS112" s="13"/>
      <c r="CT112" s="11"/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/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/>
      <c r="DY112" s="13"/>
      <c r="DZ112" s="11"/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  <c r="LH112" s="11"/>
      <c r="LI112" s="13"/>
      <c r="LJ112" s="11"/>
      <c r="LK112" s="11"/>
      <c r="LL112" s="13"/>
      <c r="LM112" s="11"/>
      <c r="LN112" s="12"/>
      <c r="LO112" s="12"/>
      <c r="LP112" s="11"/>
      <c r="LQ112" s="13"/>
      <c r="LR112" s="11"/>
      <c r="LS112" s="11"/>
      <c r="LT112" s="13"/>
      <c r="LU112" s="11"/>
      <c r="LV112" s="12"/>
      <c r="LW112" s="12"/>
    </row>
    <row r="113">
      <c r="A113" s="10" t="s">
        <v>139</v>
      </c>
      <c r="B113" s="10" t="s">
        <v>84</v>
      </c>
      <c r="C113" s="10" t="s">
        <v>77</v>
      </c>
      <c r="D113" s="11">
        <v>8458</v>
      </c>
      <c r="E113" s="11">
        <f>=ROUNDDOWN({0},0)</f>
      </c>
      <c r="F113" s="11"/>
      <c r="G113" s="12"/>
      <c r="H113" s="11"/>
      <c r="I113" s="11">
        <f>=ROUNDDOWN({0},0)</f>
      </c>
      <c r="J113" s="11"/>
      <c r="K113" s="12"/>
      <c r="L113" s="11">
        <v>143</v>
      </c>
      <c r="M113" s="13">
        <v>1635.54</v>
      </c>
      <c r="N113" s="11">
        <v>19</v>
      </c>
      <c r="O113" s="14">
        <v>86.08</v>
      </c>
      <c r="P113" s="11"/>
      <c r="Q113" s="13"/>
      <c r="R113" s="11"/>
      <c r="S113" s="14"/>
      <c r="T113" s="12"/>
      <c r="U113" s="12"/>
      <c r="V113" s="12"/>
      <c r="W113" s="12"/>
      <c r="X113" s="11"/>
      <c r="Y113" s="13"/>
      <c r="Z113" s="11"/>
      <c r="AA113" s="11"/>
      <c r="AB113" s="13"/>
      <c r="AC113" s="11"/>
      <c r="AD113" s="12"/>
      <c r="AE113" s="12"/>
      <c r="AF113" s="11"/>
      <c r="AG113" s="13"/>
      <c r="AH113" s="11">
        <v>8</v>
      </c>
      <c r="AI113" s="11"/>
      <c r="AJ113" s="13"/>
      <c r="AK113" s="11"/>
      <c r="AL113" s="12"/>
      <c r="AM113" s="12"/>
      <c r="AN113" s="11"/>
      <c r="AO113" s="13"/>
      <c r="AP113" s="11"/>
      <c r="AQ113" s="11"/>
      <c r="AR113" s="13"/>
      <c r="AS113" s="11"/>
      <c r="AT113" s="12"/>
      <c r="AU113" s="12"/>
      <c r="AV113" s="11"/>
      <c r="AW113" s="13"/>
      <c r="AX113" s="11"/>
      <c r="AY113" s="11"/>
      <c r="AZ113" s="13"/>
      <c r="BA113" s="11"/>
      <c r="BB113" s="12"/>
      <c r="BC113" s="12"/>
      <c r="BD113" s="11">
        <v>140</v>
      </c>
      <c r="BE113" s="13">
        <v>1599.54</v>
      </c>
      <c r="BF113" s="11">
        <v>19</v>
      </c>
      <c r="BG113" s="11"/>
      <c r="BH113" s="13"/>
      <c r="BI113" s="11"/>
      <c r="BJ113" s="12"/>
      <c r="BK113" s="12"/>
      <c r="BL113" s="11"/>
      <c r="BM113" s="13"/>
      <c r="BN113" s="11">
        <v>8</v>
      </c>
      <c r="BO113" s="11"/>
      <c r="BP113" s="13"/>
      <c r="BQ113" s="11"/>
      <c r="BR113" s="12"/>
      <c r="BS113" s="12"/>
      <c r="BT113" s="11"/>
      <c r="BU113" s="13"/>
      <c r="BV113" s="11"/>
      <c r="BW113" s="11"/>
      <c r="BX113" s="13"/>
      <c r="BY113" s="11"/>
      <c r="BZ113" s="12"/>
      <c r="CA113" s="12"/>
      <c r="CB113" s="11">
        <v>3</v>
      </c>
      <c r="CC113" s="13">
        <v>36</v>
      </c>
      <c r="CD113" s="11"/>
      <c r="CE113" s="11"/>
      <c r="CF113" s="13"/>
      <c r="CG113" s="11"/>
      <c r="CH113" s="12"/>
      <c r="CI113" s="12"/>
      <c r="CJ113" s="11"/>
      <c r="CK113" s="13"/>
      <c r="CL113" s="11"/>
      <c r="CM113" s="11"/>
      <c r="CN113" s="13"/>
      <c r="CO113" s="11"/>
      <c r="CP113" s="12"/>
      <c r="CQ113" s="12"/>
      <c r="CR113" s="11"/>
      <c r="CS113" s="13"/>
      <c r="CT113" s="11"/>
      <c r="CU113" s="11"/>
      <c r="CV113" s="13"/>
      <c r="CW113" s="11"/>
      <c r="CX113" s="12"/>
      <c r="CY113" s="12"/>
      <c r="CZ113" s="11"/>
      <c r="DA113" s="13"/>
      <c r="DB113" s="11"/>
      <c r="DC113" s="11"/>
      <c r="DD113" s="13"/>
      <c r="DE113" s="11"/>
      <c r="DF113" s="12"/>
      <c r="DG113" s="12"/>
      <c r="DH113" s="11"/>
      <c r="DI113" s="13"/>
      <c r="DJ113" s="11"/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/>
      <c r="DY113" s="13"/>
      <c r="DZ113" s="11"/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/>
      <c r="EW113" s="13"/>
      <c r="EX113" s="11"/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/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/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/>
      <c r="KM113" s="11"/>
      <c r="KN113" s="13"/>
      <c r="KO113" s="11"/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  <c r="LH113" s="11"/>
      <c r="LI113" s="13"/>
      <c r="LJ113" s="11"/>
      <c r="LK113" s="11"/>
      <c r="LL113" s="13"/>
      <c r="LM113" s="11"/>
      <c r="LN113" s="12"/>
      <c r="LO113" s="12"/>
      <c r="LP113" s="11"/>
      <c r="LQ113" s="13"/>
      <c r="LR113" s="11"/>
      <c r="LS113" s="11"/>
      <c r="LT113" s="13"/>
      <c r="LU113" s="11"/>
      <c r="LV113" s="12"/>
      <c r="LW113" s="12"/>
    </row>
    <row r="114">
      <c r="A114" s="10" t="s">
        <v>139</v>
      </c>
      <c r="B114" s="10" t="s">
        <v>143</v>
      </c>
      <c r="C114" s="10" t="s">
        <v>140</v>
      </c>
      <c r="D114" s="11">
        <v>51</v>
      </c>
      <c r="E114" s="11">
        <f>=ROUNDDOWN(127.5,0)</f>
      </c>
      <c r="F114" s="11"/>
      <c r="G114" s="12"/>
      <c r="H114" s="11"/>
      <c r="I114" s="11">
        <f>=ROUNDDOWN({0},0)</f>
      </c>
      <c r="J114" s="11"/>
      <c r="K114" s="12"/>
      <c r="L114" s="11">
        <v>37</v>
      </c>
      <c r="M114" s="13">
        <v>629.3</v>
      </c>
      <c r="N114" s="11">
        <v>20</v>
      </c>
      <c r="O114" s="14">
        <v>31.46</v>
      </c>
      <c r="P114" s="11"/>
      <c r="Q114" s="13"/>
      <c r="R114" s="11"/>
      <c r="S114" s="14"/>
      <c r="T114" s="12"/>
      <c r="U114" s="12"/>
      <c r="V114" s="12"/>
      <c r="W114" s="12"/>
      <c r="X114" s="11"/>
      <c r="Y114" s="13"/>
      <c r="Z114" s="11"/>
      <c r="AA114" s="11"/>
      <c r="AB114" s="13"/>
      <c r="AC114" s="11"/>
      <c r="AD114" s="12"/>
      <c r="AE114" s="12"/>
      <c r="AF114" s="11"/>
      <c r="AG114" s="13"/>
      <c r="AH114" s="11"/>
      <c r="AI114" s="11"/>
      <c r="AJ114" s="13"/>
      <c r="AK114" s="11"/>
      <c r="AL114" s="12"/>
      <c r="AM114" s="12"/>
      <c r="AN114" s="11"/>
      <c r="AO114" s="13"/>
      <c r="AP114" s="11"/>
      <c r="AQ114" s="11"/>
      <c r="AR114" s="13"/>
      <c r="AS114" s="11"/>
      <c r="AT114" s="12"/>
      <c r="AU114" s="12"/>
      <c r="AV114" s="11"/>
      <c r="AW114" s="13"/>
      <c r="AX114" s="11"/>
      <c r="AY114" s="11"/>
      <c r="AZ114" s="13"/>
      <c r="BA114" s="11"/>
      <c r="BB114" s="12"/>
      <c r="BC114" s="12"/>
      <c r="BD114" s="11">
        <v>37</v>
      </c>
      <c r="BE114" s="13">
        <v>629.3</v>
      </c>
      <c r="BF114" s="11">
        <v>20</v>
      </c>
      <c r="BG114" s="11"/>
      <c r="BH114" s="13"/>
      <c r="BI114" s="11"/>
      <c r="BJ114" s="12"/>
      <c r="BK114" s="12"/>
      <c r="BL114" s="11"/>
      <c r="BM114" s="13"/>
      <c r="BN114" s="11"/>
      <c r="BO114" s="11"/>
      <c r="BP114" s="13"/>
      <c r="BQ114" s="11"/>
      <c r="BR114" s="12"/>
      <c r="BS114" s="12"/>
      <c r="BT114" s="11"/>
      <c r="BU114" s="13"/>
      <c r="BV114" s="11"/>
      <c r="BW114" s="11"/>
      <c r="BX114" s="13"/>
      <c r="BY114" s="11"/>
      <c r="BZ114" s="12"/>
      <c r="CA114" s="12"/>
      <c r="CB114" s="11"/>
      <c r="CC114" s="13"/>
      <c r="CD114" s="11"/>
      <c r="CE114" s="11"/>
      <c r="CF114" s="13"/>
      <c r="CG114" s="11"/>
      <c r="CH114" s="12"/>
      <c r="CI114" s="12"/>
      <c r="CJ114" s="11"/>
      <c r="CK114" s="13"/>
      <c r="CL114" s="11"/>
      <c r="CM114" s="11"/>
      <c r="CN114" s="13"/>
      <c r="CO114" s="11"/>
      <c r="CP114" s="12"/>
      <c r="CQ114" s="12"/>
      <c r="CR114" s="11"/>
      <c r="CS114" s="13"/>
      <c r="CT114" s="11"/>
      <c r="CU114" s="11"/>
      <c r="CV114" s="13"/>
      <c r="CW114" s="11"/>
      <c r="CX114" s="12"/>
      <c r="CY114" s="12"/>
      <c r="CZ114" s="11"/>
      <c r="DA114" s="13"/>
      <c r="DB114" s="11"/>
      <c r="DC114" s="11"/>
      <c r="DD114" s="13"/>
      <c r="DE114" s="11"/>
      <c r="DF114" s="12"/>
      <c r="DG114" s="12"/>
      <c r="DH114" s="11"/>
      <c r="DI114" s="13"/>
      <c r="DJ114" s="11"/>
      <c r="DK114" s="11"/>
      <c r="DL114" s="13"/>
      <c r="DM114" s="11"/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/>
      <c r="DY114" s="13"/>
      <c r="DZ114" s="11"/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/>
      <c r="EQ114" s="11"/>
      <c r="ER114" s="13"/>
      <c r="ES114" s="11"/>
      <c r="ET114" s="12"/>
      <c r="EU114" s="12"/>
      <c r="EV114" s="11"/>
      <c r="EW114" s="13"/>
      <c r="EX114" s="11"/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/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/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/>
      <c r="GU114" s="11"/>
      <c r="GV114" s="13"/>
      <c r="GW114" s="11"/>
      <c r="GX114" s="12"/>
      <c r="GY114" s="12"/>
      <c r="GZ114" s="11"/>
      <c r="HA114" s="13"/>
      <c r="HB114" s="11"/>
      <c r="HC114" s="11"/>
      <c r="HD114" s="13"/>
      <c r="HE114" s="11"/>
      <c r="HF114" s="12"/>
      <c r="HG114" s="12"/>
      <c r="HH114" s="11"/>
      <c r="HI114" s="13"/>
      <c r="HJ114" s="11"/>
      <c r="HK114" s="11"/>
      <c r="HL114" s="13"/>
      <c r="HM114" s="11"/>
      <c r="HN114" s="12"/>
      <c r="HO114" s="12"/>
      <c r="HP114" s="11"/>
      <c r="HQ114" s="13"/>
      <c r="HR114" s="11"/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/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  <c r="LH114" s="11"/>
      <c r="LI114" s="13"/>
      <c r="LJ114" s="11"/>
      <c r="LK114" s="11"/>
      <c r="LL114" s="13"/>
      <c r="LM114" s="11"/>
      <c r="LN114" s="12"/>
      <c r="LO114" s="12"/>
      <c r="LP114" s="11"/>
      <c r="LQ114" s="13"/>
      <c r="LR114" s="11"/>
      <c r="LS114" s="11"/>
      <c r="LT114" s="13"/>
      <c r="LU114" s="11"/>
      <c r="LV114" s="12"/>
      <c r="LW114" s="12"/>
    </row>
    <row r="115">
      <c r="A115" s="10" t="s">
        <v>139</v>
      </c>
      <c r="B115" s="10" t="s">
        <v>143</v>
      </c>
      <c r="C115" s="10" t="s">
        <v>141</v>
      </c>
      <c r="D115" s="11">
        <v>37</v>
      </c>
      <c r="E115" s="11">
        <f>=ROUNDDOWN(74,0)</f>
      </c>
      <c r="F115" s="11"/>
      <c r="G115" s="12">
        <v>0.9167</v>
      </c>
      <c r="H115" s="11"/>
      <c r="I115" s="11">
        <f>=ROUNDDOWN({0},0)</f>
      </c>
      <c r="J115" s="11"/>
      <c r="K115" s="12"/>
      <c r="L115" s="11">
        <v>31</v>
      </c>
      <c r="M115" s="13">
        <v>721</v>
      </c>
      <c r="N115" s="11">
        <v>32</v>
      </c>
      <c r="O115" s="14">
        <v>22.53</v>
      </c>
      <c r="P115" s="11"/>
      <c r="Q115" s="13"/>
      <c r="R115" s="11"/>
      <c r="S115" s="14"/>
      <c r="T115" s="12"/>
      <c r="U115" s="12"/>
      <c r="V115" s="12"/>
      <c r="W115" s="12"/>
      <c r="X115" s="11"/>
      <c r="Y115" s="13"/>
      <c r="Z115" s="11"/>
      <c r="AA115" s="11"/>
      <c r="AB115" s="13"/>
      <c r="AC115" s="11"/>
      <c r="AD115" s="12"/>
      <c r="AE115" s="12"/>
      <c r="AF115" s="11"/>
      <c r="AG115" s="13"/>
      <c r="AH115" s="11"/>
      <c r="AI115" s="11"/>
      <c r="AJ115" s="13"/>
      <c r="AK115" s="11"/>
      <c r="AL115" s="12"/>
      <c r="AM115" s="12"/>
      <c r="AN115" s="11"/>
      <c r="AO115" s="13"/>
      <c r="AP115" s="11"/>
      <c r="AQ115" s="11"/>
      <c r="AR115" s="13"/>
      <c r="AS115" s="11"/>
      <c r="AT115" s="12"/>
      <c r="AU115" s="12"/>
      <c r="AV115" s="11"/>
      <c r="AW115" s="13"/>
      <c r="AX115" s="11"/>
      <c r="AY115" s="11"/>
      <c r="AZ115" s="13"/>
      <c r="BA115" s="11"/>
      <c r="BB115" s="12"/>
      <c r="BC115" s="12"/>
      <c r="BD115" s="11">
        <v>31</v>
      </c>
      <c r="BE115" s="13">
        <v>721</v>
      </c>
      <c r="BF115" s="11">
        <v>32</v>
      </c>
      <c r="BG115" s="11"/>
      <c r="BH115" s="13"/>
      <c r="BI115" s="11"/>
      <c r="BJ115" s="12"/>
      <c r="BK115" s="12"/>
      <c r="BL115" s="11"/>
      <c r="BM115" s="13"/>
      <c r="BN115" s="11"/>
      <c r="BO115" s="11"/>
      <c r="BP115" s="13"/>
      <c r="BQ115" s="11"/>
      <c r="BR115" s="12"/>
      <c r="BS115" s="12"/>
      <c r="BT115" s="11"/>
      <c r="BU115" s="13"/>
      <c r="BV115" s="11"/>
      <c r="BW115" s="11"/>
      <c r="BX115" s="13"/>
      <c r="BY115" s="11"/>
      <c r="BZ115" s="12"/>
      <c r="CA115" s="12"/>
      <c r="CB115" s="11"/>
      <c r="CC115" s="13"/>
      <c r="CD115" s="11"/>
      <c r="CE115" s="11"/>
      <c r="CF115" s="13"/>
      <c r="CG115" s="11"/>
      <c r="CH115" s="12"/>
      <c r="CI115" s="12"/>
      <c r="CJ115" s="11"/>
      <c r="CK115" s="13"/>
      <c r="CL115" s="11"/>
      <c r="CM115" s="11"/>
      <c r="CN115" s="13"/>
      <c r="CO115" s="11"/>
      <c r="CP115" s="12"/>
      <c r="CQ115" s="12"/>
      <c r="CR115" s="11"/>
      <c r="CS115" s="13"/>
      <c r="CT115" s="11"/>
      <c r="CU115" s="11"/>
      <c r="CV115" s="13"/>
      <c r="CW115" s="11"/>
      <c r="CX115" s="12"/>
      <c r="CY115" s="12"/>
      <c r="CZ115" s="11"/>
      <c r="DA115" s="13"/>
      <c r="DB115" s="11"/>
      <c r="DC115" s="11"/>
      <c r="DD115" s="13"/>
      <c r="DE115" s="11"/>
      <c r="DF115" s="12"/>
      <c r="DG115" s="12"/>
      <c r="DH115" s="11"/>
      <c r="DI115" s="13"/>
      <c r="DJ115" s="11"/>
      <c r="DK115" s="11"/>
      <c r="DL115" s="13"/>
      <c r="DM115" s="11"/>
      <c r="DN115" s="12"/>
      <c r="DO115" s="12"/>
      <c r="DP115" s="11"/>
      <c r="DQ115" s="13"/>
      <c r="DR115" s="11"/>
      <c r="DS115" s="11"/>
      <c r="DT115" s="13"/>
      <c r="DU115" s="11"/>
      <c r="DV115" s="12"/>
      <c r="DW115" s="12"/>
      <c r="DX115" s="11"/>
      <c r="DY115" s="13"/>
      <c r="DZ115" s="11"/>
      <c r="EA115" s="11"/>
      <c r="EB115" s="13"/>
      <c r="EC115" s="11"/>
      <c r="ED115" s="12"/>
      <c r="EE115" s="12"/>
      <c r="EF115" s="11"/>
      <c r="EG115" s="13"/>
      <c r="EH115" s="11"/>
      <c r="EI115" s="11"/>
      <c r="EJ115" s="13"/>
      <c r="EK115" s="11"/>
      <c r="EL115" s="12"/>
      <c r="EM115" s="12"/>
      <c r="EN115" s="11"/>
      <c r="EO115" s="13"/>
      <c r="EP115" s="11"/>
      <c r="EQ115" s="11"/>
      <c r="ER115" s="13"/>
      <c r="ES115" s="11"/>
      <c r="ET115" s="12"/>
      <c r="EU115" s="12"/>
      <c r="EV115" s="11"/>
      <c r="EW115" s="13"/>
      <c r="EX115" s="11"/>
      <c r="EY115" s="11"/>
      <c r="EZ115" s="13"/>
      <c r="FA115" s="11"/>
      <c r="FB115" s="12"/>
      <c r="FC115" s="12"/>
      <c r="FD115" s="11"/>
      <c r="FE115" s="13"/>
      <c r="FF115" s="11"/>
      <c r="FG115" s="11"/>
      <c r="FH115" s="13"/>
      <c r="FI115" s="11"/>
      <c r="FJ115" s="12"/>
      <c r="FK115" s="12"/>
      <c r="FL115" s="11"/>
      <c r="FM115" s="13"/>
      <c r="FN115" s="11"/>
      <c r="FO115" s="11"/>
      <c r="FP115" s="13"/>
      <c r="FQ115" s="11"/>
      <c r="FR115" s="12"/>
      <c r="FS115" s="12"/>
      <c r="FT115" s="11"/>
      <c r="FU115" s="13"/>
      <c r="FV115" s="11"/>
      <c r="FW115" s="11"/>
      <c r="FX115" s="13"/>
      <c r="FY115" s="11"/>
      <c r="FZ115" s="12"/>
      <c r="GA115" s="12"/>
      <c r="GB115" s="11"/>
      <c r="GC115" s="13"/>
      <c r="GD115" s="11"/>
      <c r="GE115" s="11"/>
      <c r="GF115" s="13"/>
      <c r="GG115" s="11"/>
      <c r="GH115" s="12"/>
      <c r="GI115" s="12"/>
      <c r="GJ115" s="11"/>
      <c r="GK115" s="13"/>
      <c r="GL115" s="11"/>
      <c r="GM115" s="11"/>
      <c r="GN115" s="13"/>
      <c r="GO115" s="11"/>
      <c r="GP115" s="12"/>
      <c r="GQ115" s="12"/>
      <c r="GR115" s="11"/>
      <c r="GS115" s="13"/>
      <c r="GT115" s="11"/>
      <c r="GU115" s="11"/>
      <c r="GV115" s="13"/>
      <c r="GW115" s="11"/>
      <c r="GX115" s="12"/>
      <c r="GY115" s="12"/>
      <c r="GZ115" s="11"/>
      <c r="HA115" s="13"/>
      <c r="HB115" s="11"/>
      <c r="HC115" s="11"/>
      <c r="HD115" s="13"/>
      <c r="HE115" s="11"/>
      <c r="HF115" s="12"/>
      <c r="HG115" s="12"/>
      <c r="HH115" s="11"/>
      <c r="HI115" s="13"/>
      <c r="HJ115" s="11"/>
      <c r="HK115" s="11"/>
      <c r="HL115" s="13"/>
      <c r="HM115" s="11"/>
      <c r="HN115" s="12"/>
      <c r="HO115" s="12"/>
      <c r="HP115" s="11"/>
      <c r="HQ115" s="13"/>
      <c r="HR115" s="11"/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/>
      <c r="IG115" s="13"/>
      <c r="IH115" s="11"/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/>
      <c r="JO115" s="11"/>
      <c r="JP115" s="13"/>
      <c r="JQ115" s="11"/>
      <c r="JR115" s="12"/>
      <c r="JS115" s="12"/>
      <c r="JT115" s="11"/>
      <c r="JU115" s="13"/>
      <c r="JV115" s="11"/>
      <c r="JW115" s="11"/>
      <c r="JX115" s="13"/>
      <c r="JY115" s="11"/>
      <c r="JZ115" s="12"/>
      <c r="KA115" s="12"/>
      <c r="KB115" s="11"/>
      <c r="KC115" s="13"/>
      <c r="KD115" s="11"/>
      <c r="KE115" s="11"/>
      <c r="KF115" s="13"/>
      <c r="KG115" s="11"/>
      <c r="KH115" s="12"/>
      <c r="KI115" s="12"/>
      <c r="KJ115" s="11"/>
      <c r="KK115" s="13"/>
      <c r="KL115" s="11"/>
      <c r="KM115" s="11"/>
      <c r="KN115" s="13"/>
      <c r="KO115" s="11"/>
      <c r="KP115" s="12"/>
      <c r="KQ115" s="12"/>
      <c r="KR115" s="11"/>
      <c r="KS115" s="13"/>
      <c r="KT115" s="11"/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  <c r="LH115" s="11"/>
      <c r="LI115" s="13"/>
      <c r="LJ115" s="11"/>
      <c r="LK115" s="11"/>
      <c r="LL115" s="13"/>
      <c r="LM115" s="11"/>
      <c r="LN115" s="12"/>
      <c r="LO115" s="12"/>
      <c r="LP115" s="11"/>
      <c r="LQ115" s="13"/>
      <c r="LR115" s="11"/>
      <c r="LS115" s="11"/>
      <c r="LT115" s="13"/>
      <c r="LU115" s="11"/>
      <c r="LV115" s="12"/>
      <c r="LW115" s="12"/>
    </row>
    <row r="116">
      <c r="A116" s="10" t="s">
        <v>139</v>
      </c>
      <c r="B116" s="10" t="s">
        <v>144</v>
      </c>
      <c r="C116" s="10" t="s">
        <v>77</v>
      </c>
      <c r="D116" s="11">
        <v>88</v>
      </c>
      <c r="E116" s="11">
        <f>=ROUNDDOWN({0},0)</f>
      </c>
      <c r="F116" s="11"/>
      <c r="G116" s="12"/>
      <c r="H116" s="11"/>
      <c r="I116" s="11">
        <f>=ROUNDDOWN({0},0)</f>
      </c>
      <c r="J116" s="11"/>
      <c r="K116" s="12"/>
      <c r="L116" s="11">
        <v>68</v>
      </c>
      <c r="M116" s="13">
        <v>1350.3</v>
      </c>
      <c r="N116" s="11">
        <v>52</v>
      </c>
      <c r="O116" s="14">
        <v>25.97</v>
      </c>
      <c r="P116" s="11"/>
      <c r="Q116" s="13"/>
      <c r="R116" s="11"/>
      <c r="S116" s="14"/>
      <c r="T116" s="12"/>
      <c r="U116" s="12"/>
      <c r="V116" s="12"/>
      <c r="W116" s="12"/>
      <c r="X116" s="11"/>
      <c r="Y116" s="13"/>
      <c r="Z116" s="11"/>
      <c r="AA116" s="11"/>
      <c r="AB116" s="13"/>
      <c r="AC116" s="11"/>
      <c r="AD116" s="12"/>
      <c r="AE116" s="12"/>
      <c r="AF116" s="11"/>
      <c r="AG116" s="13"/>
      <c r="AH116" s="11"/>
      <c r="AI116" s="11"/>
      <c r="AJ116" s="13"/>
      <c r="AK116" s="11"/>
      <c r="AL116" s="12"/>
      <c r="AM116" s="12"/>
      <c r="AN116" s="11"/>
      <c r="AO116" s="13"/>
      <c r="AP116" s="11"/>
      <c r="AQ116" s="11"/>
      <c r="AR116" s="13"/>
      <c r="AS116" s="11"/>
      <c r="AT116" s="12"/>
      <c r="AU116" s="12"/>
      <c r="AV116" s="11"/>
      <c r="AW116" s="13"/>
      <c r="AX116" s="11"/>
      <c r="AY116" s="11"/>
      <c r="AZ116" s="13"/>
      <c r="BA116" s="11"/>
      <c r="BB116" s="12"/>
      <c r="BC116" s="12"/>
      <c r="BD116" s="11">
        <v>68</v>
      </c>
      <c r="BE116" s="13">
        <v>1350.3</v>
      </c>
      <c r="BF116" s="11">
        <v>52</v>
      </c>
      <c r="BG116" s="11"/>
      <c r="BH116" s="13"/>
      <c r="BI116" s="11"/>
      <c r="BJ116" s="12"/>
      <c r="BK116" s="12"/>
      <c r="BL116" s="11"/>
      <c r="BM116" s="13"/>
      <c r="BN116" s="11"/>
      <c r="BO116" s="11"/>
      <c r="BP116" s="13"/>
      <c r="BQ116" s="11"/>
      <c r="BR116" s="12"/>
      <c r="BS116" s="12"/>
      <c r="BT116" s="11"/>
      <c r="BU116" s="13"/>
      <c r="BV116" s="11"/>
      <c r="BW116" s="11"/>
      <c r="BX116" s="13"/>
      <c r="BY116" s="11"/>
      <c r="BZ116" s="12"/>
      <c r="CA116" s="12"/>
      <c r="CB116" s="11"/>
      <c r="CC116" s="13"/>
      <c r="CD116" s="11"/>
      <c r="CE116" s="11"/>
      <c r="CF116" s="13"/>
      <c r="CG116" s="11"/>
      <c r="CH116" s="12"/>
      <c r="CI116" s="12"/>
      <c r="CJ116" s="11"/>
      <c r="CK116" s="13"/>
      <c r="CL116" s="11"/>
      <c r="CM116" s="11"/>
      <c r="CN116" s="13"/>
      <c r="CO116" s="11"/>
      <c r="CP116" s="12"/>
      <c r="CQ116" s="12"/>
      <c r="CR116" s="11"/>
      <c r="CS116" s="13"/>
      <c r="CT116" s="11"/>
      <c r="CU116" s="11"/>
      <c r="CV116" s="13"/>
      <c r="CW116" s="11"/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/>
      <c r="DK116" s="11"/>
      <c r="DL116" s="13"/>
      <c r="DM116" s="11"/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/>
      <c r="DY116" s="13"/>
      <c r="DZ116" s="11"/>
      <c r="EA116" s="11"/>
      <c r="EB116" s="13"/>
      <c r="EC116" s="11"/>
      <c r="ED116" s="12"/>
      <c r="EE116" s="12"/>
      <c r="EF116" s="11"/>
      <c r="EG116" s="13"/>
      <c r="EH116" s="11"/>
      <c r="EI116" s="11"/>
      <c r="EJ116" s="13"/>
      <c r="EK116" s="11"/>
      <c r="EL116" s="12"/>
      <c r="EM116" s="12"/>
      <c r="EN116" s="11"/>
      <c r="EO116" s="13"/>
      <c r="EP116" s="11"/>
      <c r="EQ116" s="11"/>
      <c r="ER116" s="13"/>
      <c r="ES116" s="11"/>
      <c r="ET116" s="12"/>
      <c r="EU116" s="12"/>
      <c r="EV116" s="11"/>
      <c r="EW116" s="13"/>
      <c r="EX116" s="11"/>
      <c r="EY116" s="11"/>
      <c r="EZ116" s="13"/>
      <c r="FA116" s="11"/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/>
      <c r="FM116" s="13"/>
      <c r="FN116" s="11"/>
      <c r="FO116" s="11"/>
      <c r="FP116" s="13"/>
      <c r="FQ116" s="11"/>
      <c r="FR116" s="12"/>
      <c r="FS116" s="12"/>
      <c r="FT116" s="11"/>
      <c r="FU116" s="13"/>
      <c r="FV116" s="11"/>
      <c r="FW116" s="11"/>
      <c r="FX116" s="13"/>
      <c r="FY116" s="11"/>
      <c r="FZ116" s="12"/>
      <c r="GA116" s="12"/>
      <c r="GB116" s="11"/>
      <c r="GC116" s="13"/>
      <c r="GD116" s="11"/>
      <c r="GE116" s="11"/>
      <c r="GF116" s="13"/>
      <c r="GG116" s="11"/>
      <c r="GH116" s="12"/>
      <c r="GI116" s="12"/>
      <c r="GJ116" s="11"/>
      <c r="GK116" s="13"/>
      <c r="GL116" s="11"/>
      <c r="GM116" s="11"/>
      <c r="GN116" s="13"/>
      <c r="GO116" s="11"/>
      <c r="GP116" s="12"/>
      <c r="GQ116" s="12"/>
      <c r="GR116" s="11"/>
      <c r="GS116" s="13"/>
      <c r="GT116" s="11"/>
      <c r="GU116" s="11"/>
      <c r="GV116" s="13"/>
      <c r="GW116" s="11"/>
      <c r="GX116" s="12"/>
      <c r="GY116" s="12"/>
      <c r="GZ116" s="11"/>
      <c r="HA116" s="13"/>
      <c r="HB116" s="11"/>
      <c r="HC116" s="11"/>
      <c r="HD116" s="13"/>
      <c r="HE116" s="11"/>
      <c r="HF116" s="12"/>
      <c r="HG116" s="12"/>
      <c r="HH116" s="11"/>
      <c r="HI116" s="13"/>
      <c r="HJ116" s="11"/>
      <c r="HK116" s="11"/>
      <c r="HL116" s="13"/>
      <c r="HM116" s="11"/>
      <c r="HN116" s="12"/>
      <c r="HO116" s="12"/>
      <c r="HP116" s="11"/>
      <c r="HQ116" s="13"/>
      <c r="HR116" s="11"/>
      <c r="HS116" s="11"/>
      <c r="HT116" s="13"/>
      <c r="HU116" s="11"/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/>
      <c r="JP116" s="13"/>
      <c r="JQ116" s="11"/>
      <c r="JR116" s="12"/>
      <c r="JS116" s="12"/>
      <c r="JT116" s="11"/>
      <c r="JU116" s="13"/>
      <c r="JV116" s="11"/>
      <c r="JW116" s="11"/>
      <c r="JX116" s="13"/>
      <c r="JY116" s="11"/>
      <c r="JZ116" s="12"/>
      <c r="KA116" s="12"/>
      <c r="KB116" s="11"/>
      <c r="KC116" s="13"/>
      <c r="KD116" s="11"/>
      <c r="KE116" s="11"/>
      <c r="KF116" s="13"/>
      <c r="KG116" s="11"/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  <c r="LH116" s="11"/>
      <c r="LI116" s="13"/>
      <c r="LJ116" s="11"/>
      <c r="LK116" s="11"/>
      <c r="LL116" s="13"/>
      <c r="LM116" s="11"/>
      <c r="LN116" s="12"/>
      <c r="LO116" s="12"/>
      <c r="LP116" s="11"/>
      <c r="LQ116" s="13"/>
      <c r="LR116" s="11"/>
      <c r="LS116" s="11"/>
      <c r="LT116" s="13"/>
      <c r="LU116" s="11"/>
      <c r="LV116" s="12"/>
      <c r="LW116" s="12"/>
    </row>
    <row r="117">
      <c r="A117" s="10" t="s">
        <v>139</v>
      </c>
      <c r="B117" s="10" t="s">
        <v>145</v>
      </c>
      <c r="C117" s="10" t="s">
        <v>140</v>
      </c>
      <c r="D117" s="11"/>
      <c r="E117" s="11">
        <f>=ROUNDDOWN({0},0)</f>
      </c>
      <c r="F117" s="11"/>
      <c r="G117" s="12"/>
      <c r="H117" s="11"/>
      <c r="I117" s="11">
        <f>=ROUNDDOWN({0},0)</f>
      </c>
      <c r="J117" s="11"/>
      <c r="K117" s="12"/>
      <c r="L117" s="11">
        <v>8</v>
      </c>
      <c r="M117" s="13">
        <v>77.28</v>
      </c>
      <c r="N117" s="11"/>
      <c r="O117" s="14"/>
      <c r="P117" s="11"/>
      <c r="Q117" s="13"/>
      <c r="R117" s="11"/>
      <c r="S117" s="14"/>
      <c r="T117" s="12"/>
      <c r="U117" s="12"/>
      <c r="V117" s="12"/>
      <c r="W117" s="12"/>
      <c r="X117" s="11"/>
      <c r="Y117" s="13"/>
      <c r="Z117" s="11"/>
      <c r="AA117" s="11"/>
      <c r="AB117" s="13"/>
      <c r="AC117" s="11"/>
      <c r="AD117" s="12"/>
      <c r="AE117" s="12"/>
      <c r="AF117" s="11"/>
      <c r="AG117" s="13"/>
      <c r="AH117" s="11"/>
      <c r="AI117" s="11"/>
      <c r="AJ117" s="13"/>
      <c r="AK117" s="11"/>
      <c r="AL117" s="12"/>
      <c r="AM117" s="12"/>
      <c r="AN117" s="11"/>
      <c r="AO117" s="13"/>
      <c r="AP117" s="11"/>
      <c r="AQ117" s="11"/>
      <c r="AR117" s="13"/>
      <c r="AS117" s="11"/>
      <c r="AT117" s="12"/>
      <c r="AU117" s="12"/>
      <c r="AV117" s="11"/>
      <c r="AW117" s="13"/>
      <c r="AX117" s="11"/>
      <c r="AY117" s="11"/>
      <c r="AZ117" s="13"/>
      <c r="BA117" s="11"/>
      <c r="BB117" s="12"/>
      <c r="BC117" s="12"/>
      <c r="BD117" s="11">
        <v>8</v>
      </c>
      <c r="BE117" s="13">
        <v>77.28</v>
      </c>
      <c r="BF117" s="11"/>
      <c r="BG117" s="11"/>
      <c r="BH117" s="13"/>
      <c r="BI117" s="11"/>
      <c r="BJ117" s="12"/>
      <c r="BK117" s="12"/>
      <c r="BL117" s="11"/>
      <c r="BM117" s="13"/>
      <c r="BN117" s="11"/>
      <c r="BO117" s="11"/>
      <c r="BP117" s="13"/>
      <c r="BQ117" s="11"/>
      <c r="BR117" s="12"/>
      <c r="BS117" s="12"/>
      <c r="BT117" s="11"/>
      <c r="BU117" s="13"/>
      <c r="BV117" s="11"/>
      <c r="BW117" s="11"/>
      <c r="BX117" s="13"/>
      <c r="BY117" s="11"/>
      <c r="BZ117" s="12"/>
      <c r="CA117" s="12"/>
      <c r="CB117" s="11"/>
      <c r="CC117" s="13"/>
      <c r="CD117" s="11"/>
      <c r="CE117" s="11"/>
      <c r="CF117" s="13"/>
      <c r="CG117" s="11"/>
      <c r="CH117" s="12"/>
      <c r="CI117" s="12"/>
      <c r="CJ117" s="11"/>
      <c r="CK117" s="13"/>
      <c r="CL117" s="11"/>
      <c r="CM117" s="11"/>
      <c r="CN117" s="13"/>
      <c r="CO117" s="11"/>
      <c r="CP117" s="12"/>
      <c r="CQ117" s="12"/>
      <c r="CR117" s="11"/>
      <c r="CS117" s="13"/>
      <c r="CT117" s="11"/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/>
      <c r="DK117" s="11"/>
      <c r="DL117" s="13"/>
      <c r="DM117" s="11"/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/>
      <c r="DY117" s="13"/>
      <c r="DZ117" s="11"/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/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/>
      <c r="FO117" s="11"/>
      <c r="FP117" s="13"/>
      <c r="FQ117" s="11"/>
      <c r="FR117" s="12"/>
      <c r="FS117" s="12"/>
      <c r="FT117" s="11"/>
      <c r="FU117" s="13"/>
      <c r="FV117" s="11"/>
      <c r="FW117" s="11"/>
      <c r="FX117" s="13"/>
      <c r="FY117" s="11"/>
      <c r="FZ117" s="12"/>
      <c r="GA117" s="12"/>
      <c r="GB117" s="11"/>
      <c r="GC117" s="13"/>
      <c r="GD117" s="11"/>
      <c r="GE117" s="11"/>
      <c r="GF117" s="13"/>
      <c r="GG117" s="11"/>
      <c r="GH117" s="12"/>
      <c r="GI117" s="12"/>
      <c r="GJ117" s="11"/>
      <c r="GK117" s="13"/>
      <c r="GL117" s="11"/>
      <c r="GM117" s="11"/>
      <c r="GN117" s="13"/>
      <c r="GO117" s="11"/>
      <c r="GP117" s="12"/>
      <c r="GQ117" s="12"/>
      <c r="GR117" s="11"/>
      <c r="GS117" s="13"/>
      <c r="GT117" s="11"/>
      <c r="GU117" s="11"/>
      <c r="GV117" s="13"/>
      <c r="GW117" s="11"/>
      <c r="GX117" s="12"/>
      <c r="GY117" s="12"/>
      <c r="GZ117" s="11"/>
      <c r="HA117" s="13"/>
      <c r="HB117" s="11"/>
      <c r="HC117" s="11"/>
      <c r="HD117" s="13"/>
      <c r="HE117" s="11"/>
      <c r="HF117" s="12"/>
      <c r="HG117" s="12"/>
      <c r="HH117" s="11"/>
      <c r="HI117" s="13"/>
      <c r="HJ117" s="11"/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/>
      <c r="JR117" s="12"/>
      <c r="JS117" s="12"/>
      <c r="JT117" s="11"/>
      <c r="JU117" s="13"/>
      <c r="JV117" s="11"/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  <c r="LH117" s="11"/>
      <c r="LI117" s="13"/>
      <c r="LJ117" s="11"/>
      <c r="LK117" s="11"/>
      <c r="LL117" s="13"/>
      <c r="LM117" s="11"/>
      <c r="LN117" s="12"/>
      <c r="LO117" s="12"/>
      <c r="LP117" s="11"/>
      <c r="LQ117" s="13"/>
      <c r="LR117" s="11"/>
      <c r="LS117" s="11"/>
      <c r="LT117" s="13"/>
      <c r="LU117" s="11"/>
      <c r="LV117" s="12"/>
      <c r="LW117" s="12"/>
    </row>
    <row r="118">
      <c r="A118" s="10" t="s">
        <v>139</v>
      </c>
      <c r="B118" s="10" t="s">
        <v>145</v>
      </c>
      <c r="C118" s="10" t="s">
        <v>141</v>
      </c>
      <c r="D118" s="11"/>
      <c r="E118" s="11">
        <f>=ROUNDDOWN({0},0)</f>
      </c>
      <c r="F118" s="11"/>
      <c r="G118" s="12"/>
      <c r="H118" s="11"/>
      <c r="I118" s="11">
        <f>=ROUNDDOWN({0},0)</f>
      </c>
      <c r="J118" s="11"/>
      <c r="K118" s="12"/>
      <c r="L118" s="11">
        <v>44</v>
      </c>
      <c r="M118" s="13">
        <v>457.46</v>
      </c>
      <c r="N118" s="11"/>
      <c r="O118" s="14"/>
      <c r="P118" s="11"/>
      <c r="Q118" s="13"/>
      <c r="R118" s="11"/>
      <c r="S118" s="14"/>
      <c r="T118" s="12"/>
      <c r="U118" s="12"/>
      <c r="V118" s="12"/>
      <c r="W118" s="12"/>
      <c r="X118" s="11"/>
      <c r="Y118" s="13"/>
      <c r="Z118" s="11"/>
      <c r="AA118" s="11"/>
      <c r="AB118" s="13"/>
      <c r="AC118" s="11"/>
      <c r="AD118" s="12"/>
      <c r="AE118" s="12"/>
      <c r="AF118" s="11"/>
      <c r="AG118" s="13"/>
      <c r="AH118" s="11"/>
      <c r="AI118" s="11"/>
      <c r="AJ118" s="13"/>
      <c r="AK118" s="11"/>
      <c r="AL118" s="12"/>
      <c r="AM118" s="12"/>
      <c r="AN118" s="11"/>
      <c r="AO118" s="13"/>
      <c r="AP118" s="11"/>
      <c r="AQ118" s="11"/>
      <c r="AR118" s="13"/>
      <c r="AS118" s="11"/>
      <c r="AT118" s="12"/>
      <c r="AU118" s="12"/>
      <c r="AV118" s="11"/>
      <c r="AW118" s="13"/>
      <c r="AX118" s="11"/>
      <c r="AY118" s="11"/>
      <c r="AZ118" s="13"/>
      <c r="BA118" s="11"/>
      <c r="BB118" s="12"/>
      <c r="BC118" s="12"/>
      <c r="BD118" s="11">
        <v>44</v>
      </c>
      <c r="BE118" s="13">
        <v>457.46</v>
      </c>
      <c r="BF118" s="11"/>
      <c r="BG118" s="11"/>
      <c r="BH118" s="13"/>
      <c r="BI118" s="11"/>
      <c r="BJ118" s="12"/>
      <c r="BK118" s="12"/>
      <c r="BL118" s="11"/>
      <c r="BM118" s="13"/>
      <c r="BN118" s="11"/>
      <c r="BO118" s="11"/>
      <c r="BP118" s="13"/>
      <c r="BQ118" s="11"/>
      <c r="BR118" s="12"/>
      <c r="BS118" s="12"/>
      <c r="BT118" s="11"/>
      <c r="BU118" s="13"/>
      <c r="BV118" s="11"/>
      <c r="BW118" s="11"/>
      <c r="BX118" s="13"/>
      <c r="BY118" s="11"/>
      <c r="BZ118" s="12"/>
      <c r="CA118" s="12"/>
      <c r="CB118" s="11"/>
      <c r="CC118" s="13"/>
      <c r="CD118" s="11"/>
      <c r="CE118" s="11"/>
      <c r="CF118" s="13"/>
      <c r="CG118" s="11"/>
      <c r="CH118" s="12"/>
      <c r="CI118" s="12"/>
      <c r="CJ118" s="11"/>
      <c r="CK118" s="13"/>
      <c r="CL118" s="11"/>
      <c r="CM118" s="11"/>
      <c r="CN118" s="13"/>
      <c r="CO118" s="11"/>
      <c r="CP118" s="12"/>
      <c r="CQ118" s="12"/>
      <c r="CR118" s="11"/>
      <c r="CS118" s="13"/>
      <c r="CT118" s="11"/>
      <c r="CU118" s="11"/>
      <c r="CV118" s="13"/>
      <c r="CW118" s="11"/>
      <c r="CX118" s="12"/>
      <c r="CY118" s="12"/>
      <c r="CZ118" s="11"/>
      <c r="DA118" s="13"/>
      <c r="DB118" s="11"/>
      <c r="DC118" s="11"/>
      <c r="DD118" s="13"/>
      <c r="DE118" s="11"/>
      <c r="DF118" s="12"/>
      <c r="DG118" s="12"/>
      <c r="DH118" s="11"/>
      <c r="DI118" s="13"/>
      <c r="DJ118" s="11"/>
      <c r="DK118" s="11"/>
      <c r="DL118" s="13"/>
      <c r="DM118" s="11"/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/>
      <c r="DY118" s="13"/>
      <c r="DZ118" s="11"/>
      <c r="EA118" s="11"/>
      <c r="EB118" s="13"/>
      <c r="EC118" s="11"/>
      <c r="ED118" s="12"/>
      <c r="EE118" s="12"/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/>
      <c r="EQ118" s="11"/>
      <c r="ER118" s="13"/>
      <c r="ES118" s="11"/>
      <c r="ET118" s="12"/>
      <c r="EU118" s="12"/>
      <c r="EV118" s="11"/>
      <c r="EW118" s="13"/>
      <c r="EX118" s="11"/>
      <c r="EY118" s="11"/>
      <c r="EZ118" s="13"/>
      <c r="FA118" s="11"/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/>
      <c r="FM118" s="13"/>
      <c r="FN118" s="11"/>
      <c r="FO118" s="11"/>
      <c r="FP118" s="13"/>
      <c r="FQ118" s="11"/>
      <c r="FR118" s="12"/>
      <c r="FS118" s="12"/>
      <c r="FT118" s="11"/>
      <c r="FU118" s="13"/>
      <c r="FV118" s="11"/>
      <c r="FW118" s="11"/>
      <c r="FX118" s="13"/>
      <c r="FY118" s="11"/>
      <c r="FZ118" s="12"/>
      <c r="GA118" s="12"/>
      <c r="GB118" s="11"/>
      <c r="GC118" s="13"/>
      <c r="GD118" s="11"/>
      <c r="GE118" s="11"/>
      <c r="GF118" s="13"/>
      <c r="GG118" s="11"/>
      <c r="GH118" s="12"/>
      <c r="GI118" s="12"/>
      <c r="GJ118" s="11"/>
      <c r="GK118" s="13"/>
      <c r="GL118" s="11"/>
      <c r="GM118" s="11"/>
      <c r="GN118" s="13"/>
      <c r="GO118" s="11"/>
      <c r="GP118" s="12"/>
      <c r="GQ118" s="12"/>
      <c r="GR118" s="11"/>
      <c r="GS118" s="13"/>
      <c r="GT118" s="11"/>
      <c r="GU118" s="11"/>
      <c r="GV118" s="13"/>
      <c r="GW118" s="11"/>
      <c r="GX118" s="12"/>
      <c r="GY118" s="12"/>
      <c r="GZ118" s="11"/>
      <c r="HA118" s="13"/>
      <c r="HB118" s="11"/>
      <c r="HC118" s="11"/>
      <c r="HD118" s="13"/>
      <c r="HE118" s="11"/>
      <c r="HF118" s="12"/>
      <c r="HG118" s="12"/>
      <c r="HH118" s="11"/>
      <c r="HI118" s="13"/>
      <c r="HJ118" s="11"/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/>
      <c r="JP118" s="13"/>
      <c r="JQ118" s="11"/>
      <c r="JR118" s="12"/>
      <c r="JS118" s="12"/>
      <c r="JT118" s="11"/>
      <c r="JU118" s="13"/>
      <c r="JV118" s="11"/>
      <c r="JW118" s="11"/>
      <c r="JX118" s="13"/>
      <c r="JY118" s="11"/>
      <c r="JZ118" s="12"/>
      <c r="KA118" s="12"/>
      <c r="KB118" s="11"/>
      <c r="KC118" s="13"/>
      <c r="KD118" s="11"/>
      <c r="KE118" s="11"/>
      <c r="KF118" s="13"/>
      <c r="KG118" s="11"/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  <c r="LH118" s="11"/>
      <c r="LI118" s="13"/>
      <c r="LJ118" s="11"/>
      <c r="LK118" s="11"/>
      <c r="LL118" s="13"/>
      <c r="LM118" s="11"/>
      <c r="LN118" s="12"/>
      <c r="LO118" s="12"/>
      <c r="LP118" s="11"/>
      <c r="LQ118" s="13"/>
      <c r="LR118" s="11"/>
      <c r="LS118" s="11"/>
      <c r="LT118" s="13"/>
      <c r="LU118" s="11"/>
      <c r="LV118" s="12"/>
      <c r="LW118" s="12"/>
    </row>
    <row r="119">
      <c r="A119" s="10" t="s">
        <v>139</v>
      </c>
      <c r="B119" s="10" t="s">
        <v>145</v>
      </c>
      <c r="C119" s="10" t="s">
        <v>142</v>
      </c>
      <c r="D119" s="11"/>
      <c r="E119" s="11">
        <f>=ROUNDDOWN({0},0)</f>
      </c>
      <c r="F119" s="11"/>
      <c r="G119" s="12"/>
      <c r="H119" s="11"/>
      <c r="I119" s="11">
        <f>=ROUNDDOWN({0},0)</f>
      </c>
      <c r="J119" s="11"/>
      <c r="K119" s="12"/>
      <c r="L119" s="11">
        <v>3</v>
      </c>
      <c r="M119" s="13">
        <v>39.3</v>
      </c>
      <c r="N119" s="11"/>
      <c r="O119" s="14"/>
      <c r="P119" s="11"/>
      <c r="Q119" s="13"/>
      <c r="R119" s="11"/>
      <c r="S119" s="14"/>
      <c r="T119" s="12"/>
      <c r="U119" s="12"/>
      <c r="V119" s="12"/>
      <c r="W119" s="12"/>
      <c r="X119" s="11"/>
      <c r="Y119" s="13"/>
      <c r="Z119" s="11"/>
      <c r="AA119" s="11"/>
      <c r="AB119" s="13"/>
      <c r="AC119" s="11"/>
      <c r="AD119" s="12"/>
      <c r="AE119" s="12"/>
      <c r="AF119" s="11"/>
      <c r="AG119" s="13"/>
      <c r="AH119" s="11"/>
      <c r="AI119" s="11"/>
      <c r="AJ119" s="13"/>
      <c r="AK119" s="11"/>
      <c r="AL119" s="12"/>
      <c r="AM119" s="12"/>
      <c r="AN119" s="11"/>
      <c r="AO119" s="13"/>
      <c r="AP119" s="11"/>
      <c r="AQ119" s="11"/>
      <c r="AR119" s="13"/>
      <c r="AS119" s="11"/>
      <c r="AT119" s="12"/>
      <c r="AU119" s="12"/>
      <c r="AV119" s="11"/>
      <c r="AW119" s="13"/>
      <c r="AX119" s="11"/>
      <c r="AY119" s="11"/>
      <c r="AZ119" s="13"/>
      <c r="BA119" s="11"/>
      <c r="BB119" s="12"/>
      <c r="BC119" s="12"/>
      <c r="BD119" s="11">
        <v>3</v>
      </c>
      <c r="BE119" s="13">
        <v>39.3</v>
      </c>
      <c r="BF119" s="11"/>
      <c r="BG119" s="11"/>
      <c r="BH119" s="13"/>
      <c r="BI119" s="11"/>
      <c r="BJ119" s="12"/>
      <c r="BK119" s="12"/>
      <c r="BL119" s="11"/>
      <c r="BM119" s="13"/>
      <c r="BN119" s="11"/>
      <c r="BO119" s="11"/>
      <c r="BP119" s="13"/>
      <c r="BQ119" s="11"/>
      <c r="BR119" s="12"/>
      <c r="BS119" s="12"/>
      <c r="BT119" s="11"/>
      <c r="BU119" s="13"/>
      <c r="BV119" s="11"/>
      <c r="BW119" s="11"/>
      <c r="BX119" s="13"/>
      <c r="BY119" s="11"/>
      <c r="BZ119" s="12"/>
      <c r="CA119" s="12"/>
      <c r="CB119" s="11"/>
      <c r="CC119" s="13"/>
      <c r="CD119" s="11"/>
      <c r="CE119" s="11"/>
      <c r="CF119" s="13"/>
      <c r="CG119" s="11"/>
      <c r="CH119" s="12"/>
      <c r="CI119" s="12"/>
      <c r="CJ119" s="11"/>
      <c r="CK119" s="13"/>
      <c r="CL119" s="11"/>
      <c r="CM119" s="11"/>
      <c r="CN119" s="13"/>
      <c r="CO119" s="11"/>
      <c r="CP119" s="12"/>
      <c r="CQ119" s="12"/>
      <c r="CR119" s="11"/>
      <c r="CS119" s="13"/>
      <c r="CT119" s="11"/>
      <c r="CU119" s="11"/>
      <c r="CV119" s="13"/>
      <c r="CW119" s="11"/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/>
      <c r="DK119" s="11"/>
      <c r="DL119" s="13"/>
      <c r="DM119" s="11"/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/>
      <c r="EA119" s="11"/>
      <c r="EB119" s="13"/>
      <c r="EC119" s="11"/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/>
      <c r="EO119" s="13"/>
      <c r="EP119" s="11"/>
      <c r="EQ119" s="11"/>
      <c r="ER119" s="13"/>
      <c r="ES119" s="11"/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/>
      <c r="FO119" s="11"/>
      <c r="FP119" s="13"/>
      <c r="FQ119" s="11"/>
      <c r="FR119" s="12"/>
      <c r="FS119" s="12"/>
      <c r="FT119" s="11"/>
      <c r="FU119" s="13"/>
      <c r="FV119" s="11"/>
      <c r="FW119" s="11"/>
      <c r="FX119" s="13"/>
      <c r="FY119" s="11"/>
      <c r="FZ119" s="12"/>
      <c r="GA119" s="12"/>
      <c r="GB119" s="11"/>
      <c r="GC119" s="13"/>
      <c r="GD119" s="11"/>
      <c r="GE119" s="11"/>
      <c r="GF119" s="13"/>
      <c r="GG119" s="11"/>
      <c r="GH119" s="12"/>
      <c r="GI119" s="12"/>
      <c r="GJ119" s="11"/>
      <c r="GK119" s="13"/>
      <c r="GL119" s="11"/>
      <c r="GM119" s="11"/>
      <c r="GN119" s="13"/>
      <c r="GO119" s="11"/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/>
      <c r="HC119" s="11"/>
      <c r="HD119" s="13"/>
      <c r="HE119" s="11"/>
      <c r="HF119" s="12"/>
      <c r="HG119" s="12"/>
      <c r="HH119" s="11"/>
      <c r="HI119" s="13"/>
      <c r="HJ119" s="11"/>
      <c r="HK119" s="11"/>
      <c r="HL119" s="13"/>
      <c r="HM119" s="11"/>
      <c r="HN119" s="12"/>
      <c r="HO119" s="12"/>
      <c r="HP119" s="11"/>
      <c r="HQ119" s="13"/>
      <c r="HR119" s="11"/>
      <c r="HS119" s="11"/>
      <c r="HT119" s="13"/>
      <c r="HU119" s="11"/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/>
      <c r="JR119" s="12"/>
      <c r="JS119" s="12"/>
      <c r="JT119" s="11"/>
      <c r="JU119" s="13"/>
      <c r="JV119" s="11"/>
      <c r="JW119" s="11"/>
      <c r="JX119" s="13"/>
      <c r="JY119" s="11"/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  <c r="LH119" s="11"/>
      <c r="LI119" s="13"/>
      <c r="LJ119" s="11"/>
      <c r="LK119" s="11"/>
      <c r="LL119" s="13"/>
      <c r="LM119" s="11"/>
      <c r="LN119" s="12"/>
      <c r="LO119" s="12"/>
      <c r="LP119" s="11"/>
      <c r="LQ119" s="13"/>
      <c r="LR119" s="11"/>
      <c r="LS119" s="11"/>
      <c r="LT119" s="13"/>
      <c r="LU119" s="11"/>
      <c r="LV119" s="12"/>
      <c r="LW119" s="12"/>
    </row>
    <row r="120">
      <c r="A120" s="10" t="s">
        <v>139</v>
      </c>
      <c r="B120" s="10" t="s">
        <v>146</v>
      </c>
      <c r="C120" s="10" t="s">
        <v>77</v>
      </c>
      <c r="D120" s="11"/>
      <c r="E120" s="11">
        <f>=ROUNDDOWN({0},0)</f>
      </c>
      <c r="F120" s="11"/>
      <c r="G120" s="12"/>
      <c r="H120" s="11"/>
      <c r="I120" s="11">
        <f>=ROUNDDOWN({0},0)</f>
      </c>
      <c r="J120" s="11"/>
      <c r="K120" s="12"/>
      <c r="L120" s="11">
        <v>55</v>
      </c>
      <c r="M120" s="13">
        <v>574.04</v>
      </c>
      <c r="N120" s="11"/>
      <c r="O120" s="14"/>
      <c r="P120" s="11"/>
      <c r="Q120" s="13"/>
      <c r="R120" s="11"/>
      <c r="S120" s="14"/>
      <c r="T120" s="12"/>
      <c r="U120" s="12"/>
      <c r="V120" s="12"/>
      <c r="W120" s="12"/>
      <c r="X120" s="11"/>
      <c r="Y120" s="13"/>
      <c r="Z120" s="11"/>
      <c r="AA120" s="11"/>
      <c r="AB120" s="13"/>
      <c r="AC120" s="11"/>
      <c r="AD120" s="12"/>
      <c r="AE120" s="12"/>
      <c r="AF120" s="11"/>
      <c r="AG120" s="13"/>
      <c r="AH120" s="11"/>
      <c r="AI120" s="11"/>
      <c r="AJ120" s="13"/>
      <c r="AK120" s="11"/>
      <c r="AL120" s="12"/>
      <c r="AM120" s="12"/>
      <c r="AN120" s="11"/>
      <c r="AO120" s="13"/>
      <c r="AP120" s="11"/>
      <c r="AQ120" s="11"/>
      <c r="AR120" s="13"/>
      <c r="AS120" s="11"/>
      <c r="AT120" s="12"/>
      <c r="AU120" s="12"/>
      <c r="AV120" s="11"/>
      <c r="AW120" s="13"/>
      <c r="AX120" s="11"/>
      <c r="AY120" s="11"/>
      <c r="AZ120" s="13"/>
      <c r="BA120" s="11"/>
      <c r="BB120" s="12"/>
      <c r="BC120" s="12"/>
      <c r="BD120" s="11">
        <v>55</v>
      </c>
      <c r="BE120" s="13">
        <v>574.04</v>
      </c>
      <c r="BF120" s="11"/>
      <c r="BG120" s="11"/>
      <c r="BH120" s="13"/>
      <c r="BI120" s="11"/>
      <c r="BJ120" s="12"/>
      <c r="BK120" s="12"/>
      <c r="BL120" s="11"/>
      <c r="BM120" s="13"/>
      <c r="BN120" s="11"/>
      <c r="BO120" s="11"/>
      <c r="BP120" s="13"/>
      <c r="BQ120" s="11"/>
      <c r="BR120" s="12"/>
      <c r="BS120" s="12"/>
      <c r="BT120" s="11"/>
      <c r="BU120" s="13"/>
      <c r="BV120" s="11"/>
      <c r="BW120" s="11"/>
      <c r="BX120" s="13"/>
      <c r="BY120" s="11"/>
      <c r="BZ120" s="12"/>
      <c r="CA120" s="12"/>
      <c r="CB120" s="11"/>
      <c r="CC120" s="13"/>
      <c r="CD120" s="11"/>
      <c r="CE120" s="11"/>
      <c r="CF120" s="13"/>
      <c r="CG120" s="11"/>
      <c r="CH120" s="12"/>
      <c r="CI120" s="12"/>
      <c r="CJ120" s="11"/>
      <c r="CK120" s="13"/>
      <c r="CL120" s="11"/>
      <c r="CM120" s="11"/>
      <c r="CN120" s="13"/>
      <c r="CO120" s="11"/>
      <c r="CP120" s="12"/>
      <c r="CQ120" s="12"/>
      <c r="CR120" s="11"/>
      <c r="CS120" s="13"/>
      <c r="CT120" s="11"/>
      <c r="CU120" s="11"/>
      <c r="CV120" s="13"/>
      <c r="CW120" s="11"/>
      <c r="CX120" s="12"/>
      <c r="CY120" s="12"/>
      <c r="CZ120" s="11"/>
      <c r="DA120" s="13"/>
      <c r="DB120" s="11"/>
      <c r="DC120" s="11"/>
      <c r="DD120" s="13"/>
      <c r="DE120" s="11"/>
      <c r="DF120" s="12"/>
      <c r="DG120" s="12"/>
      <c r="DH120" s="11"/>
      <c r="DI120" s="13"/>
      <c r="DJ120" s="11"/>
      <c r="DK120" s="11"/>
      <c r="DL120" s="13"/>
      <c r="DM120" s="11"/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/>
      <c r="DY120" s="13"/>
      <c r="DZ120" s="11"/>
      <c r="EA120" s="11"/>
      <c r="EB120" s="13"/>
      <c r="EC120" s="11"/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/>
      <c r="EQ120" s="11"/>
      <c r="ER120" s="13"/>
      <c r="ES120" s="11"/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/>
      <c r="FO120" s="11"/>
      <c r="FP120" s="13"/>
      <c r="FQ120" s="11"/>
      <c r="FR120" s="12"/>
      <c r="FS120" s="12"/>
      <c r="FT120" s="11"/>
      <c r="FU120" s="13"/>
      <c r="FV120" s="11"/>
      <c r="FW120" s="11"/>
      <c r="FX120" s="13"/>
      <c r="FY120" s="11"/>
      <c r="FZ120" s="12"/>
      <c r="GA120" s="12"/>
      <c r="GB120" s="11"/>
      <c r="GC120" s="13"/>
      <c r="GD120" s="11"/>
      <c r="GE120" s="11"/>
      <c r="GF120" s="13"/>
      <c r="GG120" s="11"/>
      <c r="GH120" s="12"/>
      <c r="GI120" s="12"/>
      <c r="GJ120" s="11"/>
      <c r="GK120" s="13"/>
      <c r="GL120" s="11"/>
      <c r="GM120" s="11"/>
      <c r="GN120" s="13"/>
      <c r="GO120" s="11"/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/>
      <c r="HS120" s="11"/>
      <c r="HT120" s="13"/>
      <c r="HU120" s="11"/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/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/>
      <c r="JR120" s="12"/>
      <c r="JS120" s="12"/>
      <c r="JT120" s="11"/>
      <c r="JU120" s="13"/>
      <c r="JV120" s="11"/>
      <c r="JW120" s="11"/>
      <c r="JX120" s="13"/>
      <c r="JY120" s="11"/>
      <c r="JZ120" s="12"/>
      <c r="KA120" s="12"/>
      <c r="KB120" s="11"/>
      <c r="KC120" s="13"/>
      <c r="KD120" s="11"/>
      <c r="KE120" s="11"/>
      <c r="KF120" s="13"/>
      <c r="KG120" s="11"/>
      <c r="KH120" s="12"/>
      <c r="KI120" s="12"/>
      <c r="KJ120" s="11"/>
      <c r="KK120" s="13"/>
      <c r="KL120" s="11"/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  <c r="LH120" s="11"/>
      <c r="LI120" s="13"/>
      <c r="LJ120" s="11"/>
      <c r="LK120" s="11"/>
      <c r="LL120" s="13"/>
      <c r="LM120" s="11"/>
      <c r="LN120" s="12"/>
      <c r="LO120" s="12"/>
      <c r="LP120" s="11"/>
      <c r="LQ120" s="13"/>
      <c r="LR120" s="11"/>
      <c r="LS120" s="11"/>
      <c r="LT120" s="13"/>
      <c r="LU120" s="11"/>
      <c r="LV120" s="12"/>
      <c r="LW120" s="12"/>
    </row>
    <row r="121">
      <c r="A121" s="10" t="s">
        <v>139</v>
      </c>
      <c r="B121" s="10" t="s">
        <v>107</v>
      </c>
      <c r="C121" s="10" t="s">
        <v>147</v>
      </c>
      <c r="D121" s="11">
        <v>3134</v>
      </c>
      <c r="E121" s="11">
        <f>=ROUNDDOWN(123.873517786561,0)</f>
      </c>
      <c r="F121" s="11"/>
      <c r="G121" s="12"/>
      <c r="H121" s="11"/>
      <c r="I121" s="11">
        <f>=ROUNDDOWN({0},0)</f>
      </c>
      <c r="J121" s="11"/>
      <c r="K121" s="12"/>
      <c r="L121" s="11">
        <v>198</v>
      </c>
      <c r="M121" s="13">
        <v>1777.4</v>
      </c>
      <c r="N121" s="11">
        <v>28</v>
      </c>
      <c r="O121" s="14">
        <v>63.48</v>
      </c>
      <c r="P121" s="11"/>
      <c r="Q121" s="13"/>
      <c r="R121" s="11"/>
      <c r="S121" s="14"/>
      <c r="T121" s="12"/>
      <c r="U121" s="12"/>
      <c r="V121" s="12"/>
      <c r="W121" s="12"/>
      <c r="X121" s="11">
        <v>5</v>
      </c>
      <c r="Y121" s="13">
        <v>52.4</v>
      </c>
      <c r="Z121" s="11">
        <v>28</v>
      </c>
      <c r="AA121" s="11"/>
      <c r="AB121" s="13"/>
      <c r="AC121" s="11"/>
      <c r="AD121" s="12"/>
      <c r="AE121" s="12"/>
      <c r="AF121" s="11"/>
      <c r="AG121" s="13"/>
      <c r="AH121" s="11"/>
      <c r="AI121" s="11"/>
      <c r="AJ121" s="13"/>
      <c r="AK121" s="11"/>
      <c r="AL121" s="12"/>
      <c r="AM121" s="12"/>
      <c r="AN121" s="11"/>
      <c r="AO121" s="13"/>
      <c r="AP121" s="11"/>
      <c r="AQ121" s="11"/>
      <c r="AR121" s="13"/>
      <c r="AS121" s="11"/>
      <c r="AT121" s="12"/>
      <c r="AU121" s="12"/>
      <c r="AV121" s="11"/>
      <c r="AW121" s="13"/>
      <c r="AX121" s="11"/>
      <c r="AY121" s="11"/>
      <c r="AZ121" s="13"/>
      <c r="BA121" s="11"/>
      <c r="BB121" s="12"/>
      <c r="BC121" s="12"/>
      <c r="BD121" s="11">
        <v>193</v>
      </c>
      <c r="BE121" s="13">
        <v>1725</v>
      </c>
      <c r="BF121" s="11">
        <v>28</v>
      </c>
      <c r="BG121" s="11"/>
      <c r="BH121" s="13"/>
      <c r="BI121" s="11"/>
      <c r="BJ121" s="12"/>
      <c r="BK121" s="12"/>
      <c r="BL121" s="11"/>
      <c r="BM121" s="13"/>
      <c r="BN121" s="11"/>
      <c r="BO121" s="11"/>
      <c r="BP121" s="13"/>
      <c r="BQ121" s="11"/>
      <c r="BR121" s="12"/>
      <c r="BS121" s="12"/>
      <c r="BT121" s="11"/>
      <c r="BU121" s="13"/>
      <c r="BV121" s="11"/>
      <c r="BW121" s="11"/>
      <c r="BX121" s="13"/>
      <c r="BY121" s="11"/>
      <c r="BZ121" s="12"/>
      <c r="CA121" s="12"/>
      <c r="CB121" s="11"/>
      <c r="CC121" s="13"/>
      <c r="CD121" s="11"/>
      <c r="CE121" s="11"/>
      <c r="CF121" s="13"/>
      <c r="CG121" s="11"/>
      <c r="CH121" s="12"/>
      <c r="CI121" s="12"/>
      <c r="CJ121" s="11"/>
      <c r="CK121" s="13"/>
      <c r="CL121" s="11"/>
      <c r="CM121" s="11"/>
      <c r="CN121" s="13"/>
      <c r="CO121" s="11"/>
      <c r="CP121" s="12"/>
      <c r="CQ121" s="12"/>
      <c r="CR121" s="11"/>
      <c r="CS121" s="13"/>
      <c r="CT121" s="11"/>
      <c r="CU121" s="11"/>
      <c r="CV121" s="13"/>
      <c r="CW121" s="11"/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/>
      <c r="DI121" s="13"/>
      <c r="DJ121" s="11"/>
      <c r="DK121" s="11"/>
      <c r="DL121" s="13"/>
      <c r="DM121" s="11"/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/>
      <c r="DY121" s="13"/>
      <c r="DZ121" s="11"/>
      <c r="EA121" s="11"/>
      <c r="EB121" s="13"/>
      <c r="EC121" s="11"/>
      <c r="ED121" s="12"/>
      <c r="EE121" s="12"/>
      <c r="EF121" s="11"/>
      <c r="EG121" s="13"/>
      <c r="EH121" s="11"/>
      <c r="EI121" s="11"/>
      <c r="EJ121" s="13"/>
      <c r="EK121" s="11"/>
      <c r="EL121" s="12"/>
      <c r="EM121" s="12"/>
      <c r="EN121" s="11"/>
      <c r="EO121" s="13"/>
      <c r="EP121" s="11"/>
      <c r="EQ121" s="11"/>
      <c r="ER121" s="13"/>
      <c r="ES121" s="11"/>
      <c r="ET121" s="12"/>
      <c r="EU121" s="12"/>
      <c r="EV121" s="11"/>
      <c r="EW121" s="13"/>
      <c r="EX121" s="11"/>
      <c r="EY121" s="11"/>
      <c r="EZ121" s="13"/>
      <c r="FA121" s="11"/>
      <c r="FB121" s="12"/>
      <c r="FC121" s="12"/>
      <c r="FD121" s="11"/>
      <c r="FE121" s="13"/>
      <c r="FF121" s="11"/>
      <c r="FG121" s="11"/>
      <c r="FH121" s="13"/>
      <c r="FI121" s="11"/>
      <c r="FJ121" s="12"/>
      <c r="FK121" s="12"/>
      <c r="FL121" s="11"/>
      <c r="FM121" s="13"/>
      <c r="FN121" s="11"/>
      <c r="FO121" s="11"/>
      <c r="FP121" s="13"/>
      <c r="FQ121" s="11"/>
      <c r="FR121" s="12"/>
      <c r="FS121" s="12"/>
      <c r="FT121" s="11"/>
      <c r="FU121" s="13"/>
      <c r="FV121" s="11"/>
      <c r="FW121" s="11"/>
      <c r="FX121" s="13"/>
      <c r="FY121" s="11"/>
      <c r="FZ121" s="12"/>
      <c r="GA121" s="12"/>
      <c r="GB121" s="11"/>
      <c r="GC121" s="13"/>
      <c r="GD121" s="11"/>
      <c r="GE121" s="11"/>
      <c r="GF121" s="13"/>
      <c r="GG121" s="11"/>
      <c r="GH121" s="12"/>
      <c r="GI121" s="12"/>
      <c r="GJ121" s="11"/>
      <c r="GK121" s="13"/>
      <c r="GL121" s="11"/>
      <c r="GM121" s="11"/>
      <c r="GN121" s="13"/>
      <c r="GO121" s="11"/>
      <c r="GP121" s="12"/>
      <c r="GQ121" s="12"/>
      <c r="GR121" s="11"/>
      <c r="GS121" s="13"/>
      <c r="GT121" s="11"/>
      <c r="GU121" s="11"/>
      <c r="GV121" s="13"/>
      <c r="GW121" s="11"/>
      <c r="GX121" s="12"/>
      <c r="GY121" s="12"/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/>
      <c r="HK121" s="11"/>
      <c r="HL121" s="13"/>
      <c r="HM121" s="11"/>
      <c r="HN121" s="12"/>
      <c r="HO121" s="12"/>
      <c r="HP121" s="11"/>
      <c r="HQ121" s="13"/>
      <c r="HR121" s="11"/>
      <c r="HS121" s="11"/>
      <c r="HT121" s="13"/>
      <c r="HU121" s="11"/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/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/>
      <c r="JO121" s="11"/>
      <c r="JP121" s="13"/>
      <c r="JQ121" s="11"/>
      <c r="JR121" s="12"/>
      <c r="JS121" s="12"/>
      <c r="JT121" s="11"/>
      <c r="JU121" s="13"/>
      <c r="JV121" s="11"/>
      <c r="JW121" s="11"/>
      <c r="JX121" s="13"/>
      <c r="JY121" s="11"/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/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  <c r="LH121" s="11"/>
      <c r="LI121" s="13"/>
      <c r="LJ121" s="11"/>
      <c r="LK121" s="11"/>
      <c r="LL121" s="13"/>
      <c r="LM121" s="11"/>
      <c r="LN121" s="12"/>
      <c r="LO121" s="12"/>
      <c r="LP121" s="11"/>
      <c r="LQ121" s="13"/>
      <c r="LR121" s="11"/>
      <c r="LS121" s="11"/>
      <c r="LT121" s="13"/>
      <c r="LU121" s="11"/>
      <c r="LV121" s="12"/>
      <c r="LW121" s="12"/>
    </row>
    <row r="122">
      <c r="A122" s="10" t="s">
        <v>139</v>
      </c>
      <c r="B122" s="10" t="s">
        <v>107</v>
      </c>
      <c r="C122" s="10" t="s">
        <v>148</v>
      </c>
      <c r="D122" s="11">
        <v>5007</v>
      </c>
      <c r="E122" s="11">
        <f>=ROUNDDOWN(172.061855670103,0)</f>
      </c>
      <c r="F122" s="11"/>
      <c r="G122" s="12"/>
      <c r="H122" s="11"/>
      <c r="I122" s="11">
        <f>=ROUNDDOWN({0},0)</f>
      </c>
      <c r="J122" s="11"/>
      <c r="K122" s="12"/>
      <c r="L122" s="11">
        <v>98</v>
      </c>
      <c r="M122" s="13">
        <v>634.55</v>
      </c>
      <c r="N122" s="11">
        <v>32</v>
      </c>
      <c r="O122" s="14">
        <v>19.83</v>
      </c>
      <c r="P122" s="11"/>
      <c r="Q122" s="13"/>
      <c r="R122" s="11"/>
      <c r="S122" s="14"/>
      <c r="T122" s="12"/>
      <c r="U122" s="12"/>
      <c r="V122" s="12"/>
      <c r="W122" s="12"/>
      <c r="X122" s="11">
        <v>37</v>
      </c>
      <c r="Y122" s="13">
        <v>334.85</v>
      </c>
      <c r="Z122" s="11">
        <v>32</v>
      </c>
      <c r="AA122" s="11"/>
      <c r="AB122" s="13"/>
      <c r="AC122" s="11"/>
      <c r="AD122" s="12"/>
      <c r="AE122" s="12"/>
      <c r="AF122" s="11"/>
      <c r="AG122" s="13"/>
      <c r="AH122" s="11"/>
      <c r="AI122" s="11"/>
      <c r="AJ122" s="13"/>
      <c r="AK122" s="11"/>
      <c r="AL122" s="12"/>
      <c r="AM122" s="12"/>
      <c r="AN122" s="11"/>
      <c r="AO122" s="13"/>
      <c r="AP122" s="11"/>
      <c r="AQ122" s="11"/>
      <c r="AR122" s="13"/>
      <c r="AS122" s="11"/>
      <c r="AT122" s="12"/>
      <c r="AU122" s="12"/>
      <c r="AV122" s="11"/>
      <c r="AW122" s="13"/>
      <c r="AX122" s="11"/>
      <c r="AY122" s="11"/>
      <c r="AZ122" s="13"/>
      <c r="BA122" s="11"/>
      <c r="BB122" s="12"/>
      <c r="BC122" s="12"/>
      <c r="BD122" s="11">
        <v>61</v>
      </c>
      <c r="BE122" s="13">
        <v>299.7</v>
      </c>
      <c r="BF122" s="11">
        <v>32</v>
      </c>
      <c r="BG122" s="11"/>
      <c r="BH122" s="13"/>
      <c r="BI122" s="11"/>
      <c r="BJ122" s="12"/>
      <c r="BK122" s="12"/>
      <c r="BL122" s="11"/>
      <c r="BM122" s="13"/>
      <c r="BN122" s="11"/>
      <c r="BO122" s="11"/>
      <c r="BP122" s="13"/>
      <c r="BQ122" s="11"/>
      <c r="BR122" s="12"/>
      <c r="BS122" s="12"/>
      <c r="BT122" s="11"/>
      <c r="BU122" s="13"/>
      <c r="BV122" s="11"/>
      <c r="BW122" s="11"/>
      <c r="BX122" s="13"/>
      <c r="BY122" s="11"/>
      <c r="BZ122" s="12"/>
      <c r="CA122" s="12"/>
      <c r="CB122" s="11"/>
      <c r="CC122" s="13"/>
      <c r="CD122" s="11"/>
      <c r="CE122" s="11"/>
      <c r="CF122" s="13"/>
      <c r="CG122" s="11"/>
      <c r="CH122" s="12"/>
      <c r="CI122" s="12"/>
      <c r="CJ122" s="11"/>
      <c r="CK122" s="13"/>
      <c r="CL122" s="11"/>
      <c r="CM122" s="11"/>
      <c r="CN122" s="13"/>
      <c r="CO122" s="11"/>
      <c r="CP122" s="12"/>
      <c r="CQ122" s="12"/>
      <c r="CR122" s="11"/>
      <c r="CS122" s="13"/>
      <c r="CT122" s="11"/>
      <c r="CU122" s="11"/>
      <c r="CV122" s="13"/>
      <c r="CW122" s="11"/>
      <c r="CX122" s="12"/>
      <c r="CY122" s="12"/>
      <c r="CZ122" s="11"/>
      <c r="DA122" s="13"/>
      <c r="DB122" s="11"/>
      <c r="DC122" s="11"/>
      <c r="DD122" s="13"/>
      <c r="DE122" s="11"/>
      <c r="DF122" s="12"/>
      <c r="DG122" s="12"/>
      <c r="DH122" s="11"/>
      <c r="DI122" s="13"/>
      <c r="DJ122" s="11"/>
      <c r="DK122" s="11"/>
      <c r="DL122" s="13"/>
      <c r="DM122" s="11"/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/>
      <c r="DY122" s="13"/>
      <c r="DZ122" s="11"/>
      <c r="EA122" s="11"/>
      <c r="EB122" s="13"/>
      <c r="EC122" s="11"/>
      <c r="ED122" s="12"/>
      <c r="EE122" s="12"/>
      <c r="EF122" s="11"/>
      <c r="EG122" s="13"/>
      <c r="EH122" s="11"/>
      <c r="EI122" s="11"/>
      <c r="EJ122" s="13"/>
      <c r="EK122" s="11"/>
      <c r="EL122" s="12"/>
      <c r="EM122" s="12"/>
      <c r="EN122" s="11"/>
      <c r="EO122" s="13"/>
      <c r="EP122" s="11"/>
      <c r="EQ122" s="11"/>
      <c r="ER122" s="13"/>
      <c r="ES122" s="11"/>
      <c r="ET122" s="12"/>
      <c r="EU122" s="12"/>
      <c r="EV122" s="11"/>
      <c r="EW122" s="13"/>
      <c r="EX122" s="11"/>
      <c r="EY122" s="11"/>
      <c r="EZ122" s="13"/>
      <c r="FA122" s="11"/>
      <c r="FB122" s="12"/>
      <c r="FC122" s="12"/>
      <c r="FD122" s="11"/>
      <c r="FE122" s="13"/>
      <c r="FF122" s="11"/>
      <c r="FG122" s="11"/>
      <c r="FH122" s="13"/>
      <c r="FI122" s="11"/>
      <c r="FJ122" s="12"/>
      <c r="FK122" s="12"/>
      <c r="FL122" s="11"/>
      <c r="FM122" s="13"/>
      <c r="FN122" s="11"/>
      <c r="FO122" s="11"/>
      <c r="FP122" s="13"/>
      <c r="FQ122" s="11"/>
      <c r="FR122" s="12"/>
      <c r="FS122" s="12"/>
      <c r="FT122" s="11"/>
      <c r="FU122" s="13"/>
      <c r="FV122" s="11"/>
      <c r="FW122" s="11"/>
      <c r="FX122" s="13"/>
      <c r="FY122" s="11"/>
      <c r="FZ122" s="12"/>
      <c r="GA122" s="12"/>
      <c r="GB122" s="11"/>
      <c r="GC122" s="13"/>
      <c r="GD122" s="11"/>
      <c r="GE122" s="11"/>
      <c r="GF122" s="13"/>
      <c r="GG122" s="11"/>
      <c r="GH122" s="12"/>
      <c r="GI122" s="12"/>
      <c r="GJ122" s="11"/>
      <c r="GK122" s="13"/>
      <c r="GL122" s="11"/>
      <c r="GM122" s="11"/>
      <c r="GN122" s="13"/>
      <c r="GO122" s="11"/>
      <c r="GP122" s="12"/>
      <c r="GQ122" s="12"/>
      <c r="GR122" s="11"/>
      <c r="GS122" s="13"/>
      <c r="GT122" s="11"/>
      <c r="GU122" s="11"/>
      <c r="GV122" s="13"/>
      <c r="GW122" s="11"/>
      <c r="GX122" s="12"/>
      <c r="GY122" s="12"/>
      <c r="GZ122" s="11"/>
      <c r="HA122" s="13"/>
      <c r="HB122" s="11"/>
      <c r="HC122" s="11"/>
      <c r="HD122" s="13"/>
      <c r="HE122" s="11"/>
      <c r="HF122" s="12"/>
      <c r="HG122" s="12"/>
      <c r="HH122" s="11"/>
      <c r="HI122" s="13"/>
      <c r="HJ122" s="11"/>
      <c r="HK122" s="11"/>
      <c r="HL122" s="13"/>
      <c r="HM122" s="11"/>
      <c r="HN122" s="12"/>
      <c r="HO122" s="12"/>
      <c r="HP122" s="11"/>
      <c r="HQ122" s="13"/>
      <c r="HR122" s="11"/>
      <c r="HS122" s="11"/>
      <c r="HT122" s="13"/>
      <c r="HU122" s="11"/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/>
      <c r="JO122" s="11"/>
      <c r="JP122" s="13"/>
      <c r="JQ122" s="11"/>
      <c r="JR122" s="12"/>
      <c r="JS122" s="12"/>
      <c r="JT122" s="11"/>
      <c r="JU122" s="13"/>
      <c r="JV122" s="11"/>
      <c r="JW122" s="11"/>
      <c r="JX122" s="13"/>
      <c r="JY122" s="11"/>
      <c r="JZ122" s="12"/>
      <c r="KA122" s="12"/>
      <c r="KB122" s="11"/>
      <c r="KC122" s="13"/>
      <c r="KD122" s="11"/>
      <c r="KE122" s="11"/>
      <c r="KF122" s="13"/>
      <c r="KG122" s="11"/>
      <c r="KH122" s="12"/>
      <c r="KI122" s="12"/>
      <c r="KJ122" s="11"/>
      <c r="KK122" s="13"/>
      <c r="KL122" s="11"/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  <c r="LH122" s="11"/>
      <c r="LI122" s="13"/>
      <c r="LJ122" s="11"/>
      <c r="LK122" s="11"/>
      <c r="LL122" s="13"/>
      <c r="LM122" s="11"/>
      <c r="LN122" s="12"/>
      <c r="LO122" s="12"/>
      <c r="LP122" s="11"/>
      <c r="LQ122" s="13"/>
      <c r="LR122" s="11"/>
      <c r="LS122" s="11"/>
      <c r="LT122" s="13"/>
      <c r="LU122" s="11"/>
      <c r="LV122" s="12"/>
      <c r="LW122" s="12"/>
    </row>
    <row r="123">
      <c r="A123" s="10" t="s">
        <v>139</v>
      </c>
      <c r="B123" s="10" t="s">
        <v>107</v>
      </c>
      <c r="C123" s="10" t="s">
        <v>140</v>
      </c>
      <c r="D123" s="11">
        <v>9110</v>
      </c>
      <c r="E123" s="11">
        <f>=ROUNDDOWN(220.581113801453,0)</f>
      </c>
      <c r="F123" s="11"/>
      <c r="G123" s="12">
        <v>1</v>
      </c>
      <c r="H123" s="11"/>
      <c r="I123" s="11">
        <f>=ROUNDDOWN({0},0)</f>
      </c>
      <c r="J123" s="11"/>
      <c r="K123" s="12"/>
      <c r="L123" s="11">
        <v>656</v>
      </c>
      <c r="M123" s="13">
        <v>5876.25</v>
      </c>
      <c r="N123" s="11">
        <v>42</v>
      </c>
      <c r="O123" s="14">
        <v>139.91</v>
      </c>
      <c r="P123" s="11"/>
      <c r="Q123" s="13"/>
      <c r="R123" s="11"/>
      <c r="S123" s="14"/>
      <c r="T123" s="12"/>
      <c r="U123" s="12"/>
      <c r="V123" s="12"/>
      <c r="W123" s="12"/>
      <c r="X123" s="11">
        <v>3</v>
      </c>
      <c r="Y123" s="13">
        <v>36.65</v>
      </c>
      <c r="Z123" s="11"/>
      <c r="AA123" s="11"/>
      <c r="AB123" s="13"/>
      <c r="AC123" s="11"/>
      <c r="AD123" s="12"/>
      <c r="AE123" s="12"/>
      <c r="AF123" s="11"/>
      <c r="AG123" s="13"/>
      <c r="AH123" s="11"/>
      <c r="AI123" s="11"/>
      <c r="AJ123" s="13"/>
      <c r="AK123" s="11"/>
      <c r="AL123" s="12"/>
      <c r="AM123" s="12"/>
      <c r="AN123" s="11"/>
      <c r="AO123" s="13"/>
      <c r="AP123" s="11"/>
      <c r="AQ123" s="11"/>
      <c r="AR123" s="13"/>
      <c r="AS123" s="11"/>
      <c r="AT123" s="12"/>
      <c r="AU123" s="12"/>
      <c r="AV123" s="11"/>
      <c r="AW123" s="13"/>
      <c r="AX123" s="11"/>
      <c r="AY123" s="11"/>
      <c r="AZ123" s="13"/>
      <c r="BA123" s="11"/>
      <c r="BB123" s="12"/>
      <c r="BC123" s="12"/>
      <c r="BD123" s="11">
        <v>598</v>
      </c>
      <c r="BE123" s="13">
        <v>5289.6</v>
      </c>
      <c r="BF123" s="11">
        <v>42</v>
      </c>
      <c r="BG123" s="11"/>
      <c r="BH123" s="13"/>
      <c r="BI123" s="11"/>
      <c r="BJ123" s="12"/>
      <c r="BK123" s="12"/>
      <c r="BL123" s="11"/>
      <c r="BM123" s="13"/>
      <c r="BN123" s="11"/>
      <c r="BO123" s="11"/>
      <c r="BP123" s="13"/>
      <c r="BQ123" s="11"/>
      <c r="BR123" s="12"/>
      <c r="BS123" s="12"/>
      <c r="BT123" s="11"/>
      <c r="BU123" s="13"/>
      <c r="BV123" s="11"/>
      <c r="BW123" s="11"/>
      <c r="BX123" s="13"/>
      <c r="BY123" s="11"/>
      <c r="BZ123" s="12"/>
      <c r="CA123" s="12"/>
      <c r="CB123" s="11">
        <v>55</v>
      </c>
      <c r="CC123" s="13">
        <v>550</v>
      </c>
      <c r="CD123" s="11">
        <v>8</v>
      </c>
      <c r="CE123" s="11"/>
      <c r="CF123" s="13"/>
      <c r="CG123" s="11"/>
      <c r="CH123" s="12"/>
      <c r="CI123" s="12"/>
      <c r="CJ123" s="11"/>
      <c r="CK123" s="13"/>
      <c r="CL123" s="11"/>
      <c r="CM123" s="11"/>
      <c r="CN123" s="13"/>
      <c r="CO123" s="11"/>
      <c r="CP123" s="12"/>
      <c r="CQ123" s="12"/>
      <c r="CR123" s="11"/>
      <c r="CS123" s="13"/>
      <c r="CT123" s="11"/>
      <c r="CU123" s="11"/>
      <c r="CV123" s="13"/>
      <c r="CW123" s="11"/>
      <c r="CX123" s="12"/>
      <c r="CY123" s="12"/>
      <c r="CZ123" s="11"/>
      <c r="DA123" s="13"/>
      <c r="DB123" s="11"/>
      <c r="DC123" s="11"/>
      <c r="DD123" s="13"/>
      <c r="DE123" s="11"/>
      <c r="DF123" s="12"/>
      <c r="DG123" s="12"/>
      <c r="DH123" s="11"/>
      <c r="DI123" s="13"/>
      <c r="DJ123" s="11"/>
      <c r="DK123" s="11"/>
      <c r="DL123" s="13"/>
      <c r="DM123" s="11"/>
      <c r="DN123" s="12"/>
      <c r="DO123" s="12"/>
      <c r="DP123" s="11"/>
      <c r="DQ123" s="13"/>
      <c r="DR123" s="11">
        <v>8</v>
      </c>
      <c r="DS123" s="11"/>
      <c r="DT123" s="13"/>
      <c r="DU123" s="11"/>
      <c r="DV123" s="12"/>
      <c r="DW123" s="12"/>
      <c r="DX123" s="11"/>
      <c r="DY123" s="13"/>
      <c r="DZ123" s="11"/>
      <c r="EA123" s="11"/>
      <c r="EB123" s="13"/>
      <c r="EC123" s="11"/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/>
      <c r="EQ123" s="11"/>
      <c r="ER123" s="13"/>
      <c r="ES123" s="11"/>
      <c r="ET123" s="12"/>
      <c r="EU123" s="12"/>
      <c r="EV123" s="11"/>
      <c r="EW123" s="13"/>
      <c r="EX123" s="11"/>
      <c r="EY123" s="11"/>
      <c r="EZ123" s="13"/>
      <c r="FA123" s="11"/>
      <c r="FB123" s="12"/>
      <c r="FC123" s="12"/>
      <c r="FD123" s="11"/>
      <c r="FE123" s="13"/>
      <c r="FF123" s="11"/>
      <c r="FG123" s="11"/>
      <c r="FH123" s="13"/>
      <c r="FI123" s="11"/>
      <c r="FJ123" s="12"/>
      <c r="FK123" s="12"/>
      <c r="FL123" s="11"/>
      <c r="FM123" s="13"/>
      <c r="FN123" s="11"/>
      <c r="FO123" s="11"/>
      <c r="FP123" s="13"/>
      <c r="FQ123" s="11"/>
      <c r="FR123" s="12"/>
      <c r="FS123" s="12"/>
      <c r="FT123" s="11"/>
      <c r="FU123" s="13"/>
      <c r="FV123" s="11"/>
      <c r="FW123" s="11"/>
      <c r="FX123" s="13"/>
      <c r="FY123" s="11"/>
      <c r="FZ123" s="12"/>
      <c r="GA123" s="12"/>
      <c r="GB123" s="11"/>
      <c r="GC123" s="13"/>
      <c r="GD123" s="11"/>
      <c r="GE123" s="11"/>
      <c r="GF123" s="13"/>
      <c r="GG123" s="11"/>
      <c r="GH123" s="12"/>
      <c r="GI123" s="12"/>
      <c r="GJ123" s="11"/>
      <c r="GK123" s="13"/>
      <c r="GL123" s="11"/>
      <c r="GM123" s="11"/>
      <c r="GN123" s="13"/>
      <c r="GO123" s="11"/>
      <c r="GP123" s="12"/>
      <c r="GQ123" s="12"/>
      <c r="GR123" s="11"/>
      <c r="GS123" s="13"/>
      <c r="GT123" s="11"/>
      <c r="GU123" s="11"/>
      <c r="GV123" s="13"/>
      <c r="GW123" s="11"/>
      <c r="GX123" s="12"/>
      <c r="GY123" s="12"/>
      <c r="GZ123" s="11"/>
      <c r="HA123" s="13"/>
      <c r="HB123" s="11"/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/>
      <c r="HS123" s="11"/>
      <c r="HT123" s="13"/>
      <c r="HU123" s="11"/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/>
      <c r="IG123" s="13"/>
      <c r="IH123" s="11"/>
      <c r="II123" s="11"/>
      <c r="IJ123" s="13"/>
      <c r="IK123" s="11"/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/>
      <c r="JR123" s="12"/>
      <c r="JS123" s="12"/>
      <c r="JT123" s="11"/>
      <c r="JU123" s="13"/>
      <c r="JV123" s="11"/>
      <c r="JW123" s="11"/>
      <c r="JX123" s="13"/>
      <c r="JY123" s="11"/>
      <c r="JZ123" s="12"/>
      <c r="KA123" s="12"/>
      <c r="KB123" s="11"/>
      <c r="KC123" s="13"/>
      <c r="KD123" s="11"/>
      <c r="KE123" s="11"/>
      <c r="KF123" s="13"/>
      <c r="KG123" s="11"/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  <c r="LH123" s="11"/>
      <c r="LI123" s="13"/>
      <c r="LJ123" s="11"/>
      <c r="LK123" s="11"/>
      <c r="LL123" s="13"/>
      <c r="LM123" s="11"/>
      <c r="LN123" s="12"/>
      <c r="LO123" s="12"/>
      <c r="LP123" s="11"/>
      <c r="LQ123" s="13"/>
      <c r="LR123" s="11"/>
      <c r="LS123" s="11"/>
      <c r="LT123" s="13"/>
      <c r="LU123" s="11"/>
      <c r="LV123" s="12"/>
      <c r="LW123" s="12"/>
    </row>
    <row r="124">
      <c r="A124" s="10" t="s">
        <v>139</v>
      </c>
      <c r="B124" s="10" t="s">
        <v>107</v>
      </c>
      <c r="C124" s="10" t="s">
        <v>141</v>
      </c>
      <c r="D124" s="11">
        <v>25305</v>
      </c>
      <c r="E124" s="11">
        <f>=ROUNDDOWN(142.966101694915,0)</f>
      </c>
      <c r="F124" s="11"/>
      <c r="G124" s="12">
        <v>1</v>
      </c>
      <c r="H124" s="11"/>
      <c r="I124" s="11">
        <f>=ROUNDDOWN({0},0)</f>
      </c>
      <c r="J124" s="11"/>
      <c r="K124" s="12"/>
      <c r="L124" s="11">
        <v>1015</v>
      </c>
      <c r="M124" s="13">
        <v>11863.91</v>
      </c>
      <c r="N124" s="11">
        <v>144</v>
      </c>
      <c r="O124" s="14">
        <v>82.39</v>
      </c>
      <c r="P124" s="11"/>
      <c r="Q124" s="13"/>
      <c r="R124" s="11"/>
      <c r="S124" s="14"/>
      <c r="T124" s="12"/>
      <c r="U124" s="12"/>
      <c r="V124" s="12"/>
      <c r="W124" s="12"/>
      <c r="X124" s="11">
        <v>58</v>
      </c>
      <c r="Y124" s="13">
        <v>1012.9</v>
      </c>
      <c r="Z124" s="11">
        <v>89</v>
      </c>
      <c r="AA124" s="11"/>
      <c r="AB124" s="13"/>
      <c r="AC124" s="11"/>
      <c r="AD124" s="12"/>
      <c r="AE124" s="12"/>
      <c r="AF124" s="11"/>
      <c r="AG124" s="13"/>
      <c r="AH124" s="11"/>
      <c r="AI124" s="11"/>
      <c r="AJ124" s="13"/>
      <c r="AK124" s="11"/>
      <c r="AL124" s="12"/>
      <c r="AM124" s="12"/>
      <c r="AN124" s="11"/>
      <c r="AO124" s="13"/>
      <c r="AP124" s="11"/>
      <c r="AQ124" s="11"/>
      <c r="AR124" s="13"/>
      <c r="AS124" s="11"/>
      <c r="AT124" s="12"/>
      <c r="AU124" s="12"/>
      <c r="AV124" s="11"/>
      <c r="AW124" s="13"/>
      <c r="AX124" s="11"/>
      <c r="AY124" s="11"/>
      <c r="AZ124" s="13"/>
      <c r="BA124" s="11"/>
      <c r="BB124" s="12"/>
      <c r="BC124" s="12"/>
      <c r="BD124" s="11">
        <v>946</v>
      </c>
      <c r="BE124" s="13">
        <v>10708.01</v>
      </c>
      <c r="BF124" s="11">
        <v>144</v>
      </c>
      <c r="BG124" s="11"/>
      <c r="BH124" s="13"/>
      <c r="BI124" s="11"/>
      <c r="BJ124" s="12"/>
      <c r="BK124" s="12"/>
      <c r="BL124" s="11"/>
      <c r="BM124" s="13"/>
      <c r="BN124" s="11"/>
      <c r="BO124" s="11"/>
      <c r="BP124" s="13"/>
      <c r="BQ124" s="11"/>
      <c r="BR124" s="12"/>
      <c r="BS124" s="12"/>
      <c r="BT124" s="11"/>
      <c r="BU124" s="13"/>
      <c r="BV124" s="11"/>
      <c r="BW124" s="11"/>
      <c r="BX124" s="13"/>
      <c r="BY124" s="11"/>
      <c r="BZ124" s="12"/>
      <c r="CA124" s="12"/>
      <c r="CB124" s="11">
        <v>11</v>
      </c>
      <c r="CC124" s="13">
        <v>143</v>
      </c>
      <c r="CD124" s="11"/>
      <c r="CE124" s="11"/>
      <c r="CF124" s="13"/>
      <c r="CG124" s="11"/>
      <c r="CH124" s="12"/>
      <c r="CI124" s="12"/>
      <c r="CJ124" s="11"/>
      <c r="CK124" s="13"/>
      <c r="CL124" s="11">
        <v>22</v>
      </c>
      <c r="CM124" s="11"/>
      <c r="CN124" s="13"/>
      <c r="CO124" s="11"/>
      <c r="CP124" s="12"/>
      <c r="CQ124" s="12"/>
      <c r="CR124" s="11"/>
      <c r="CS124" s="13"/>
      <c r="CT124" s="11"/>
      <c r="CU124" s="11"/>
      <c r="CV124" s="13"/>
      <c r="CW124" s="11"/>
      <c r="CX124" s="12"/>
      <c r="CY124" s="12"/>
      <c r="CZ124" s="11"/>
      <c r="DA124" s="13"/>
      <c r="DB124" s="11"/>
      <c r="DC124" s="11"/>
      <c r="DD124" s="13"/>
      <c r="DE124" s="11"/>
      <c r="DF124" s="12"/>
      <c r="DG124" s="12"/>
      <c r="DH124" s="11"/>
      <c r="DI124" s="13"/>
      <c r="DJ124" s="11"/>
      <c r="DK124" s="11"/>
      <c r="DL124" s="13"/>
      <c r="DM124" s="11"/>
      <c r="DN124" s="12"/>
      <c r="DO124" s="12"/>
      <c r="DP124" s="11"/>
      <c r="DQ124" s="13"/>
      <c r="DR124" s="11">
        <v>8</v>
      </c>
      <c r="DS124" s="11"/>
      <c r="DT124" s="13"/>
      <c r="DU124" s="11"/>
      <c r="DV124" s="12"/>
      <c r="DW124" s="12"/>
      <c r="DX124" s="11"/>
      <c r="DY124" s="13"/>
      <c r="DZ124" s="11"/>
      <c r="EA124" s="11"/>
      <c r="EB124" s="13"/>
      <c r="EC124" s="11"/>
      <c r="ED124" s="12"/>
      <c r="EE124" s="12"/>
      <c r="EF124" s="11"/>
      <c r="EG124" s="13"/>
      <c r="EH124" s="11"/>
      <c r="EI124" s="11"/>
      <c r="EJ124" s="13"/>
      <c r="EK124" s="11"/>
      <c r="EL124" s="12"/>
      <c r="EM124" s="12"/>
      <c r="EN124" s="11"/>
      <c r="EO124" s="13"/>
      <c r="EP124" s="11">
        <v>3</v>
      </c>
      <c r="EQ124" s="11"/>
      <c r="ER124" s="13"/>
      <c r="ES124" s="11"/>
      <c r="ET124" s="12"/>
      <c r="EU124" s="12"/>
      <c r="EV124" s="11"/>
      <c r="EW124" s="13"/>
      <c r="EX124" s="11">
        <v>1</v>
      </c>
      <c r="EY124" s="11"/>
      <c r="EZ124" s="13"/>
      <c r="FA124" s="11"/>
      <c r="FB124" s="12"/>
      <c r="FC124" s="12"/>
      <c r="FD124" s="11"/>
      <c r="FE124" s="13"/>
      <c r="FF124" s="11"/>
      <c r="FG124" s="11"/>
      <c r="FH124" s="13"/>
      <c r="FI124" s="11"/>
      <c r="FJ124" s="12"/>
      <c r="FK124" s="12"/>
      <c r="FL124" s="11"/>
      <c r="FM124" s="13"/>
      <c r="FN124" s="11"/>
      <c r="FO124" s="11"/>
      <c r="FP124" s="13"/>
      <c r="FQ124" s="11"/>
      <c r="FR124" s="12"/>
      <c r="FS124" s="12"/>
      <c r="FT124" s="11"/>
      <c r="FU124" s="13"/>
      <c r="FV124" s="11"/>
      <c r="FW124" s="11"/>
      <c r="FX124" s="13"/>
      <c r="FY124" s="11"/>
      <c r="FZ124" s="12"/>
      <c r="GA124" s="12"/>
      <c r="GB124" s="11"/>
      <c r="GC124" s="13"/>
      <c r="GD124" s="11"/>
      <c r="GE124" s="11"/>
      <c r="GF124" s="13"/>
      <c r="GG124" s="11"/>
      <c r="GH124" s="12"/>
      <c r="GI124" s="12"/>
      <c r="GJ124" s="11"/>
      <c r="GK124" s="13"/>
      <c r="GL124" s="11"/>
      <c r="GM124" s="11"/>
      <c r="GN124" s="13"/>
      <c r="GO124" s="11"/>
      <c r="GP124" s="12"/>
      <c r="GQ124" s="12"/>
      <c r="GR124" s="11"/>
      <c r="GS124" s="13"/>
      <c r="GT124" s="11"/>
      <c r="GU124" s="11"/>
      <c r="GV124" s="13"/>
      <c r="GW124" s="11"/>
      <c r="GX124" s="12"/>
      <c r="GY124" s="12"/>
      <c r="GZ124" s="11"/>
      <c r="HA124" s="13"/>
      <c r="HB124" s="11"/>
      <c r="HC124" s="11"/>
      <c r="HD124" s="13"/>
      <c r="HE124" s="11"/>
      <c r="HF124" s="12"/>
      <c r="HG124" s="12"/>
      <c r="HH124" s="11"/>
      <c r="HI124" s="13"/>
      <c r="HJ124" s="11"/>
      <c r="HK124" s="11"/>
      <c r="HL124" s="13"/>
      <c r="HM124" s="11"/>
      <c r="HN124" s="12"/>
      <c r="HO124" s="12"/>
      <c r="HP124" s="11"/>
      <c r="HQ124" s="13"/>
      <c r="HR124" s="11"/>
      <c r="HS124" s="11"/>
      <c r="HT124" s="13"/>
      <c r="HU124" s="11"/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/>
      <c r="JO124" s="11"/>
      <c r="JP124" s="13"/>
      <c r="JQ124" s="11"/>
      <c r="JR124" s="12"/>
      <c r="JS124" s="12"/>
      <c r="JT124" s="11"/>
      <c r="JU124" s="13"/>
      <c r="JV124" s="11"/>
      <c r="JW124" s="11"/>
      <c r="JX124" s="13"/>
      <c r="JY124" s="11"/>
      <c r="JZ124" s="12"/>
      <c r="KA124" s="12"/>
      <c r="KB124" s="11"/>
      <c r="KC124" s="13"/>
      <c r="KD124" s="11"/>
      <c r="KE124" s="11"/>
      <c r="KF124" s="13"/>
      <c r="KG124" s="11"/>
      <c r="KH124" s="12"/>
      <c r="KI124" s="12"/>
      <c r="KJ124" s="11"/>
      <c r="KK124" s="13"/>
      <c r="KL124" s="11"/>
      <c r="KM124" s="11"/>
      <c r="KN124" s="13"/>
      <c r="KO124" s="11"/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  <c r="LH124" s="11"/>
      <c r="LI124" s="13"/>
      <c r="LJ124" s="11"/>
      <c r="LK124" s="11"/>
      <c r="LL124" s="13"/>
      <c r="LM124" s="11"/>
      <c r="LN124" s="12"/>
      <c r="LO124" s="12"/>
      <c r="LP124" s="11"/>
      <c r="LQ124" s="13"/>
      <c r="LR124" s="11"/>
      <c r="LS124" s="11"/>
      <c r="LT124" s="13"/>
      <c r="LU124" s="11"/>
      <c r="LV124" s="12"/>
      <c r="LW124" s="12"/>
    </row>
    <row r="125">
      <c r="A125" s="10" t="s">
        <v>139</v>
      </c>
      <c r="B125" s="10" t="s">
        <v>107</v>
      </c>
      <c r="C125" s="10" t="s">
        <v>142</v>
      </c>
      <c r="D125" s="11">
        <v>16314</v>
      </c>
      <c r="E125" s="11">
        <f>=ROUNDDOWN(34.3019343986543,0)</f>
      </c>
      <c r="F125" s="11"/>
      <c r="G125" s="12">
        <v>1</v>
      </c>
      <c r="H125" s="11"/>
      <c r="I125" s="11">
        <f>=ROUNDDOWN({0},0)</f>
      </c>
      <c r="J125" s="11"/>
      <c r="K125" s="12"/>
      <c r="L125" s="11">
        <v>2086</v>
      </c>
      <c r="M125" s="13">
        <v>40191.23</v>
      </c>
      <c r="N125" s="11">
        <v>67</v>
      </c>
      <c r="O125" s="14">
        <v>599.87</v>
      </c>
      <c r="P125" s="11"/>
      <c r="Q125" s="13"/>
      <c r="R125" s="11"/>
      <c r="S125" s="14"/>
      <c r="T125" s="12"/>
      <c r="U125" s="12"/>
      <c r="V125" s="12"/>
      <c r="W125" s="12"/>
      <c r="X125" s="11">
        <v>211</v>
      </c>
      <c r="Y125" s="13">
        <v>3626.09</v>
      </c>
      <c r="Z125" s="11">
        <v>52</v>
      </c>
      <c r="AA125" s="11"/>
      <c r="AB125" s="13"/>
      <c r="AC125" s="11"/>
      <c r="AD125" s="12"/>
      <c r="AE125" s="12"/>
      <c r="AF125" s="11">
        <v>32</v>
      </c>
      <c r="AG125" s="13">
        <v>623.57</v>
      </c>
      <c r="AH125" s="11">
        <v>65</v>
      </c>
      <c r="AI125" s="11"/>
      <c r="AJ125" s="13"/>
      <c r="AK125" s="11"/>
      <c r="AL125" s="12"/>
      <c r="AM125" s="12"/>
      <c r="AN125" s="11">
        <v>3</v>
      </c>
      <c r="AO125" s="13">
        <v>53.04</v>
      </c>
      <c r="AP125" s="11">
        <v>8</v>
      </c>
      <c r="AQ125" s="11"/>
      <c r="AR125" s="13"/>
      <c r="AS125" s="11"/>
      <c r="AT125" s="12"/>
      <c r="AU125" s="12"/>
      <c r="AV125" s="11"/>
      <c r="AW125" s="13"/>
      <c r="AX125" s="11"/>
      <c r="AY125" s="11"/>
      <c r="AZ125" s="13"/>
      <c r="BA125" s="11"/>
      <c r="BB125" s="12"/>
      <c r="BC125" s="12"/>
      <c r="BD125" s="11">
        <v>1012</v>
      </c>
      <c r="BE125" s="13">
        <v>20803.9</v>
      </c>
      <c r="BF125" s="11">
        <v>67</v>
      </c>
      <c r="BG125" s="11"/>
      <c r="BH125" s="13"/>
      <c r="BI125" s="11"/>
      <c r="BJ125" s="12"/>
      <c r="BK125" s="12"/>
      <c r="BL125" s="11">
        <v>100</v>
      </c>
      <c r="BM125" s="13">
        <v>1785.81</v>
      </c>
      <c r="BN125" s="11">
        <v>65</v>
      </c>
      <c r="BO125" s="11"/>
      <c r="BP125" s="13"/>
      <c r="BQ125" s="11"/>
      <c r="BR125" s="12"/>
      <c r="BS125" s="12"/>
      <c r="BT125" s="11"/>
      <c r="BU125" s="13"/>
      <c r="BV125" s="11"/>
      <c r="BW125" s="11"/>
      <c r="BX125" s="13"/>
      <c r="BY125" s="11"/>
      <c r="BZ125" s="12"/>
      <c r="CA125" s="12"/>
      <c r="CB125" s="11">
        <v>726</v>
      </c>
      <c r="CC125" s="13">
        <v>13259.96</v>
      </c>
      <c r="CD125" s="11">
        <v>39</v>
      </c>
      <c r="CE125" s="11"/>
      <c r="CF125" s="13"/>
      <c r="CG125" s="11"/>
      <c r="CH125" s="12"/>
      <c r="CI125" s="12"/>
      <c r="CJ125" s="11"/>
      <c r="CK125" s="13"/>
      <c r="CL125" s="11">
        <v>33</v>
      </c>
      <c r="CM125" s="11"/>
      <c r="CN125" s="13"/>
      <c r="CO125" s="11"/>
      <c r="CP125" s="12"/>
      <c r="CQ125" s="12"/>
      <c r="CR125" s="11"/>
      <c r="CS125" s="13"/>
      <c r="CT125" s="11"/>
      <c r="CU125" s="11"/>
      <c r="CV125" s="13"/>
      <c r="CW125" s="11"/>
      <c r="CX125" s="12"/>
      <c r="CY125" s="12"/>
      <c r="CZ125" s="11"/>
      <c r="DA125" s="13"/>
      <c r="DB125" s="11">
        <v>23</v>
      </c>
      <c r="DC125" s="11"/>
      <c r="DD125" s="13"/>
      <c r="DE125" s="11"/>
      <c r="DF125" s="12"/>
      <c r="DG125" s="12"/>
      <c r="DH125" s="11"/>
      <c r="DI125" s="13"/>
      <c r="DJ125" s="11"/>
      <c r="DK125" s="11"/>
      <c r="DL125" s="13"/>
      <c r="DM125" s="11"/>
      <c r="DN125" s="12"/>
      <c r="DO125" s="12"/>
      <c r="DP125" s="11">
        <v>2</v>
      </c>
      <c r="DQ125" s="13">
        <v>38.86</v>
      </c>
      <c r="DR125" s="11">
        <v>61</v>
      </c>
      <c r="DS125" s="11"/>
      <c r="DT125" s="13"/>
      <c r="DU125" s="11"/>
      <c r="DV125" s="12"/>
      <c r="DW125" s="12"/>
      <c r="DX125" s="11"/>
      <c r="DY125" s="13"/>
      <c r="DZ125" s="11">
        <v>61</v>
      </c>
      <c r="EA125" s="11"/>
      <c r="EB125" s="13"/>
      <c r="EC125" s="11"/>
      <c r="ED125" s="12"/>
      <c r="EE125" s="12"/>
      <c r="EF125" s="11"/>
      <c r="EG125" s="13"/>
      <c r="EH125" s="11"/>
      <c r="EI125" s="11"/>
      <c r="EJ125" s="13"/>
      <c r="EK125" s="11"/>
      <c r="EL125" s="12"/>
      <c r="EM125" s="12"/>
      <c r="EN125" s="11"/>
      <c r="EO125" s="13"/>
      <c r="EP125" s="11"/>
      <c r="EQ125" s="11"/>
      <c r="ER125" s="13"/>
      <c r="ES125" s="11"/>
      <c r="ET125" s="12"/>
      <c r="EU125" s="12"/>
      <c r="EV125" s="11"/>
      <c r="EW125" s="13"/>
      <c r="EX125" s="11"/>
      <c r="EY125" s="11"/>
      <c r="EZ125" s="13"/>
      <c r="FA125" s="11"/>
      <c r="FB125" s="12"/>
      <c r="FC125" s="12"/>
      <c r="FD125" s="11"/>
      <c r="FE125" s="13"/>
      <c r="FF125" s="11"/>
      <c r="FG125" s="11"/>
      <c r="FH125" s="13"/>
      <c r="FI125" s="11"/>
      <c r="FJ125" s="12"/>
      <c r="FK125" s="12"/>
      <c r="FL125" s="11"/>
      <c r="FM125" s="13"/>
      <c r="FN125" s="11"/>
      <c r="FO125" s="11"/>
      <c r="FP125" s="13"/>
      <c r="FQ125" s="11"/>
      <c r="FR125" s="12"/>
      <c r="FS125" s="12"/>
      <c r="FT125" s="11"/>
      <c r="FU125" s="13"/>
      <c r="FV125" s="11"/>
      <c r="FW125" s="11"/>
      <c r="FX125" s="13"/>
      <c r="FY125" s="11"/>
      <c r="FZ125" s="12"/>
      <c r="GA125" s="12"/>
      <c r="GB125" s="11"/>
      <c r="GC125" s="13"/>
      <c r="GD125" s="11"/>
      <c r="GE125" s="11"/>
      <c r="GF125" s="13"/>
      <c r="GG125" s="11"/>
      <c r="GH125" s="12"/>
      <c r="GI125" s="12"/>
      <c r="GJ125" s="11"/>
      <c r="GK125" s="13"/>
      <c r="GL125" s="11"/>
      <c r="GM125" s="11"/>
      <c r="GN125" s="13"/>
      <c r="GO125" s="11"/>
      <c r="GP125" s="12"/>
      <c r="GQ125" s="12"/>
      <c r="GR125" s="11"/>
      <c r="GS125" s="13"/>
      <c r="GT125" s="11"/>
      <c r="GU125" s="11"/>
      <c r="GV125" s="13"/>
      <c r="GW125" s="11"/>
      <c r="GX125" s="12"/>
      <c r="GY125" s="12"/>
      <c r="GZ125" s="11"/>
      <c r="HA125" s="13"/>
      <c r="HB125" s="11"/>
      <c r="HC125" s="11"/>
      <c r="HD125" s="13"/>
      <c r="HE125" s="11"/>
      <c r="HF125" s="12"/>
      <c r="HG125" s="12"/>
      <c r="HH125" s="11"/>
      <c r="HI125" s="13"/>
      <c r="HJ125" s="11"/>
      <c r="HK125" s="11"/>
      <c r="HL125" s="13"/>
      <c r="HM125" s="11"/>
      <c r="HN125" s="12"/>
      <c r="HO125" s="12"/>
      <c r="HP125" s="11"/>
      <c r="HQ125" s="13"/>
      <c r="HR125" s="11"/>
      <c r="HS125" s="11"/>
      <c r="HT125" s="13"/>
      <c r="HU125" s="11"/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/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/>
      <c r="JO125" s="11"/>
      <c r="JP125" s="13"/>
      <c r="JQ125" s="11"/>
      <c r="JR125" s="12"/>
      <c r="JS125" s="12"/>
      <c r="JT125" s="11"/>
      <c r="JU125" s="13"/>
      <c r="JV125" s="11"/>
      <c r="JW125" s="11"/>
      <c r="JX125" s="13"/>
      <c r="JY125" s="11"/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/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  <c r="LH125" s="11"/>
      <c r="LI125" s="13"/>
      <c r="LJ125" s="11"/>
      <c r="LK125" s="11"/>
      <c r="LL125" s="13"/>
      <c r="LM125" s="11"/>
      <c r="LN125" s="12"/>
      <c r="LO125" s="12"/>
      <c r="LP125" s="11"/>
      <c r="LQ125" s="13"/>
      <c r="LR125" s="11"/>
      <c r="LS125" s="11"/>
      <c r="LT125" s="13"/>
      <c r="LU125" s="11"/>
      <c r="LV125" s="12"/>
      <c r="LW125" s="12"/>
    </row>
    <row r="126">
      <c r="A126" s="10" t="s">
        <v>139</v>
      </c>
      <c r="B126" s="10" t="s">
        <v>108</v>
      </c>
      <c r="C126" s="10" t="s">
        <v>77</v>
      </c>
      <c r="D126" s="11">
        <v>58870</v>
      </c>
      <c r="E126" s="11">
        <f>=ROUNDDOWN({0},0)</f>
      </c>
      <c r="F126" s="11"/>
      <c r="G126" s="12"/>
      <c r="H126" s="11"/>
      <c r="I126" s="11">
        <f>=ROUNDDOWN({0},0)</f>
      </c>
      <c r="J126" s="11"/>
      <c r="K126" s="12"/>
      <c r="L126" s="11">
        <v>4053</v>
      </c>
      <c r="M126" s="13">
        <v>60343.34</v>
      </c>
      <c r="N126" s="11">
        <v>313</v>
      </c>
      <c r="O126" s="14">
        <v>192.79</v>
      </c>
      <c r="P126" s="11"/>
      <c r="Q126" s="13"/>
      <c r="R126" s="11"/>
      <c r="S126" s="14"/>
      <c r="T126" s="12"/>
      <c r="U126" s="12"/>
      <c r="V126" s="12"/>
      <c r="W126" s="12"/>
      <c r="X126" s="11">
        <v>314</v>
      </c>
      <c r="Y126" s="13">
        <v>5062.89</v>
      </c>
      <c r="Z126" s="11">
        <v>201</v>
      </c>
      <c r="AA126" s="11"/>
      <c r="AB126" s="13"/>
      <c r="AC126" s="11"/>
      <c r="AD126" s="12"/>
      <c r="AE126" s="12"/>
      <c r="AF126" s="11">
        <v>32</v>
      </c>
      <c r="AG126" s="13">
        <v>623.57</v>
      </c>
      <c r="AH126" s="11">
        <v>65</v>
      </c>
      <c r="AI126" s="11"/>
      <c r="AJ126" s="13"/>
      <c r="AK126" s="11"/>
      <c r="AL126" s="12"/>
      <c r="AM126" s="12"/>
      <c r="AN126" s="11">
        <v>3</v>
      </c>
      <c r="AO126" s="13">
        <v>53.04</v>
      </c>
      <c r="AP126" s="11">
        <v>8</v>
      </c>
      <c r="AQ126" s="11"/>
      <c r="AR126" s="13"/>
      <c r="AS126" s="11"/>
      <c r="AT126" s="12"/>
      <c r="AU126" s="12"/>
      <c r="AV126" s="11"/>
      <c r="AW126" s="13"/>
      <c r="AX126" s="11"/>
      <c r="AY126" s="11"/>
      <c r="AZ126" s="13"/>
      <c r="BA126" s="11"/>
      <c r="BB126" s="12"/>
      <c r="BC126" s="12"/>
      <c r="BD126" s="11">
        <v>2810</v>
      </c>
      <c r="BE126" s="13">
        <v>38826.21</v>
      </c>
      <c r="BF126" s="11">
        <v>313</v>
      </c>
      <c r="BG126" s="11"/>
      <c r="BH126" s="13"/>
      <c r="BI126" s="11"/>
      <c r="BJ126" s="12"/>
      <c r="BK126" s="12"/>
      <c r="BL126" s="11">
        <v>100</v>
      </c>
      <c r="BM126" s="13">
        <v>1785.81</v>
      </c>
      <c r="BN126" s="11">
        <v>65</v>
      </c>
      <c r="BO126" s="11"/>
      <c r="BP126" s="13"/>
      <c r="BQ126" s="11"/>
      <c r="BR126" s="12"/>
      <c r="BS126" s="12"/>
      <c r="BT126" s="11"/>
      <c r="BU126" s="13"/>
      <c r="BV126" s="11"/>
      <c r="BW126" s="11"/>
      <c r="BX126" s="13"/>
      <c r="BY126" s="11"/>
      <c r="BZ126" s="12"/>
      <c r="CA126" s="12"/>
      <c r="CB126" s="11">
        <v>792</v>
      </c>
      <c r="CC126" s="13">
        <v>13952.96</v>
      </c>
      <c r="CD126" s="11">
        <v>47</v>
      </c>
      <c r="CE126" s="11"/>
      <c r="CF126" s="13"/>
      <c r="CG126" s="11"/>
      <c r="CH126" s="12"/>
      <c r="CI126" s="12"/>
      <c r="CJ126" s="11"/>
      <c r="CK126" s="13"/>
      <c r="CL126" s="11">
        <v>55</v>
      </c>
      <c r="CM126" s="11"/>
      <c r="CN126" s="13"/>
      <c r="CO126" s="11"/>
      <c r="CP126" s="12"/>
      <c r="CQ126" s="12"/>
      <c r="CR126" s="11"/>
      <c r="CS126" s="13"/>
      <c r="CT126" s="11"/>
      <c r="CU126" s="11"/>
      <c r="CV126" s="13"/>
      <c r="CW126" s="11"/>
      <c r="CX126" s="12"/>
      <c r="CY126" s="12"/>
      <c r="CZ126" s="11"/>
      <c r="DA126" s="13"/>
      <c r="DB126" s="11">
        <v>23</v>
      </c>
      <c r="DC126" s="11"/>
      <c r="DD126" s="13"/>
      <c r="DE126" s="11"/>
      <c r="DF126" s="12"/>
      <c r="DG126" s="12"/>
      <c r="DH126" s="11"/>
      <c r="DI126" s="13"/>
      <c r="DJ126" s="11"/>
      <c r="DK126" s="11"/>
      <c r="DL126" s="13"/>
      <c r="DM126" s="11"/>
      <c r="DN126" s="12"/>
      <c r="DO126" s="12"/>
      <c r="DP126" s="11">
        <v>2</v>
      </c>
      <c r="DQ126" s="13">
        <v>38.86</v>
      </c>
      <c r="DR126" s="11">
        <v>77</v>
      </c>
      <c r="DS126" s="11"/>
      <c r="DT126" s="13"/>
      <c r="DU126" s="11"/>
      <c r="DV126" s="12"/>
      <c r="DW126" s="12"/>
      <c r="DX126" s="11"/>
      <c r="DY126" s="13"/>
      <c r="DZ126" s="11">
        <v>61</v>
      </c>
      <c r="EA126" s="11"/>
      <c r="EB126" s="13"/>
      <c r="EC126" s="11"/>
      <c r="ED126" s="12"/>
      <c r="EE126" s="12"/>
      <c r="EF126" s="11"/>
      <c r="EG126" s="13"/>
      <c r="EH126" s="11"/>
      <c r="EI126" s="11"/>
      <c r="EJ126" s="13"/>
      <c r="EK126" s="11"/>
      <c r="EL126" s="12"/>
      <c r="EM126" s="12"/>
      <c r="EN126" s="11"/>
      <c r="EO126" s="13"/>
      <c r="EP126" s="11">
        <v>3</v>
      </c>
      <c r="EQ126" s="11"/>
      <c r="ER126" s="13"/>
      <c r="ES126" s="11"/>
      <c r="ET126" s="12"/>
      <c r="EU126" s="12"/>
      <c r="EV126" s="11"/>
      <c r="EW126" s="13"/>
      <c r="EX126" s="11">
        <v>1</v>
      </c>
      <c r="EY126" s="11"/>
      <c r="EZ126" s="13"/>
      <c r="FA126" s="11"/>
      <c r="FB126" s="12"/>
      <c r="FC126" s="12"/>
      <c r="FD126" s="11"/>
      <c r="FE126" s="13"/>
      <c r="FF126" s="11"/>
      <c r="FG126" s="11"/>
      <c r="FH126" s="13"/>
      <c r="FI126" s="11"/>
      <c r="FJ126" s="12"/>
      <c r="FK126" s="12"/>
      <c r="FL126" s="11"/>
      <c r="FM126" s="13"/>
      <c r="FN126" s="11"/>
      <c r="FO126" s="11"/>
      <c r="FP126" s="13"/>
      <c r="FQ126" s="11"/>
      <c r="FR126" s="12"/>
      <c r="FS126" s="12"/>
      <c r="FT126" s="11"/>
      <c r="FU126" s="13"/>
      <c r="FV126" s="11"/>
      <c r="FW126" s="11"/>
      <c r="FX126" s="13"/>
      <c r="FY126" s="11"/>
      <c r="FZ126" s="12"/>
      <c r="GA126" s="12"/>
      <c r="GB126" s="11"/>
      <c r="GC126" s="13"/>
      <c r="GD126" s="11"/>
      <c r="GE126" s="11"/>
      <c r="GF126" s="13"/>
      <c r="GG126" s="11"/>
      <c r="GH126" s="12"/>
      <c r="GI126" s="12"/>
      <c r="GJ126" s="11"/>
      <c r="GK126" s="13"/>
      <c r="GL126" s="11"/>
      <c r="GM126" s="11"/>
      <c r="GN126" s="13"/>
      <c r="GO126" s="11"/>
      <c r="GP126" s="12"/>
      <c r="GQ126" s="12"/>
      <c r="GR126" s="11"/>
      <c r="GS126" s="13"/>
      <c r="GT126" s="11"/>
      <c r="GU126" s="11"/>
      <c r="GV126" s="13"/>
      <c r="GW126" s="11"/>
      <c r="GX126" s="12"/>
      <c r="GY126" s="12"/>
      <c r="GZ126" s="11"/>
      <c r="HA126" s="13"/>
      <c r="HB126" s="11"/>
      <c r="HC126" s="11"/>
      <c r="HD126" s="13"/>
      <c r="HE126" s="11"/>
      <c r="HF126" s="12"/>
      <c r="HG126" s="12"/>
      <c r="HH126" s="11"/>
      <c r="HI126" s="13"/>
      <c r="HJ126" s="11"/>
      <c r="HK126" s="11"/>
      <c r="HL126" s="13"/>
      <c r="HM126" s="11"/>
      <c r="HN126" s="12"/>
      <c r="HO126" s="12"/>
      <c r="HP126" s="11"/>
      <c r="HQ126" s="13"/>
      <c r="HR126" s="11"/>
      <c r="HS126" s="11"/>
      <c r="HT126" s="13"/>
      <c r="HU126" s="11"/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/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/>
      <c r="JO126" s="11"/>
      <c r="JP126" s="13"/>
      <c r="JQ126" s="11"/>
      <c r="JR126" s="12"/>
      <c r="JS126" s="12"/>
      <c r="JT126" s="11"/>
      <c r="JU126" s="13"/>
      <c r="JV126" s="11"/>
      <c r="JW126" s="11"/>
      <c r="JX126" s="13"/>
      <c r="JY126" s="11"/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/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  <c r="LH126" s="11"/>
      <c r="LI126" s="13"/>
      <c r="LJ126" s="11"/>
      <c r="LK126" s="11"/>
      <c r="LL126" s="13"/>
      <c r="LM126" s="11"/>
      <c r="LN126" s="12"/>
      <c r="LO126" s="12"/>
      <c r="LP126" s="11"/>
      <c r="LQ126" s="13"/>
      <c r="LR126" s="11"/>
      <c r="LS126" s="11"/>
      <c r="LT126" s="13"/>
      <c r="LU126" s="11"/>
      <c r="LV126" s="12"/>
      <c r="LW126" s="12"/>
    </row>
    <row r="127">
      <c r="A127" s="10" t="s">
        <v>139</v>
      </c>
      <c r="B127" s="10" t="s">
        <v>149</v>
      </c>
      <c r="C127" s="10" t="s">
        <v>141</v>
      </c>
      <c r="D127" s="11">
        <v>23</v>
      </c>
      <c r="E127" s="11">
        <f>=ROUNDDOWN(32.8571428571429,0)</f>
      </c>
      <c r="F127" s="11"/>
      <c r="G127" s="12"/>
      <c r="H127" s="11"/>
      <c r="I127" s="11">
        <f>=ROUNDDOWN({0},0)</f>
      </c>
      <c r="J127" s="11"/>
      <c r="K127" s="12"/>
      <c r="L127" s="11">
        <v>263</v>
      </c>
      <c r="M127" s="13">
        <v>1873.56</v>
      </c>
      <c r="N127" s="11"/>
      <c r="O127" s="14"/>
      <c r="P127" s="11"/>
      <c r="Q127" s="13"/>
      <c r="R127" s="11"/>
      <c r="S127" s="14"/>
      <c r="T127" s="12"/>
      <c r="U127" s="12"/>
      <c r="V127" s="12"/>
      <c r="W127" s="12"/>
      <c r="X127" s="11"/>
      <c r="Y127" s="13"/>
      <c r="Z127" s="11"/>
      <c r="AA127" s="11"/>
      <c r="AB127" s="13"/>
      <c r="AC127" s="11"/>
      <c r="AD127" s="12"/>
      <c r="AE127" s="12"/>
      <c r="AF127" s="11"/>
      <c r="AG127" s="13"/>
      <c r="AH127" s="11"/>
      <c r="AI127" s="11"/>
      <c r="AJ127" s="13"/>
      <c r="AK127" s="11"/>
      <c r="AL127" s="12"/>
      <c r="AM127" s="12"/>
      <c r="AN127" s="11"/>
      <c r="AO127" s="13"/>
      <c r="AP127" s="11"/>
      <c r="AQ127" s="11"/>
      <c r="AR127" s="13"/>
      <c r="AS127" s="11"/>
      <c r="AT127" s="12"/>
      <c r="AU127" s="12"/>
      <c r="AV127" s="11"/>
      <c r="AW127" s="13"/>
      <c r="AX127" s="11"/>
      <c r="AY127" s="11"/>
      <c r="AZ127" s="13"/>
      <c r="BA127" s="11"/>
      <c r="BB127" s="12"/>
      <c r="BC127" s="12"/>
      <c r="BD127" s="11">
        <v>263</v>
      </c>
      <c r="BE127" s="13">
        <v>1873.56</v>
      </c>
      <c r="BF127" s="11"/>
      <c r="BG127" s="11"/>
      <c r="BH127" s="13"/>
      <c r="BI127" s="11"/>
      <c r="BJ127" s="12"/>
      <c r="BK127" s="12"/>
      <c r="BL127" s="11"/>
      <c r="BM127" s="13"/>
      <c r="BN127" s="11"/>
      <c r="BO127" s="11"/>
      <c r="BP127" s="13"/>
      <c r="BQ127" s="11"/>
      <c r="BR127" s="12"/>
      <c r="BS127" s="12"/>
      <c r="BT127" s="11"/>
      <c r="BU127" s="13"/>
      <c r="BV127" s="11"/>
      <c r="BW127" s="11"/>
      <c r="BX127" s="13"/>
      <c r="BY127" s="11"/>
      <c r="BZ127" s="12"/>
      <c r="CA127" s="12"/>
      <c r="CB127" s="11"/>
      <c r="CC127" s="13"/>
      <c r="CD127" s="11"/>
      <c r="CE127" s="11"/>
      <c r="CF127" s="13"/>
      <c r="CG127" s="11"/>
      <c r="CH127" s="12"/>
      <c r="CI127" s="12"/>
      <c r="CJ127" s="11"/>
      <c r="CK127" s="13"/>
      <c r="CL127" s="11"/>
      <c r="CM127" s="11"/>
      <c r="CN127" s="13"/>
      <c r="CO127" s="11"/>
      <c r="CP127" s="12"/>
      <c r="CQ127" s="12"/>
      <c r="CR127" s="11"/>
      <c r="CS127" s="13"/>
      <c r="CT127" s="11"/>
      <c r="CU127" s="11"/>
      <c r="CV127" s="13"/>
      <c r="CW127" s="11"/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/>
      <c r="DI127" s="13"/>
      <c r="DJ127" s="11"/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/>
      <c r="DY127" s="13"/>
      <c r="DZ127" s="11"/>
      <c r="EA127" s="11"/>
      <c r="EB127" s="13"/>
      <c r="EC127" s="11"/>
      <c r="ED127" s="12"/>
      <c r="EE127" s="12"/>
      <c r="EF127" s="11"/>
      <c r="EG127" s="13"/>
      <c r="EH127" s="11"/>
      <c r="EI127" s="11"/>
      <c r="EJ127" s="13"/>
      <c r="EK127" s="11"/>
      <c r="EL127" s="12"/>
      <c r="EM127" s="12"/>
      <c r="EN127" s="11"/>
      <c r="EO127" s="13"/>
      <c r="EP127" s="11"/>
      <c r="EQ127" s="11"/>
      <c r="ER127" s="13"/>
      <c r="ES127" s="11"/>
      <c r="ET127" s="12"/>
      <c r="EU127" s="12"/>
      <c r="EV127" s="11"/>
      <c r="EW127" s="13"/>
      <c r="EX127" s="11"/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/>
      <c r="FO127" s="11"/>
      <c r="FP127" s="13"/>
      <c r="FQ127" s="11"/>
      <c r="FR127" s="12"/>
      <c r="FS127" s="12"/>
      <c r="FT127" s="11"/>
      <c r="FU127" s="13"/>
      <c r="FV127" s="11"/>
      <c r="FW127" s="11"/>
      <c r="FX127" s="13"/>
      <c r="FY127" s="11"/>
      <c r="FZ127" s="12"/>
      <c r="GA127" s="12"/>
      <c r="GB127" s="11"/>
      <c r="GC127" s="13"/>
      <c r="GD127" s="11"/>
      <c r="GE127" s="11"/>
      <c r="GF127" s="13"/>
      <c r="GG127" s="11"/>
      <c r="GH127" s="12"/>
      <c r="GI127" s="12"/>
      <c r="GJ127" s="11"/>
      <c r="GK127" s="13"/>
      <c r="GL127" s="11"/>
      <c r="GM127" s="11"/>
      <c r="GN127" s="13"/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/>
      <c r="HA127" s="13"/>
      <c r="HB127" s="11"/>
      <c r="HC127" s="11"/>
      <c r="HD127" s="13"/>
      <c r="HE127" s="11"/>
      <c r="HF127" s="12"/>
      <c r="HG127" s="12"/>
      <c r="HH127" s="11"/>
      <c r="HI127" s="13"/>
      <c r="HJ127" s="11"/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/>
      <c r="JO127" s="11"/>
      <c r="JP127" s="13"/>
      <c r="JQ127" s="11"/>
      <c r="JR127" s="12"/>
      <c r="JS127" s="12"/>
      <c r="JT127" s="11"/>
      <c r="JU127" s="13"/>
      <c r="JV127" s="11"/>
      <c r="JW127" s="11"/>
      <c r="JX127" s="13"/>
      <c r="JY127" s="11"/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/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  <c r="LH127" s="11"/>
      <c r="LI127" s="13"/>
      <c r="LJ127" s="11"/>
      <c r="LK127" s="11"/>
      <c r="LL127" s="13"/>
      <c r="LM127" s="11"/>
      <c r="LN127" s="12"/>
      <c r="LO127" s="12"/>
      <c r="LP127" s="11"/>
      <c r="LQ127" s="13"/>
      <c r="LR127" s="11"/>
      <c r="LS127" s="11"/>
      <c r="LT127" s="13"/>
      <c r="LU127" s="11"/>
      <c r="LV127" s="12"/>
      <c r="LW127" s="12"/>
    </row>
    <row r="128">
      <c r="A128" s="10" t="s">
        <v>139</v>
      </c>
      <c r="B128" s="10" t="s">
        <v>150</v>
      </c>
      <c r="C128" s="10" t="s">
        <v>77</v>
      </c>
      <c r="D128" s="11">
        <v>23</v>
      </c>
      <c r="E128" s="11">
        <f>=ROUNDDOWN({0},0)</f>
      </c>
      <c r="F128" s="11"/>
      <c r="G128" s="12"/>
      <c r="H128" s="11"/>
      <c r="I128" s="11">
        <f>=ROUNDDOWN({0},0)</f>
      </c>
      <c r="J128" s="11"/>
      <c r="K128" s="12"/>
      <c r="L128" s="11">
        <v>263</v>
      </c>
      <c r="M128" s="13">
        <v>1873.56</v>
      </c>
      <c r="N128" s="11"/>
      <c r="O128" s="14"/>
      <c r="P128" s="11"/>
      <c r="Q128" s="13"/>
      <c r="R128" s="11"/>
      <c r="S128" s="14"/>
      <c r="T128" s="12"/>
      <c r="U128" s="12"/>
      <c r="V128" s="12"/>
      <c r="W128" s="12"/>
      <c r="X128" s="11"/>
      <c r="Y128" s="13"/>
      <c r="Z128" s="11"/>
      <c r="AA128" s="11"/>
      <c r="AB128" s="13"/>
      <c r="AC128" s="11"/>
      <c r="AD128" s="12"/>
      <c r="AE128" s="12"/>
      <c r="AF128" s="11"/>
      <c r="AG128" s="13"/>
      <c r="AH128" s="11"/>
      <c r="AI128" s="11"/>
      <c r="AJ128" s="13"/>
      <c r="AK128" s="11"/>
      <c r="AL128" s="12"/>
      <c r="AM128" s="12"/>
      <c r="AN128" s="11"/>
      <c r="AO128" s="13"/>
      <c r="AP128" s="11"/>
      <c r="AQ128" s="11"/>
      <c r="AR128" s="13"/>
      <c r="AS128" s="11"/>
      <c r="AT128" s="12"/>
      <c r="AU128" s="12"/>
      <c r="AV128" s="11"/>
      <c r="AW128" s="13"/>
      <c r="AX128" s="11"/>
      <c r="AY128" s="11"/>
      <c r="AZ128" s="13"/>
      <c r="BA128" s="11"/>
      <c r="BB128" s="12"/>
      <c r="BC128" s="12"/>
      <c r="BD128" s="11">
        <v>263</v>
      </c>
      <c r="BE128" s="13">
        <v>1873.56</v>
      </c>
      <c r="BF128" s="11"/>
      <c r="BG128" s="11"/>
      <c r="BH128" s="13"/>
      <c r="BI128" s="11"/>
      <c r="BJ128" s="12"/>
      <c r="BK128" s="12"/>
      <c r="BL128" s="11"/>
      <c r="BM128" s="13"/>
      <c r="BN128" s="11"/>
      <c r="BO128" s="11"/>
      <c r="BP128" s="13"/>
      <c r="BQ128" s="11"/>
      <c r="BR128" s="12"/>
      <c r="BS128" s="12"/>
      <c r="BT128" s="11"/>
      <c r="BU128" s="13"/>
      <c r="BV128" s="11"/>
      <c r="BW128" s="11"/>
      <c r="BX128" s="13"/>
      <c r="BY128" s="11"/>
      <c r="BZ128" s="12"/>
      <c r="CA128" s="12"/>
      <c r="CB128" s="11"/>
      <c r="CC128" s="13"/>
      <c r="CD128" s="11"/>
      <c r="CE128" s="11"/>
      <c r="CF128" s="13"/>
      <c r="CG128" s="11"/>
      <c r="CH128" s="12"/>
      <c r="CI128" s="12"/>
      <c r="CJ128" s="11"/>
      <c r="CK128" s="13"/>
      <c r="CL128" s="11"/>
      <c r="CM128" s="11"/>
      <c r="CN128" s="13"/>
      <c r="CO128" s="11"/>
      <c r="CP128" s="12"/>
      <c r="CQ128" s="12"/>
      <c r="CR128" s="11"/>
      <c r="CS128" s="13"/>
      <c r="CT128" s="11"/>
      <c r="CU128" s="11"/>
      <c r="CV128" s="13"/>
      <c r="CW128" s="11"/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/>
      <c r="DI128" s="13"/>
      <c r="DJ128" s="11"/>
      <c r="DK128" s="11"/>
      <c r="DL128" s="13"/>
      <c r="DM128" s="11"/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/>
      <c r="DY128" s="13"/>
      <c r="DZ128" s="11"/>
      <c r="EA128" s="11"/>
      <c r="EB128" s="13"/>
      <c r="EC128" s="11"/>
      <c r="ED128" s="12"/>
      <c r="EE128" s="12"/>
      <c r="EF128" s="11"/>
      <c r="EG128" s="13"/>
      <c r="EH128" s="11"/>
      <c r="EI128" s="11"/>
      <c r="EJ128" s="13"/>
      <c r="EK128" s="11"/>
      <c r="EL128" s="12"/>
      <c r="EM128" s="12"/>
      <c r="EN128" s="11"/>
      <c r="EO128" s="13"/>
      <c r="EP128" s="11"/>
      <c r="EQ128" s="11"/>
      <c r="ER128" s="13"/>
      <c r="ES128" s="11"/>
      <c r="ET128" s="12"/>
      <c r="EU128" s="12"/>
      <c r="EV128" s="11"/>
      <c r="EW128" s="13"/>
      <c r="EX128" s="11"/>
      <c r="EY128" s="11"/>
      <c r="EZ128" s="13"/>
      <c r="FA128" s="11"/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/>
      <c r="FO128" s="11"/>
      <c r="FP128" s="13"/>
      <c r="FQ128" s="11"/>
      <c r="FR128" s="12"/>
      <c r="FS128" s="12"/>
      <c r="FT128" s="11"/>
      <c r="FU128" s="13"/>
      <c r="FV128" s="11"/>
      <c r="FW128" s="11"/>
      <c r="FX128" s="13"/>
      <c r="FY128" s="11"/>
      <c r="FZ128" s="12"/>
      <c r="GA128" s="12"/>
      <c r="GB128" s="11"/>
      <c r="GC128" s="13"/>
      <c r="GD128" s="11"/>
      <c r="GE128" s="11"/>
      <c r="GF128" s="13"/>
      <c r="GG128" s="11"/>
      <c r="GH128" s="12"/>
      <c r="GI128" s="12"/>
      <c r="GJ128" s="11"/>
      <c r="GK128" s="13"/>
      <c r="GL128" s="11"/>
      <c r="GM128" s="11"/>
      <c r="GN128" s="13"/>
      <c r="GO128" s="11"/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/>
      <c r="HA128" s="13"/>
      <c r="HB128" s="11"/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/>
      <c r="JO128" s="11"/>
      <c r="JP128" s="13"/>
      <c r="JQ128" s="11"/>
      <c r="JR128" s="12"/>
      <c r="JS128" s="12"/>
      <c r="JT128" s="11"/>
      <c r="JU128" s="13"/>
      <c r="JV128" s="11"/>
      <c r="JW128" s="11"/>
      <c r="JX128" s="13"/>
      <c r="JY128" s="11"/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/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  <c r="LH128" s="11"/>
      <c r="LI128" s="13"/>
      <c r="LJ128" s="11"/>
      <c r="LK128" s="11"/>
      <c r="LL128" s="13"/>
      <c r="LM128" s="11"/>
      <c r="LN128" s="12"/>
      <c r="LO128" s="12"/>
      <c r="LP128" s="11"/>
      <c r="LQ128" s="13"/>
      <c r="LR128" s="11"/>
      <c r="LS128" s="11"/>
      <c r="LT128" s="13"/>
      <c r="LU128" s="11"/>
      <c r="LV128" s="12"/>
      <c r="LW128" s="12"/>
    </row>
    <row r="129">
      <c r="A129" s="10" t="s">
        <v>139</v>
      </c>
      <c r="B129" s="10" t="s">
        <v>151</v>
      </c>
      <c r="C129" s="10" t="s">
        <v>140</v>
      </c>
      <c r="D129" s="11">
        <v>2965</v>
      </c>
      <c r="E129" s="11">
        <f>=ROUNDDOWN(1235.41666666667,0)</f>
      </c>
      <c r="F129" s="11"/>
      <c r="G129" s="12"/>
      <c r="H129" s="11"/>
      <c r="I129" s="11">
        <f>=ROUNDDOWN({0},0)</f>
      </c>
      <c r="J129" s="11"/>
      <c r="K129" s="12"/>
      <c r="L129" s="11">
        <v>38</v>
      </c>
      <c r="M129" s="13">
        <v>558.6</v>
      </c>
      <c r="N129" s="11">
        <v>12</v>
      </c>
      <c r="O129" s="14">
        <v>46.55</v>
      </c>
      <c r="P129" s="11"/>
      <c r="Q129" s="13"/>
      <c r="R129" s="11"/>
      <c r="S129" s="14"/>
      <c r="T129" s="12"/>
      <c r="U129" s="12"/>
      <c r="V129" s="12"/>
      <c r="W129" s="12"/>
      <c r="X129" s="11"/>
      <c r="Y129" s="13"/>
      <c r="Z129" s="11"/>
      <c r="AA129" s="11"/>
      <c r="AB129" s="13"/>
      <c r="AC129" s="11"/>
      <c r="AD129" s="12"/>
      <c r="AE129" s="12"/>
      <c r="AF129" s="11"/>
      <c r="AG129" s="13"/>
      <c r="AH129" s="11"/>
      <c r="AI129" s="11"/>
      <c r="AJ129" s="13"/>
      <c r="AK129" s="11"/>
      <c r="AL129" s="12"/>
      <c r="AM129" s="12"/>
      <c r="AN129" s="11"/>
      <c r="AO129" s="13"/>
      <c r="AP129" s="11"/>
      <c r="AQ129" s="11"/>
      <c r="AR129" s="13"/>
      <c r="AS129" s="11"/>
      <c r="AT129" s="12"/>
      <c r="AU129" s="12"/>
      <c r="AV129" s="11"/>
      <c r="AW129" s="13"/>
      <c r="AX129" s="11"/>
      <c r="AY129" s="11"/>
      <c r="AZ129" s="13"/>
      <c r="BA129" s="11"/>
      <c r="BB129" s="12"/>
      <c r="BC129" s="12"/>
      <c r="BD129" s="11">
        <v>38</v>
      </c>
      <c r="BE129" s="13">
        <v>558.6</v>
      </c>
      <c r="BF129" s="11">
        <v>12</v>
      </c>
      <c r="BG129" s="11"/>
      <c r="BH129" s="13"/>
      <c r="BI129" s="11"/>
      <c r="BJ129" s="12"/>
      <c r="BK129" s="12"/>
      <c r="BL129" s="11"/>
      <c r="BM129" s="13"/>
      <c r="BN129" s="11"/>
      <c r="BO129" s="11"/>
      <c r="BP129" s="13"/>
      <c r="BQ129" s="11"/>
      <c r="BR129" s="12"/>
      <c r="BS129" s="12"/>
      <c r="BT129" s="11"/>
      <c r="BU129" s="13"/>
      <c r="BV129" s="11"/>
      <c r="BW129" s="11"/>
      <c r="BX129" s="13"/>
      <c r="BY129" s="11"/>
      <c r="BZ129" s="12"/>
      <c r="CA129" s="12"/>
      <c r="CB129" s="11"/>
      <c r="CC129" s="13"/>
      <c r="CD129" s="11"/>
      <c r="CE129" s="11"/>
      <c r="CF129" s="13"/>
      <c r="CG129" s="11"/>
      <c r="CH129" s="12"/>
      <c r="CI129" s="12"/>
      <c r="CJ129" s="11"/>
      <c r="CK129" s="13"/>
      <c r="CL129" s="11"/>
      <c r="CM129" s="11"/>
      <c r="CN129" s="13"/>
      <c r="CO129" s="11"/>
      <c r="CP129" s="12"/>
      <c r="CQ129" s="12"/>
      <c r="CR129" s="11"/>
      <c r="CS129" s="13"/>
      <c r="CT129" s="11"/>
      <c r="CU129" s="11"/>
      <c r="CV129" s="13"/>
      <c r="CW129" s="11"/>
      <c r="CX129" s="12"/>
      <c r="CY129" s="12"/>
      <c r="CZ129" s="11"/>
      <c r="DA129" s="13"/>
      <c r="DB129" s="11"/>
      <c r="DC129" s="11"/>
      <c r="DD129" s="13"/>
      <c r="DE129" s="11"/>
      <c r="DF129" s="12"/>
      <c r="DG129" s="12"/>
      <c r="DH129" s="11"/>
      <c r="DI129" s="13"/>
      <c r="DJ129" s="11"/>
      <c r="DK129" s="11"/>
      <c r="DL129" s="13"/>
      <c r="DM129" s="11"/>
      <c r="DN129" s="12"/>
      <c r="DO129" s="12"/>
      <c r="DP129" s="11"/>
      <c r="DQ129" s="13"/>
      <c r="DR129" s="11">
        <v>12</v>
      </c>
      <c r="DS129" s="11"/>
      <c r="DT129" s="13"/>
      <c r="DU129" s="11"/>
      <c r="DV129" s="12"/>
      <c r="DW129" s="12"/>
      <c r="DX129" s="11"/>
      <c r="DY129" s="13"/>
      <c r="DZ129" s="11"/>
      <c r="EA129" s="11"/>
      <c r="EB129" s="13"/>
      <c r="EC129" s="11"/>
      <c r="ED129" s="12"/>
      <c r="EE129" s="12"/>
      <c r="EF129" s="11"/>
      <c r="EG129" s="13"/>
      <c r="EH129" s="11"/>
      <c r="EI129" s="11"/>
      <c r="EJ129" s="13"/>
      <c r="EK129" s="11"/>
      <c r="EL129" s="12"/>
      <c r="EM129" s="12"/>
      <c r="EN129" s="11"/>
      <c r="EO129" s="13"/>
      <c r="EP129" s="11"/>
      <c r="EQ129" s="11"/>
      <c r="ER129" s="13"/>
      <c r="ES129" s="11"/>
      <c r="ET129" s="12"/>
      <c r="EU129" s="12"/>
      <c r="EV129" s="11"/>
      <c r="EW129" s="13"/>
      <c r="EX129" s="11"/>
      <c r="EY129" s="11"/>
      <c r="EZ129" s="13"/>
      <c r="FA129" s="11"/>
      <c r="FB129" s="12"/>
      <c r="FC129" s="12"/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/>
      <c r="FO129" s="11"/>
      <c r="FP129" s="13"/>
      <c r="FQ129" s="11"/>
      <c r="FR129" s="12"/>
      <c r="FS129" s="12"/>
      <c r="FT129" s="11"/>
      <c r="FU129" s="13"/>
      <c r="FV129" s="11"/>
      <c r="FW129" s="11"/>
      <c r="FX129" s="13"/>
      <c r="FY129" s="11"/>
      <c r="FZ129" s="12"/>
      <c r="GA129" s="12"/>
      <c r="GB129" s="11"/>
      <c r="GC129" s="13"/>
      <c r="GD129" s="11"/>
      <c r="GE129" s="11"/>
      <c r="GF129" s="13"/>
      <c r="GG129" s="11"/>
      <c r="GH129" s="12"/>
      <c r="GI129" s="12"/>
      <c r="GJ129" s="11"/>
      <c r="GK129" s="13"/>
      <c r="GL129" s="11"/>
      <c r="GM129" s="11"/>
      <c r="GN129" s="13"/>
      <c r="GO129" s="11"/>
      <c r="GP129" s="12"/>
      <c r="GQ129" s="12"/>
      <c r="GR129" s="11"/>
      <c r="GS129" s="13"/>
      <c r="GT129" s="11"/>
      <c r="GU129" s="11"/>
      <c r="GV129" s="13"/>
      <c r="GW129" s="11"/>
      <c r="GX129" s="12"/>
      <c r="GY129" s="12"/>
      <c r="GZ129" s="11"/>
      <c r="HA129" s="13"/>
      <c r="HB129" s="11"/>
      <c r="HC129" s="11"/>
      <c r="HD129" s="13"/>
      <c r="HE129" s="11"/>
      <c r="HF129" s="12"/>
      <c r="HG129" s="12"/>
      <c r="HH129" s="11"/>
      <c r="HI129" s="13"/>
      <c r="HJ129" s="11"/>
      <c r="HK129" s="11"/>
      <c r="HL129" s="13"/>
      <c r="HM129" s="11"/>
      <c r="HN129" s="12"/>
      <c r="HO129" s="12"/>
      <c r="HP129" s="11"/>
      <c r="HQ129" s="13"/>
      <c r="HR129" s="11"/>
      <c r="HS129" s="11"/>
      <c r="HT129" s="13"/>
      <c r="HU129" s="11"/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/>
      <c r="JO129" s="11"/>
      <c r="JP129" s="13"/>
      <c r="JQ129" s="11"/>
      <c r="JR129" s="12"/>
      <c r="JS129" s="12"/>
      <c r="JT129" s="11"/>
      <c r="JU129" s="13"/>
      <c r="JV129" s="11"/>
      <c r="JW129" s="11"/>
      <c r="JX129" s="13"/>
      <c r="JY129" s="11"/>
      <c r="JZ129" s="12"/>
      <c r="KA129" s="12"/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  <c r="LH129" s="11"/>
      <c r="LI129" s="13"/>
      <c r="LJ129" s="11"/>
      <c r="LK129" s="11"/>
      <c r="LL129" s="13"/>
      <c r="LM129" s="11"/>
      <c r="LN129" s="12"/>
      <c r="LO129" s="12"/>
      <c r="LP129" s="11"/>
      <c r="LQ129" s="13"/>
      <c r="LR129" s="11"/>
      <c r="LS129" s="11"/>
      <c r="LT129" s="13"/>
      <c r="LU129" s="11"/>
      <c r="LV129" s="12"/>
      <c r="LW129" s="12"/>
    </row>
    <row r="130">
      <c r="A130" s="10" t="s">
        <v>139</v>
      </c>
      <c r="B130" s="10" t="s">
        <v>151</v>
      </c>
      <c r="C130" s="10" t="s">
        <v>141</v>
      </c>
      <c r="D130" s="11">
        <v>3149</v>
      </c>
      <c r="E130" s="11">
        <f>=ROUNDDOWN(2422.30769230769,0)</f>
      </c>
      <c r="F130" s="11"/>
      <c r="G130" s="12"/>
      <c r="H130" s="11"/>
      <c r="I130" s="11">
        <f>=ROUNDDOWN({0},0)</f>
      </c>
      <c r="J130" s="11"/>
      <c r="K130" s="12"/>
      <c r="L130" s="11">
        <v>24</v>
      </c>
      <c r="M130" s="13">
        <v>520.8</v>
      </c>
      <c r="N130" s="11">
        <v>12</v>
      </c>
      <c r="O130" s="14">
        <v>43.4</v>
      </c>
      <c r="P130" s="11"/>
      <c r="Q130" s="13"/>
      <c r="R130" s="11"/>
      <c r="S130" s="14"/>
      <c r="T130" s="12"/>
      <c r="U130" s="12"/>
      <c r="V130" s="12"/>
      <c r="W130" s="12"/>
      <c r="X130" s="11"/>
      <c r="Y130" s="13"/>
      <c r="Z130" s="11"/>
      <c r="AA130" s="11"/>
      <c r="AB130" s="13"/>
      <c r="AC130" s="11"/>
      <c r="AD130" s="12"/>
      <c r="AE130" s="12"/>
      <c r="AF130" s="11"/>
      <c r="AG130" s="13"/>
      <c r="AH130" s="11"/>
      <c r="AI130" s="11"/>
      <c r="AJ130" s="13"/>
      <c r="AK130" s="11"/>
      <c r="AL130" s="12"/>
      <c r="AM130" s="12"/>
      <c r="AN130" s="11"/>
      <c r="AO130" s="13"/>
      <c r="AP130" s="11"/>
      <c r="AQ130" s="11"/>
      <c r="AR130" s="13"/>
      <c r="AS130" s="11"/>
      <c r="AT130" s="12"/>
      <c r="AU130" s="12"/>
      <c r="AV130" s="11"/>
      <c r="AW130" s="13"/>
      <c r="AX130" s="11"/>
      <c r="AY130" s="11"/>
      <c r="AZ130" s="13"/>
      <c r="BA130" s="11"/>
      <c r="BB130" s="12"/>
      <c r="BC130" s="12"/>
      <c r="BD130" s="11">
        <v>24</v>
      </c>
      <c r="BE130" s="13">
        <v>520.8</v>
      </c>
      <c r="BF130" s="11">
        <v>12</v>
      </c>
      <c r="BG130" s="11"/>
      <c r="BH130" s="13"/>
      <c r="BI130" s="11"/>
      <c r="BJ130" s="12"/>
      <c r="BK130" s="12"/>
      <c r="BL130" s="11"/>
      <c r="BM130" s="13"/>
      <c r="BN130" s="11"/>
      <c r="BO130" s="11"/>
      <c r="BP130" s="13"/>
      <c r="BQ130" s="11"/>
      <c r="BR130" s="12"/>
      <c r="BS130" s="12"/>
      <c r="BT130" s="11"/>
      <c r="BU130" s="13"/>
      <c r="BV130" s="11"/>
      <c r="BW130" s="11"/>
      <c r="BX130" s="13"/>
      <c r="BY130" s="11"/>
      <c r="BZ130" s="12"/>
      <c r="CA130" s="12"/>
      <c r="CB130" s="11"/>
      <c r="CC130" s="13"/>
      <c r="CD130" s="11"/>
      <c r="CE130" s="11"/>
      <c r="CF130" s="13"/>
      <c r="CG130" s="11"/>
      <c r="CH130" s="12"/>
      <c r="CI130" s="12"/>
      <c r="CJ130" s="11"/>
      <c r="CK130" s="13"/>
      <c r="CL130" s="11"/>
      <c r="CM130" s="11"/>
      <c r="CN130" s="13"/>
      <c r="CO130" s="11"/>
      <c r="CP130" s="12"/>
      <c r="CQ130" s="12"/>
      <c r="CR130" s="11"/>
      <c r="CS130" s="13"/>
      <c r="CT130" s="11"/>
      <c r="CU130" s="11"/>
      <c r="CV130" s="13"/>
      <c r="CW130" s="11"/>
      <c r="CX130" s="12"/>
      <c r="CY130" s="12"/>
      <c r="CZ130" s="11"/>
      <c r="DA130" s="13"/>
      <c r="DB130" s="11"/>
      <c r="DC130" s="11"/>
      <c r="DD130" s="13"/>
      <c r="DE130" s="11"/>
      <c r="DF130" s="12"/>
      <c r="DG130" s="12"/>
      <c r="DH130" s="11"/>
      <c r="DI130" s="13"/>
      <c r="DJ130" s="11"/>
      <c r="DK130" s="11"/>
      <c r="DL130" s="13"/>
      <c r="DM130" s="11"/>
      <c r="DN130" s="12"/>
      <c r="DO130" s="12"/>
      <c r="DP130" s="11"/>
      <c r="DQ130" s="13"/>
      <c r="DR130" s="11">
        <v>12</v>
      </c>
      <c r="DS130" s="11"/>
      <c r="DT130" s="13"/>
      <c r="DU130" s="11"/>
      <c r="DV130" s="12"/>
      <c r="DW130" s="12"/>
      <c r="DX130" s="11"/>
      <c r="DY130" s="13"/>
      <c r="DZ130" s="11"/>
      <c r="EA130" s="11"/>
      <c r="EB130" s="13"/>
      <c r="EC130" s="11"/>
      <c r="ED130" s="12"/>
      <c r="EE130" s="12"/>
      <c r="EF130" s="11"/>
      <c r="EG130" s="13"/>
      <c r="EH130" s="11"/>
      <c r="EI130" s="11"/>
      <c r="EJ130" s="13"/>
      <c r="EK130" s="11"/>
      <c r="EL130" s="12"/>
      <c r="EM130" s="12"/>
      <c r="EN130" s="11"/>
      <c r="EO130" s="13"/>
      <c r="EP130" s="11"/>
      <c r="EQ130" s="11"/>
      <c r="ER130" s="13"/>
      <c r="ES130" s="11"/>
      <c r="ET130" s="12"/>
      <c r="EU130" s="12"/>
      <c r="EV130" s="11"/>
      <c r="EW130" s="13"/>
      <c r="EX130" s="11"/>
      <c r="EY130" s="11"/>
      <c r="EZ130" s="13"/>
      <c r="FA130" s="11"/>
      <c r="FB130" s="12"/>
      <c r="FC130" s="12"/>
      <c r="FD130" s="11"/>
      <c r="FE130" s="13"/>
      <c r="FF130" s="11"/>
      <c r="FG130" s="11"/>
      <c r="FH130" s="13"/>
      <c r="FI130" s="11"/>
      <c r="FJ130" s="12"/>
      <c r="FK130" s="12"/>
      <c r="FL130" s="11"/>
      <c r="FM130" s="13"/>
      <c r="FN130" s="11"/>
      <c r="FO130" s="11"/>
      <c r="FP130" s="13"/>
      <c r="FQ130" s="11"/>
      <c r="FR130" s="12"/>
      <c r="FS130" s="12"/>
      <c r="FT130" s="11"/>
      <c r="FU130" s="13"/>
      <c r="FV130" s="11"/>
      <c r="FW130" s="11"/>
      <c r="FX130" s="13"/>
      <c r="FY130" s="11"/>
      <c r="FZ130" s="12"/>
      <c r="GA130" s="12"/>
      <c r="GB130" s="11"/>
      <c r="GC130" s="13"/>
      <c r="GD130" s="11"/>
      <c r="GE130" s="11"/>
      <c r="GF130" s="13"/>
      <c r="GG130" s="11"/>
      <c r="GH130" s="12"/>
      <c r="GI130" s="12"/>
      <c r="GJ130" s="11"/>
      <c r="GK130" s="13"/>
      <c r="GL130" s="11"/>
      <c r="GM130" s="11"/>
      <c r="GN130" s="13"/>
      <c r="GO130" s="11"/>
      <c r="GP130" s="12"/>
      <c r="GQ130" s="12"/>
      <c r="GR130" s="11"/>
      <c r="GS130" s="13"/>
      <c r="GT130" s="11"/>
      <c r="GU130" s="11"/>
      <c r="GV130" s="13"/>
      <c r="GW130" s="11"/>
      <c r="GX130" s="12"/>
      <c r="GY130" s="12"/>
      <c r="GZ130" s="11"/>
      <c r="HA130" s="13"/>
      <c r="HB130" s="11"/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/>
      <c r="HS130" s="11"/>
      <c r="HT130" s="13"/>
      <c r="HU130" s="11"/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/>
      <c r="JO130" s="11"/>
      <c r="JP130" s="13"/>
      <c r="JQ130" s="11"/>
      <c r="JR130" s="12"/>
      <c r="JS130" s="12"/>
      <c r="JT130" s="11"/>
      <c r="JU130" s="13"/>
      <c r="JV130" s="11"/>
      <c r="JW130" s="11"/>
      <c r="JX130" s="13"/>
      <c r="JY130" s="11"/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/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  <c r="LH130" s="11"/>
      <c r="LI130" s="13"/>
      <c r="LJ130" s="11"/>
      <c r="LK130" s="11"/>
      <c r="LL130" s="13"/>
      <c r="LM130" s="11"/>
      <c r="LN130" s="12"/>
      <c r="LO130" s="12"/>
      <c r="LP130" s="11"/>
      <c r="LQ130" s="13"/>
      <c r="LR130" s="11"/>
      <c r="LS130" s="11"/>
      <c r="LT130" s="13"/>
      <c r="LU130" s="11"/>
      <c r="LV130" s="12"/>
      <c r="LW130" s="12"/>
    </row>
    <row r="131">
      <c r="A131" s="10" t="s">
        <v>139</v>
      </c>
      <c r="B131" s="10" t="s">
        <v>152</v>
      </c>
      <c r="C131" s="10" t="s">
        <v>77</v>
      </c>
      <c r="D131" s="11">
        <v>6114</v>
      </c>
      <c r="E131" s="11">
        <f>=ROUNDDOWN({0},0)</f>
      </c>
      <c r="F131" s="11"/>
      <c r="G131" s="12"/>
      <c r="H131" s="11"/>
      <c r="I131" s="11">
        <f>=ROUNDDOWN({0},0)</f>
      </c>
      <c r="J131" s="11"/>
      <c r="K131" s="12"/>
      <c r="L131" s="11">
        <v>62</v>
      </c>
      <c r="M131" s="13">
        <v>1079.4</v>
      </c>
      <c r="N131" s="11">
        <v>24</v>
      </c>
      <c r="O131" s="14">
        <v>44.98</v>
      </c>
      <c r="P131" s="11"/>
      <c r="Q131" s="13"/>
      <c r="R131" s="11"/>
      <c r="S131" s="14"/>
      <c r="T131" s="12"/>
      <c r="U131" s="12"/>
      <c r="V131" s="12"/>
      <c r="W131" s="12"/>
      <c r="X131" s="11"/>
      <c r="Y131" s="13"/>
      <c r="Z131" s="11"/>
      <c r="AA131" s="11"/>
      <c r="AB131" s="13"/>
      <c r="AC131" s="11"/>
      <c r="AD131" s="12"/>
      <c r="AE131" s="12"/>
      <c r="AF131" s="11"/>
      <c r="AG131" s="13"/>
      <c r="AH131" s="11"/>
      <c r="AI131" s="11"/>
      <c r="AJ131" s="13"/>
      <c r="AK131" s="11"/>
      <c r="AL131" s="12"/>
      <c r="AM131" s="12"/>
      <c r="AN131" s="11"/>
      <c r="AO131" s="13"/>
      <c r="AP131" s="11"/>
      <c r="AQ131" s="11"/>
      <c r="AR131" s="13"/>
      <c r="AS131" s="11"/>
      <c r="AT131" s="12"/>
      <c r="AU131" s="12"/>
      <c r="AV131" s="11"/>
      <c r="AW131" s="13"/>
      <c r="AX131" s="11"/>
      <c r="AY131" s="11"/>
      <c r="AZ131" s="13"/>
      <c r="BA131" s="11"/>
      <c r="BB131" s="12"/>
      <c r="BC131" s="12"/>
      <c r="BD131" s="11">
        <v>62</v>
      </c>
      <c r="BE131" s="13">
        <v>1079.4</v>
      </c>
      <c r="BF131" s="11">
        <v>24</v>
      </c>
      <c r="BG131" s="11"/>
      <c r="BH131" s="13"/>
      <c r="BI131" s="11"/>
      <c r="BJ131" s="12"/>
      <c r="BK131" s="12"/>
      <c r="BL131" s="11"/>
      <c r="BM131" s="13"/>
      <c r="BN131" s="11"/>
      <c r="BO131" s="11"/>
      <c r="BP131" s="13"/>
      <c r="BQ131" s="11"/>
      <c r="BR131" s="12"/>
      <c r="BS131" s="12"/>
      <c r="BT131" s="11"/>
      <c r="BU131" s="13"/>
      <c r="BV131" s="11"/>
      <c r="BW131" s="11"/>
      <c r="BX131" s="13"/>
      <c r="BY131" s="11"/>
      <c r="BZ131" s="12"/>
      <c r="CA131" s="12"/>
      <c r="CB131" s="11"/>
      <c r="CC131" s="13"/>
      <c r="CD131" s="11"/>
      <c r="CE131" s="11"/>
      <c r="CF131" s="13"/>
      <c r="CG131" s="11"/>
      <c r="CH131" s="12"/>
      <c r="CI131" s="12"/>
      <c r="CJ131" s="11"/>
      <c r="CK131" s="13"/>
      <c r="CL131" s="11"/>
      <c r="CM131" s="11"/>
      <c r="CN131" s="13"/>
      <c r="CO131" s="11"/>
      <c r="CP131" s="12"/>
      <c r="CQ131" s="12"/>
      <c r="CR131" s="11"/>
      <c r="CS131" s="13"/>
      <c r="CT131" s="11"/>
      <c r="CU131" s="11"/>
      <c r="CV131" s="13"/>
      <c r="CW131" s="11"/>
      <c r="CX131" s="12"/>
      <c r="CY131" s="12"/>
      <c r="CZ131" s="11"/>
      <c r="DA131" s="13"/>
      <c r="DB131" s="11"/>
      <c r="DC131" s="11"/>
      <c r="DD131" s="13"/>
      <c r="DE131" s="11"/>
      <c r="DF131" s="12"/>
      <c r="DG131" s="12"/>
      <c r="DH131" s="11"/>
      <c r="DI131" s="13"/>
      <c r="DJ131" s="11"/>
      <c r="DK131" s="11"/>
      <c r="DL131" s="13"/>
      <c r="DM131" s="11"/>
      <c r="DN131" s="12"/>
      <c r="DO131" s="12"/>
      <c r="DP131" s="11"/>
      <c r="DQ131" s="13"/>
      <c r="DR131" s="11">
        <v>24</v>
      </c>
      <c r="DS131" s="11"/>
      <c r="DT131" s="13"/>
      <c r="DU131" s="11"/>
      <c r="DV131" s="12"/>
      <c r="DW131" s="12"/>
      <c r="DX131" s="11"/>
      <c r="DY131" s="13"/>
      <c r="DZ131" s="11"/>
      <c r="EA131" s="11"/>
      <c r="EB131" s="13"/>
      <c r="EC131" s="11"/>
      <c r="ED131" s="12"/>
      <c r="EE131" s="12"/>
      <c r="EF131" s="11"/>
      <c r="EG131" s="13"/>
      <c r="EH131" s="11"/>
      <c r="EI131" s="11"/>
      <c r="EJ131" s="13"/>
      <c r="EK131" s="11"/>
      <c r="EL131" s="12"/>
      <c r="EM131" s="12"/>
      <c r="EN131" s="11"/>
      <c r="EO131" s="13"/>
      <c r="EP131" s="11"/>
      <c r="EQ131" s="11"/>
      <c r="ER131" s="13"/>
      <c r="ES131" s="11"/>
      <c r="ET131" s="12"/>
      <c r="EU131" s="12"/>
      <c r="EV131" s="11"/>
      <c r="EW131" s="13"/>
      <c r="EX131" s="11"/>
      <c r="EY131" s="11"/>
      <c r="EZ131" s="13"/>
      <c r="FA131" s="11"/>
      <c r="FB131" s="12"/>
      <c r="FC131" s="12"/>
      <c r="FD131" s="11"/>
      <c r="FE131" s="13"/>
      <c r="FF131" s="11"/>
      <c r="FG131" s="11"/>
      <c r="FH131" s="13"/>
      <c r="FI131" s="11"/>
      <c r="FJ131" s="12"/>
      <c r="FK131" s="12"/>
      <c r="FL131" s="11"/>
      <c r="FM131" s="13"/>
      <c r="FN131" s="11"/>
      <c r="FO131" s="11"/>
      <c r="FP131" s="13"/>
      <c r="FQ131" s="11"/>
      <c r="FR131" s="12"/>
      <c r="FS131" s="12"/>
      <c r="FT131" s="11"/>
      <c r="FU131" s="13"/>
      <c r="FV131" s="11"/>
      <c r="FW131" s="11"/>
      <c r="FX131" s="13"/>
      <c r="FY131" s="11"/>
      <c r="FZ131" s="12"/>
      <c r="GA131" s="12"/>
      <c r="GB131" s="11"/>
      <c r="GC131" s="13"/>
      <c r="GD131" s="11"/>
      <c r="GE131" s="11"/>
      <c r="GF131" s="13"/>
      <c r="GG131" s="11"/>
      <c r="GH131" s="12"/>
      <c r="GI131" s="12"/>
      <c r="GJ131" s="11"/>
      <c r="GK131" s="13"/>
      <c r="GL131" s="11"/>
      <c r="GM131" s="11"/>
      <c r="GN131" s="13"/>
      <c r="GO131" s="11"/>
      <c r="GP131" s="12"/>
      <c r="GQ131" s="12"/>
      <c r="GR131" s="11"/>
      <c r="GS131" s="13"/>
      <c r="GT131" s="11"/>
      <c r="GU131" s="11"/>
      <c r="GV131" s="13"/>
      <c r="GW131" s="11"/>
      <c r="GX131" s="12"/>
      <c r="GY131" s="12"/>
      <c r="GZ131" s="11"/>
      <c r="HA131" s="13"/>
      <c r="HB131" s="11"/>
      <c r="HC131" s="11"/>
      <c r="HD131" s="13"/>
      <c r="HE131" s="11"/>
      <c r="HF131" s="12"/>
      <c r="HG131" s="12"/>
      <c r="HH131" s="11"/>
      <c r="HI131" s="13"/>
      <c r="HJ131" s="11"/>
      <c r="HK131" s="11"/>
      <c r="HL131" s="13"/>
      <c r="HM131" s="11"/>
      <c r="HN131" s="12"/>
      <c r="HO131" s="12"/>
      <c r="HP131" s="11"/>
      <c r="HQ131" s="13"/>
      <c r="HR131" s="11"/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/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/>
      <c r="JO131" s="11"/>
      <c r="JP131" s="13"/>
      <c r="JQ131" s="11"/>
      <c r="JR131" s="12"/>
      <c r="JS131" s="12"/>
      <c r="JT131" s="11"/>
      <c r="JU131" s="13"/>
      <c r="JV131" s="11"/>
      <c r="JW131" s="11"/>
      <c r="JX131" s="13"/>
      <c r="JY131" s="11"/>
      <c r="JZ131" s="12"/>
      <c r="KA131" s="12"/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/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  <c r="LH131" s="11"/>
      <c r="LI131" s="13"/>
      <c r="LJ131" s="11"/>
      <c r="LK131" s="11"/>
      <c r="LL131" s="13"/>
      <c r="LM131" s="11"/>
      <c r="LN131" s="12"/>
      <c r="LO131" s="12"/>
      <c r="LP131" s="11"/>
      <c r="LQ131" s="13"/>
      <c r="LR131" s="11"/>
      <c r="LS131" s="11"/>
      <c r="LT131" s="13"/>
      <c r="LU131" s="11"/>
      <c r="LV131" s="12"/>
      <c r="LW131" s="12"/>
    </row>
    <row r="132">
      <c r="A132" s="10" t="s">
        <v>139</v>
      </c>
      <c r="B132" s="10" t="s">
        <v>113</v>
      </c>
      <c r="C132" s="10" t="s">
        <v>142</v>
      </c>
      <c r="D132" s="11">
        <v>3000</v>
      </c>
      <c r="E132" s="11">
        <f>=ROUNDDOWN({0},0)</f>
      </c>
      <c r="F132" s="11"/>
      <c r="G132" s="12"/>
      <c r="H132" s="11"/>
      <c r="I132" s="11">
        <f>=ROUNDDOWN({0},0)</f>
      </c>
      <c r="J132" s="11"/>
      <c r="K132" s="12"/>
      <c r="L132" s="11"/>
      <c r="M132" s="13"/>
      <c r="N132" s="11"/>
      <c r="O132" s="14"/>
      <c r="P132" s="11"/>
      <c r="Q132" s="13"/>
      <c r="R132" s="11"/>
      <c r="S132" s="14"/>
      <c r="T132" s="12"/>
      <c r="U132" s="12"/>
      <c r="V132" s="12"/>
      <c r="W132" s="12"/>
      <c r="X132" s="11"/>
      <c r="Y132" s="13"/>
      <c r="Z132" s="11"/>
      <c r="AA132" s="11"/>
      <c r="AB132" s="13"/>
      <c r="AC132" s="11"/>
      <c r="AD132" s="12"/>
      <c r="AE132" s="12"/>
      <c r="AF132" s="11"/>
      <c r="AG132" s="13"/>
      <c r="AH132" s="11"/>
      <c r="AI132" s="11"/>
      <c r="AJ132" s="13"/>
      <c r="AK132" s="11"/>
      <c r="AL132" s="12"/>
      <c r="AM132" s="12"/>
      <c r="AN132" s="11"/>
      <c r="AO132" s="13"/>
      <c r="AP132" s="11"/>
      <c r="AQ132" s="11"/>
      <c r="AR132" s="13"/>
      <c r="AS132" s="11"/>
      <c r="AT132" s="12"/>
      <c r="AU132" s="12"/>
      <c r="AV132" s="11"/>
      <c r="AW132" s="13"/>
      <c r="AX132" s="11"/>
      <c r="AY132" s="11"/>
      <c r="AZ132" s="13"/>
      <c r="BA132" s="11"/>
      <c r="BB132" s="12"/>
      <c r="BC132" s="12"/>
      <c r="BD132" s="11"/>
      <c r="BE132" s="13"/>
      <c r="BF132" s="11"/>
      <c r="BG132" s="11"/>
      <c r="BH132" s="13"/>
      <c r="BI132" s="11"/>
      <c r="BJ132" s="12"/>
      <c r="BK132" s="12"/>
      <c r="BL132" s="11"/>
      <c r="BM132" s="13"/>
      <c r="BN132" s="11"/>
      <c r="BO132" s="11"/>
      <c r="BP132" s="13"/>
      <c r="BQ132" s="11"/>
      <c r="BR132" s="12"/>
      <c r="BS132" s="12"/>
      <c r="BT132" s="11"/>
      <c r="BU132" s="13"/>
      <c r="BV132" s="11"/>
      <c r="BW132" s="11"/>
      <c r="BX132" s="13"/>
      <c r="BY132" s="11"/>
      <c r="BZ132" s="12"/>
      <c r="CA132" s="12"/>
      <c r="CB132" s="11"/>
      <c r="CC132" s="13"/>
      <c r="CD132" s="11"/>
      <c r="CE132" s="11"/>
      <c r="CF132" s="13"/>
      <c r="CG132" s="11"/>
      <c r="CH132" s="12"/>
      <c r="CI132" s="12"/>
      <c r="CJ132" s="11"/>
      <c r="CK132" s="13"/>
      <c r="CL132" s="11"/>
      <c r="CM132" s="11"/>
      <c r="CN132" s="13"/>
      <c r="CO132" s="11"/>
      <c r="CP132" s="12"/>
      <c r="CQ132" s="12"/>
      <c r="CR132" s="11"/>
      <c r="CS132" s="13"/>
      <c r="CT132" s="11"/>
      <c r="CU132" s="11"/>
      <c r="CV132" s="13"/>
      <c r="CW132" s="11"/>
      <c r="CX132" s="12"/>
      <c r="CY132" s="12"/>
      <c r="CZ132" s="11"/>
      <c r="DA132" s="13"/>
      <c r="DB132" s="11"/>
      <c r="DC132" s="11"/>
      <c r="DD132" s="13"/>
      <c r="DE132" s="11"/>
      <c r="DF132" s="12"/>
      <c r="DG132" s="12"/>
      <c r="DH132" s="11"/>
      <c r="DI132" s="13"/>
      <c r="DJ132" s="11"/>
      <c r="DK132" s="11"/>
      <c r="DL132" s="13"/>
      <c r="DM132" s="11"/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/>
      <c r="DY132" s="13"/>
      <c r="DZ132" s="11"/>
      <c r="EA132" s="11"/>
      <c r="EB132" s="13"/>
      <c r="EC132" s="11"/>
      <c r="ED132" s="12"/>
      <c r="EE132" s="12"/>
      <c r="EF132" s="11"/>
      <c r="EG132" s="13"/>
      <c r="EH132" s="11"/>
      <c r="EI132" s="11"/>
      <c r="EJ132" s="13"/>
      <c r="EK132" s="11"/>
      <c r="EL132" s="12"/>
      <c r="EM132" s="12"/>
      <c r="EN132" s="11"/>
      <c r="EO132" s="13"/>
      <c r="EP132" s="11"/>
      <c r="EQ132" s="11"/>
      <c r="ER132" s="13"/>
      <c r="ES132" s="11"/>
      <c r="ET132" s="12"/>
      <c r="EU132" s="12"/>
      <c r="EV132" s="11"/>
      <c r="EW132" s="13"/>
      <c r="EX132" s="11"/>
      <c r="EY132" s="11"/>
      <c r="EZ132" s="13"/>
      <c r="FA132" s="11"/>
      <c r="FB132" s="12"/>
      <c r="FC132" s="12"/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/>
      <c r="FO132" s="11"/>
      <c r="FP132" s="13"/>
      <c r="FQ132" s="11"/>
      <c r="FR132" s="12"/>
      <c r="FS132" s="12"/>
      <c r="FT132" s="11"/>
      <c r="FU132" s="13"/>
      <c r="FV132" s="11"/>
      <c r="FW132" s="11"/>
      <c r="FX132" s="13"/>
      <c r="FY132" s="11"/>
      <c r="FZ132" s="12"/>
      <c r="GA132" s="12"/>
      <c r="GB132" s="11"/>
      <c r="GC132" s="13"/>
      <c r="GD132" s="11"/>
      <c r="GE132" s="11"/>
      <c r="GF132" s="13"/>
      <c r="GG132" s="11"/>
      <c r="GH132" s="12"/>
      <c r="GI132" s="12"/>
      <c r="GJ132" s="11"/>
      <c r="GK132" s="13"/>
      <c r="GL132" s="11"/>
      <c r="GM132" s="11"/>
      <c r="GN132" s="13"/>
      <c r="GO132" s="11"/>
      <c r="GP132" s="12"/>
      <c r="GQ132" s="12"/>
      <c r="GR132" s="11"/>
      <c r="GS132" s="13"/>
      <c r="GT132" s="11"/>
      <c r="GU132" s="11"/>
      <c r="GV132" s="13"/>
      <c r="GW132" s="11"/>
      <c r="GX132" s="12"/>
      <c r="GY132" s="12"/>
      <c r="GZ132" s="11"/>
      <c r="HA132" s="13"/>
      <c r="HB132" s="11"/>
      <c r="HC132" s="11"/>
      <c r="HD132" s="13"/>
      <c r="HE132" s="11"/>
      <c r="HF132" s="12"/>
      <c r="HG132" s="12"/>
      <c r="HH132" s="11"/>
      <c r="HI132" s="13"/>
      <c r="HJ132" s="11"/>
      <c r="HK132" s="11"/>
      <c r="HL132" s="13"/>
      <c r="HM132" s="11"/>
      <c r="HN132" s="12"/>
      <c r="HO132" s="12"/>
      <c r="HP132" s="11"/>
      <c r="HQ132" s="13"/>
      <c r="HR132" s="11"/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/>
      <c r="JR132" s="12"/>
      <c r="JS132" s="12"/>
      <c r="JT132" s="11"/>
      <c r="JU132" s="13"/>
      <c r="JV132" s="11"/>
      <c r="JW132" s="11"/>
      <c r="JX132" s="13"/>
      <c r="JY132" s="11"/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/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  <c r="LH132" s="11"/>
      <c r="LI132" s="13"/>
      <c r="LJ132" s="11"/>
      <c r="LK132" s="11"/>
      <c r="LL132" s="13"/>
      <c r="LM132" s="11"/>
      <c r="LN132" s="12"/>
      <c r="LO132" s="12"/>
      <c r="LP132" s="11"/>
      <c r="LQ132" s="13"/>
      <c r="LR132" s="11"/>
      <c r="LS132" s="11"/>
      <c r="LT132" s="13"/>
      <c r="LU132" s="11"/>
      <c r="LV132" s="12"/>
      <c r="LW132" s="12"/>
    </row>
    <row r="133">
      <c r="A133" s="10" t="s">
        <v>139</v>
      </c>
      <c r="B133" s="10" t="s">
        <v>116</v>
      </c>
      <c r="C133" s="10" t="s">
        <v>77</v>
      </c>
      <c r="D133" s="11">
        <v>3000</v>
      </c>
      <c r="E133" s="11">
        <f>=ROUNDDOWN({0},0)</f>
      </c>
      <c r="F133" s="11"/>
      <c r="G133" s="12"/>
      <c r="H133" s="11"/>
      <c r="I133" s="11">
        <f>=ROUNDDOWN({0},0)</f>
      </c>
      <c r="J133" s="11"/>
      <c r="K133" s="12"/>
      <c r="L133" s="11"/>
      <c r="M133" s="13"/>
      <c r="N133" s="11"/>
      <c r="O133" s="14"/>
      <c r="P133" s="11"/>
      <c r="Q133" s="13"/>
      <c r="R133" s="11"/>
      <c r="S133" s="14"/>
      <c r="T133" s="12"/>
      <c r="U133" s="12"/>
      <c r="V133" s="12"/>
      <c r="W133" s="12"/>
      <c r="X133" s="11"/>
      <c r="Y133" s="13"/>
      <c r="Z133" s="11"/>
      <c r="AA133" s="11"/>
      <c r="AB133" s="13"/>
      <c r="AC133" s="11"/>
      <c r="AD133" s="12"/>
      <c r="AE133" s="12"/>
      <c r="AF133" s="11"/>
      <c r="AG133" s="13"/>
      <c r="AH133" s="11"/>
      <c r="AI133" s="11"/>
      <c r="AJ133" s="13"/>
      <c r="AK133" s="11"/>
      <c r="AL133" s="12"/>
      <c r="AM133" s="12"/>
      <c r="AN133" s="11"/>
      <c r="AO133" s="13"/>
      <c r="AP133" s="11"/>
      <c r="AQ133" s="11"/>
      <c r="AR133" s="13"/>
      <c r="AS133" s="11"/>
      <c r="AT133" s="12"/>
      <c r="AU133" s="12"/>
      <c r="AV133" s="11"/>
      <c r="AW133" s="13"/>
      <c r="AX133" s="11"/>
      <c r="AY133" s="11"/>
      <c r="AZ133" s="13"/>
      <c r="BA133" s="11"/>
      <c r="BB133" s="12"/>
      <c r="BC133" s="12"/>
      <c r="BD133" s="11"/>
      <c r="BE133" s="13"/>
      <c r="BF133" s="11"/>
      <c r="BG133" s="11"/>
      <c r="BH133" s="13"/>
      <c r="BI133" s="11"/>
      <c r="BJ133" s="12"/>
      <c r="BK133" s="12"/>
      <c r="BL133" s="11"/>
      <c r="BM133" s="13"/>
      <c r="BN133" s="11"/>
      <c r="BO133" s="11"/>
      <c r="BP133" s="13"/>
      <c r="BQ133" s="11"/>
      <c r="BR133" s="12"/>
      <c r="BS133" s="12"/>
      <c r="BT133" s="11"/>
      <c r="BU133" s="13"/>
      <c r="BV133" s="11"/>
      <c r="BW133" s="11"/>
      <c r="BX133" s="13"/>
      <c r="BY133" s="11"/>
      <c r="BZ133" s="12"/>
      <c r="CA133" s="12"/>
      <c r="CB133" s="11"/>
      <c r="CC133" s="13"/>
      <c r="CD133" s="11"/>
      <c r="CE133" s="11"/>
      <c r="CF133" s="13"/>
      <c r="CG133" s="11"/>
      <c r="CH133" s="12"/>
      <c r="CI133" s="12"/>
      <c r="CJ133" s="11"/>
      <c r="CK133" s="13"/>
      <c r="CL133" s="11"/>
      <c r="CM133" s="11"/>
      <c r="CN133" s="13"/>
      <c r="CO133" s="11"/>
      <c r="CP133" s="12"/>
      <c r="CQ133" s="12"/>
      <c r="CR133" s="11"/>
      <c r="CS133" s="13"/>
      <c r="CT133" s="11"/>
      <c r="CU133" s="11"/>
      <c r="CV133" s="13"/>
      <c r="CW133" s="11"/>
      <c r="CX133" s="12"/>
      <c r="CY133" s="12"/>
      <c r="CZ133" s="11"/>
      <c r="DA133" s="13"/>
      <c r="DB133" s="11"/>
      <c r="DC133" s="11"/>
      <c r="DD133" s="13"/>
      <c r="DE133" s="11"/>
      <c r="DF133" s="12"/>
      <c r="DG133" s="12"/>
      <c r="DH133" s="11"/>
      <c r="DI133" s="13"/>
      <c r="DJ133" s="11"/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/>
      <c r="DY133" s="13"/>
      <c r="DZ133" s="11"/>
      <c r="EA133" s="11"/>
      <c r="EB133" s="13"/>
      <c r="EC133" s="11"/>
      <c r="ED133" s="12"/>
      <c r="EE133" s="12"/>
      <c r="EF133" s="11"/>
      <c r="EG133" s="13"/>
      <c r="EH133" s="11"/>
      <c r="EI133" s="11"/>
      <c r="EJ133" s="13"/>
      <c r="EK133" s="11"/>
      <c r="EL133" s="12"/>
      <c r="EM133" s="12"/>
      <c r="EN133" s="11"/>
      <c r="EO133" s="13"/>
      <c r="EP133" s="11"/>
      <c r="EQ133" s="11"/>
      <c r="ER133" s="13"/>
      <c r="ES133" s="11"/>
      <c r="ET133" s="12"/>
      <c r="EU133" s="12"/>
      <c r="EV133" s="11"/>
      <c r="EW133" s="13"/>
      <c r="EX133" s="11"/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/>
      <c r="FM133" s="13"/>
      <c r="FN133" s="11"/>
      <c r="FO133" s="11"/>
      <c r="FP133" s="13"/>
      <c r="FQ133" s="11"/>
      <c r="FR133" s="12"/>
      <c r="FS133" s="12"/>
      <c r="FT133" s="11"/>
      <c r="FU133" s="13"/>
      <c r="FV133" s="11"/>
      <c r="FW133" s="11"/>
      <c r="FX133" s="13"/>
      <c r="FY133" s="11"/>
      <c r="FZ133" s="12"/>
      <c r="GA133" s="12"/>
      <c r="GB133" s="11"/>
      <c r="GC133" s="13"/>
      <c r="GD133" s="11"/>
      <c r="GE133" s="11"/>
      <c r="GF133" s="13"/>
      <c r="GG133" s="11"/>
      <c r="GH133" s="12"/>
      <c r="GI133" s="12"/>
      <c r="GJ133" s="11"/>
      <c r="GK133" s="13"/>
      <c r="GL133" s="11"/>
      <c r="GM133" s="11"/>
      <c r="GN133" s="13"/>
      <c r="GO133" s="11"/>
      <c r="GP133" s="12"/>
      <c r="GQ133" s="12"/>
      <c r="GR133" s="11"/>
      <c r="GS133" s="13"/>
      <c r="GT133" s="11"/>
      <c r="GU133" s="11"/>
      <c r="GV133" s="13"/>
      <c r="GW133" s="11"/>
      <c r="GX133" s="12"/>
      <c r="GY133" s="12"/>
      <c r="GZ133" s="11"/>
      <c r="HA133" s="13"/>
      <c r="HB133" s="11"/>
      <c r="HC133" s="11"/>
      <c r="HD133" s="13"/>
      <c r="HE133" s="11"/>
      <c r="HF133" s="12"/>
      <c r="HG133" s="12"/>
      <c r="HH133" s="11"/>
      <c r="HI133" s="13"/>
      <c r="HJ133" s="11"/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/>
      <c r="JP133" s="13"/>
      <c r="JQ133" s="11"/>
      <c r="JR133" s="12"/>
      <c r="JS133" s="12"/>
      <c r="JT133" s="11"/>
      <c r="JU133" s="13"/>
      <c r="JV133" s="11"/>
      <c r="JW133" s="11"/>
      <c r="JX133" s="13"/>
      <c r="JY133" s="11"/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/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  <c r="LH133" s="11"/>
      <c r="LI133" s="13"/>
      <c r="LJ133" s="11"/>
      <c r="LK133" s="11"/>
      <c r="LL133" s="13"/>
      <c r="LM133" s="11"/>
      <c r="LN133" s="12"/>
      <c r="LO133" s="12"/>
      <c r="LP133" s="11"/>
      <c r="LQ133" s="13"/>
      <c r="LR133" s="11"/>
      <c r="LS133" s="11"/>
      <c r="LT133" s="13"/>
      <c r="LU133" s="11"/>
      <c r="LV133" s="12"/>
      <c r="LW133" s="12"/>
    </row>
    <row r="134">
      <c r="A134" s="10" t="s">
        <v>139</v>
      </c>
      <c r="B134" s="10" t="s">
        <v>128</v>
      </c>
      <c r="C134" s="10" t="s">
        <v>141</v>
      </c>
      <c r="D134" s="11"/>
      <c r="E134" s="11">
        <f>=ROUNDDOWN({0},0)</f>
      </c>
      <c r="F134" s="11"/>
      <c r="G134" s="12"/>
      <c r="H134" s="11"/>
      <c r="I134" s="11">
        <f>=ROUNDDOWN({0},0)</f>
      </c>
      <c r="J134" s="11"/>
      <c r="K134" s="12"/>
      <c r="L134" s="11"/>
      <c r="M134" s="13"/>
      <c r="N134" s="11"/>
      <c r="O134" s="14"/>
      <c r="P134" s="11"/>
      <c r="Q134" s="13"/>
      <c r="R134" s="11"/>
      <c r="S134" s="14"/>
      <c r="T134" s="12"/>
      <c r="U134" s="12"/>
      <c r="V134" s="12"/>
      <c r="W134" s="12"/>
      <c r="X134" s="11"/>
      <c r="Y134" s="13"/>
      <c r="Z134" s="11"/>
      <c r="AA134" s="11"/>
      <c r="AB134" s="13"/>
      <c r="AC134" s="11"/>
      <c r="AD134" s="12"/>
      <c r="AE134" s="12"/>
      <c r="AF134" s="11"/>
      <c r="AG134" s="13"/>
      <c r="AH134" s="11"/>
      <c r="AI134" s="11"/>
      <c r="AJ134" s="13"/>
      <c r="AK134" s="11"/>
      <c r="AL134" s="12"/>
      <c r="AM134" s="12"/>
      <c r="AN134" s="11"/>
      <c r="AO134" s="13"/>
      <c r="AP134" s="11"/>
      <c r="AQ134" s="11"/>
      <c r="AR134" s="13"/>
      <c r="AS134" s="11"/>
      <c r="AT134" s="12"/>
      <c r="AU134" s="12"/>
      <c r="AV134" s="11"/>
      <c r="AW134" s="13"/>
      <c r="AX134" s="11"/>
      <c r="AY134" s="11"/>
      <c r="AZ134" s="13"/>
      <c r="BA134" s="11"/>
      <c r="BB134" s="12"/>
      <c r="BC134" s="12"/>
      <c r="BD134" s="11"/>
      <c r="BE134" s="13"/>
      <c r="BF134" s="11"/>
      <c r="BG134" s="11"/>
      <c r="BH134" s="13"/>
      <c r="BI134" s="11"/>
      <c r="BJ134" s="12"/>
      <c r="BK134" s="12"/>
      <c r="BL134" s="11"/>
      <c r="BM134" s="13"/>
      <c r="BN134" s="11"/>
      <c r="BO134" s="11"/>
      <c r="BP134" s="13"/>
      <c r="BQ134" s="11"/>
      <c r="BR134" s="12"/>
      <c r="BS134" s="12"/>
      <c r="BT134" s="11"/>
      <c r="BU134" s="13"/>
      <c r="BV134" s="11"/>
      <c r="BW134" s="11"/>
      <c r="BX134" s="13"/>
      <c r="BY134" s="11"/>
      <c r="BZ134" s="12"/>
      <c r="CA134" s="12"/>
      <c r="CB134" s="11"/>
      <c r="CC134" s="13"/>
      <c r="CD134" s="11"/>
      <c r="CE134" s="11"/>
      <c r="CF134" s="13"/>
      <c r="CG134" s="11"/>
      <c r="CH134" s="12"/>
      <c r="CI134" s="12"/>
      <c r="CJ134" s="11"/>
      <c r="CK134" s="13"/>
      <c r="CL134" s="11"/>
      <c r="CM134" s="11"/>
      <c r="CN134" s="13"/>
      <c r="CO134" s="11"/>
      <c r="CP134" s="12"/>
      <c r="CQ134" s="12"/>
      <c r="CR134" s="11"/>
      <c r="CS134" s="13"/>
      <c r="CT134" s="11"/>
      <c r="CU134" s="11"/>
      <c r="CV134" s="13"/>
      <c r="CW134" s="11"/>
      <c r="CX134" s="12"/>
      <c r="CY134" s="12"/>
      <c r="CZ134" s="11"/>
      <c r="DA134" s="13"/>
      <c r="DB134" s="11"/>
      <c r="DC134" s="11"/>
      <c r="DD134" s="13"/>
      <c r="DE134" s="11"/>
      <c r="DF134" s="12"/>
      <c r="DG134" s="12"/>
      <c r="DH134" s="11"/>
      <c r="DI134" s="13"/>
      <c r="DJ134" s="11"/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/>
      <c r="DY134" s="13"/>
      <c r="DZ134" s="11"/>
      <c r="EA134" s="11"/>
      <c r="EB134" s="13"/>
      <c r="EC134" s="11"/>
      <c r="ED134" s="12"/>
      <c r="EE134" s="12"/>
      <c r="EF134" s="11"/>
      <c r="EG134" s="13"/>
      <c r="EH134" s="11"/>
      <c r="EI134" s="11"/>
      <c r="EJ134" s="13"/>
      <c r="EK134" s="11"/>
      <c r="EL134" s="12"/>
      <c r="EM134" s="12"/>
      <c r="EN134" s="11"/>
      <c r="EO134" s="13"/>
      <c r="EP134" s="11"/>
      <c r="EQ134" s="11"/>
      <c r="ER134" s="13"/>
      <c r="ES134" s="11"/>
      <c r="ET134" s="12"/>
      <c r="EU134" s="12"/>
      <c r="EV134" s="11"/>
      <c r="EW134" s="13"/>
      <c r="EX134" s="11"/>
      <c r="EY134" s="11"/>
      <c r="EZ134" s="13"/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/>
      <c r="FM134" s="13"/>
      <c r="FN134" s="11"/>
      <c r="FO134" s="11"/>
      <c r="FP134" s="13"/>
      <c r="FQ134" s="11"/>
      <c r="FR134" s="12"/>
      <c r="FS134" s="12"/>
      <c r="FT134" s="11"/>
      <c r="FU134" s="13"/>
      <c r="FV134" s="11"/>
      <c r="FW134" s="11"/>
      <c r="FX134" s="13"/>
      <c r="FY134" s="11"/>
      <c r="FZ134" s="12"/>
      <c r="GA134" s="12"/>
      <c r="GB134" s="11"/>
      <c r="GC134" s="13"/>
      <c r="GD134" s="11"/>
      <c r="GE134" s="11"/>
      <c r="GF134" s="13"/>
      <c r="GG134" s="11"/>
      <c r="GH134" s="12"/>
      <c r="GI134" s="12"/>
      <c r="GJ134" s="11"/>
      <c r="GK134" s="13"/>
      <c r="GL134" s="11"/>
      <c r="GM134" s="11"/>
      <c r="GN134" s="13"/>
      <c r="GO134" s="11"/>
      <c r="GP134" s="12"/>
      <c r="GQ134" s="12"/>
      <c r="GR134" s="11"/>
      <c r="GS134" s="13"/>
      <c r="GT134" s="11"/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/>
      <c r="JO134" s="11"/>
      <c r="JP134" s="13"/>
      <c r="JQ134" s="11"/>
      <c r="JR134" s="12"/>
      <c r="JS134" s="12"/>
      <c r="JT134" s="11"/>
      <c r="JU134" s="13"/>
      <c r="JV134" s="11"/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  <c r="LH134" s="11"/>
      <c r="LI134" s="13"/>
      <c r="LJ134" s="11"/>
      <c r="LK134" s="11"/>
      <c r="LL134" s="13"/>
      <c r="LM134" s="11"/>
      <c r="LN134" s="12"/>
      <c r="LO134" s="12"/>
      <c r="LP134" s="11"/>
      <c r="LQ134" s="13"/>
      <c r="LR134" s="11"/>
      <c r="LS134" s="11"/>
      <c r="LT134" s="13"/>
      <c r="LU134" s="11"/>
      <c r="LV134" s="12"/>
      <c r="LW134" s="12"/>
    </row>
    <row r="135">
      <c r="A135" s="10" t="s">
        <v>139</v>
      </c>
      <c r="B135" s="10" t="s">
        <v>129</v>
      </c>
      <c r="C135" s="10" t="s">
        <v>77</v>
      </c>
      <c r="D135" s="11"/>
      <c r="E135" s="11">
        <f>=ROUNDDOWN({0},0)</f>
      </c>
      <c r="F135" s="11"/>
      <c r="G135" s="12"/>
      <c r="H135" s="11"/>
      <c r="I135" s="11">
        <f>=ROUNDDOWN({0},0)</f>
      </c>
      <c r="J135" s="11"/>
      <c r="K135" s="12"/>
      <c r="L135" s="11"/>
      <c r="M135" s="13"/>
      <c r="N135" s="11"/>
      <c r="O135" s="14"/>
      <c r="P135" s="11"/>
      <c r="Q135" s="13"/>
      <c r="R135" s="11"/>
      <c r="S135" s="14"/>
      <c r="T135" s="12"/>
      <c r="U135" s="12"/>
      <c r="V135" s="12"/>
      <c r="W135" s="12"/>
      <c r="X135" s="11"/>
      <c r="Y135" s="13"/>
      <c r="Z135" s="11"/>
      <c r="AA135" s="11"/>
      <c r="AB135" s="13"/>
      <c r="AC135" s="11"/>
      <c r="AD135" s="12"/>
      <c r="AE135" s="12"/>
      <c r="AF135" s="11"/>
      <c r="AG135" s="13"/>
      <c r="AH135" s="11"/>
      <c r="AI135" s="11"/>
      <c r="AJ135" s="13"/>
      <c r="AK135" s="11"/>
      <c r="AL135" s="12"/>
      <c r="AM135" s="12"/>
      <c r="AN135" s="11"/>
      <c r="AO135" s="13"/>
      <c r="AP135" s="11"/>
      <c r="AQ135" s="11"/>
      <c r="AR135" s="13"/>
      <c r="AS135" s="11"/>
      <c r="AT135" s="12"/>
      <c r="AU135" s="12"/>
      <c r="AV135" s="11"/>
      <c r="AW135" s="13"/>
      <c r="AX135" s="11"/>
      <c r="AY135" s="11"/>
      <c r="AZ135" s="13"/>
      <c r="BA135" s="11"/>
      <c r="BB135" s="12"/>
      <c r="BC135" s="12"/>
      <c r="BD135" s="11"/>
      <c r="BE135" s="13"/>
      <c r="BF135" s="11"/>
      <c r="BG135" s="11"/>
      <c r="BH135" s="13"/>
      <c r="BI135" s="11"/>
      <c r="BJ135" s="12"/>
      <c r="BK135" s="12"/>
      <c r="BL135" s="11"/>
      <c r="BM135" s="13"/>
      <c r="BN135" s="11"/>
      <c r="BO135" s="11"/>
      <c r="BP135" s="13"/>
      <c r="BQ135" s="11"/>
      <c r="BR135" s="12"/>
      <c r="BS135" s="12"/>
      <c r="BT135" s="11"/>
      <c r="BU135" s="13"/>
      <c r="BV135" s="11"/>
      <c r="BW135" s="11"/>
      <c r="BX135" s="13"/>
      <c r="BY135" s="11"/>
      <c r="BZ135" s="12"/>
      <c r="CA135" s="12"/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/>
      <c r="CM135" s="11"/>
      <c r="CN135" s="13"/>
      <c r="CO135" s="11"/>
      <c r="CP135" s="12"/>
      <c r="CQ135" s="12"/>
      <c r="CR135" s="11"/>
      <c r="CS135" s="13"/>
      <c r="CT135" s="11"/>
      <c r="CU135" s="11"/>
      <c r="CV135" s="13"/>
      <c r="CW135" s="11"/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/>
      <c r="DK135" s="11"/>
      <c r="DL135" s="13"/>
      <c r="DM135" s="11"/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/>
      <c r="EA135" s="11"/>
      <c r="EB135" s="13"/>
      <c r="EC135" s="11"/>
      <c r="ED135" s="12"/>
      <c r="EE135" s="12"/>
      <c r="EF135" s="11"/>
      <c r="EG135" s="13"/>
      <c r="EH135" s="11"/>
      <c r="EI135" s="11"/>
      <c r="EJ135" s="13"/>
      <c r="EK135" s="11"/>
      <c r="EL135" s="12"/>
      <c r="EM135" s="12"/>
      <c r="EN135" s="11"/>
      <c r="EO135" s="13"/>
      <c r="EP135" s="11"/>
      <c r="EQ135" s="11"/>
      <c r="ER135" s="13"/>
      <c r="ES135" s="11"/>
      <c r="ET135" s="12"/>
      <c r="EU135" s="12"/>
      <c r="EV135" s="11"/>
      <c r="EW135" s="13"/>
      <c r="EX135" s="11"/>
      <c r="EY135" s="11"/>
      <c r="EZ135" s="13"/>
      <c r="FA135" s="11"/>
      <c r="FB135" s="12"/>
      <c r="FC135" s="12"/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/>
      <c r="FO135" s="11"/>
      <c r="FP135" s="13"/>
      <c r="FQ135" s="11"/>
      <c r="FR135" s="12"/>
      <c r="FS135" s="12"/>
      <c r="FT135" s="11"/>
      <c r="FU135" s="13"/>
      <c r="FV135" s="11"/>
      <c r="FW135" s="11"/>
      <c r="FX135" s="13"/>
      <c r="FY135" s="11"/>
      <c r="FZ135" s="12"/>
      <c r="GA135" s="12"/>
      <c r="GB135" s="11"/>
      <c r="GC135" s="13"/>
      <c r="GD135" s="11"/>
      <c r="GE135" s="11"/>
      <c r="GF135" s="13"/>
      <c r="GG135" s="11"/>
      <c r="GH135" s="12"/>
      <c r="GI135" s="12"/>
      <c r="GJ135" s="11"/>
      <c r="GK135" s="13"/>
      <c r="GL135" s="11"/>
      <c r="GM135" s="11"/>
      <c r="GN135" s="13"/>
      <c r="GO135" s="11"/>
      <c r="GP135" s="12"/>
      <c r="GQ135" s="12"/>
      <c r="GR135" s="11"/>
      <c r="GS135" s="13"/>
      <c r="GT135" s="11"/>
      <c r="GU135" s="11"/>
      <c r="GV135" s="13"/>
      <c r="GW135" s="11"/>
      <c r="GX135" s="12"/>
      <c r="GY135" s="12"/>
      <c r="GZ135" s="11"/>
      <c r="HA135" s="13"/>
      <c r="HB135" s="11"/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/>
      <c r="JP135" s="13"/>
      <c r="JQ135" s="11"/>
      <c r="JR135" s="12"/>
      <c r="JS135" s="12"/>
      <c r="JT135" s="11"/>
      <c r="JU135" s="13"/>
      <c r="JV135" s="11"/>
      <c r="JW135" s="11"/>
      <c r="JX135" s="13"/>
      <c r="JY135" s="11"/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/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  <c r="LH135" s="11"/>
      <c r="LI135" s="13"/>
      <c r="LJ135" s="11"/>
      <c r="LK135" s="11"/>
      <c r="LL135" s="13"/>
      <c r="LM135" s="11"/>
      <c r="LN135" s="12"/>
      <c r="LO135" s="12"/>
      <c r="LP135" s="11"/>
      <c r="LQ135" s="13"/>
      <c r="LR135" s="11"/>
      <c r="LS135" s="11"/>
      <c r="LT135" s="13"/>
      <c r="LU135" s="11"/>
      <c r="LV135" s="12"/>
      <c r="LW135" s="12"/>
    </row>
    <row r="136">
      <c r="A136" s="10" t="s">
        <v>139</v>
      </c>
      <c r="B136" s="10" t="s">
        <v>130</v>
      </c>
      <c r="C136" s="10" t="s">
        <v>142</v>
      </c>
      <c r="D136" s="11"/>
      <c r="E136" s="11">
        <f>=ROUNDDOWN({0},0)</f>
      </c>
      <c r="F136" s="11"/>
      <c r="G136" s="12"/>
      <c r="H136" s="11"/>
      <c r="I136" s="11">
        <f>=ROUNDDOWN({0},0)</f>
      </c>
      <c r="J136" s="11"/>
      <c r="K136" s="12"/>
      <c r="L136" s="11"/>
      <c r="M136" s="13"/>
      <c r="N136" s="11"/>
      <c r="O136" s="14"/>
      <c r="P136" s="11"/>
      <c r="Q136" s="13"/>
      <c r="R136" s="11"/>
      <c r="S136" s="14"/>
      <c r="T136" s="12"/>
      <c r="U136" s="12"/>
      <c r="V136" s="12"/>
      <c r="W136" s="12"/>
      <c r="X136" s="11"/>
      <c r="Y136" s="13"/>
      <c r="Z136" s="11"/>
      <c r="AA136" s="11"/>
      <c r="AB136" s="13"/>
      <c r="AC136" s="11"/>
      <c r="AD136" s="12"/>
      <c r="AE136" s="12"/>
      <c r="AF136" s="11"/>
      <c r="AG136" s="13"/>
      <c r="AH136" s="11"/>
      <c r="AI136" s="11"/>
      <c r="AJ136" s="13"/>
      <c r="AK136" s="11"/>
      <c r="AL136" s="12"/>
      <c r="AM136" s="12"/>
      <c r="AN136" s="11"/>
      <c r="AO136" s="13"/>
      <c r="AP136" s="11"/>
      <c r="AQ136" s="11"/>
      <c r="AR136" s="13"/>
      <c r="AS136" s="11"/>
      <c r="AT136" s="12"/>
      <c r="AU136" s="12"/>
      <c r="AV136" s="11"/>
      <c r="AW136" s="13"/>
      <c r="AX136" s="11"/>
      <c r="AY136" s="11"/>
      <c r="AZ136" s="13"/>
      <c r="BA136" s="11"/>
      <c r="BB136" s="12"/>
      <c r="BC136" s="12"/>
      <c r="BD136" s="11"/>
      <c r="BE136" s="13"/>
      <c r="BF136" s="11"/>
      <c r="BG136" s="11"/>
      <c r="BH136" s="13"/>
      <c r="BI136" s="11"/>
      <c r="BJ136" s="12"/>
      <c r="BK136" s="12"/>
      <c r="BL136" s="11"/>
      <c r="BM136" s="13"/>
      <c r="BN136" s="11"/>
      <c r="BO136" s="11"/>
      <c r="BP136" s="13"/>
      <c r="BQ136" s="11"/>
      <c r="BR136" s="12"/>
      <c r="BS136" s="12"/>
      <c r="BT136" s="11"/>
      <c r="BU136" s="13"/>
      <c r="BV136" s="11"/>
      <c r="BW136" s="11"/>
      <c r="BX136" s="13"/>
      <c r="BY136" s="11"/>
      <c r="BZ136" s="12"/>
      <c r="CA136" s="12"/>
      <c r="CB136" s="11"/>
      <c r="CC136" s="13"/>
      <c r="CD136" s="11"/>
      <c r="CE136" s="11"/>
      <c r="CF136" s="13"/>
      <c r="CG136" s="11"/>
      <c r="CH136" s="12"/>
      <c r="CI136" s="12"/>
      <c r="CJ136" s="11"/>
      <c r="CK136" s="13"/>
      <c r="CL136" s="11"/>
      <c r="CM136" s="11"/>
      <c r="CN136" s="13"/>
      <c r="CO136" s="11"/>
      <c r="CP136" s="12"/>
      <c r="CQ136" s="12"/>
      <c r="CR136" s="11"/>
      <c r="CS136" s="13"/>
      <c r="CT136" s="11"/>
      <c r="CU136" s="11"/>
      <c r="CV136" s="13"/>
      <c r="CW136" s="11"/>
      <c r="CX136" s="12"/>
      <c r="CY136" s="12"/>
      <c r="CZ136" s="11"/>
      <c r="DA136" s="13"/>
      <c r="DB136" s="11"/>
      <c r="DC136" s="11"/>
      <c r="DD136" s="13"/>
      <c r="DE136" s="11"/>
      <c r="DF136" s="12"/>
      <c r="DG136" s="12"/>
      <c r="DH136" s="11"/>
      <c r="DI136" s="13"/>
      <c r="DJ136" s="11"/>
      <c r="DK136" s="11"/>
      <c r="DL136" s="13"/>
      <c r="DM136" s="11"/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/>
      <c r="DY136" s="13"/>
      <c r="DZ136" s="11"/>
      <c r="EA136" s="11"/>
      <c r="EB136" s="13"/>
      <c r="EC136" s="11"/>
      <c r="ED136" s="12"/>
      <c r="EE136" s="12"/>
      <c r="EF136" s="11"/>
      <c r="EG136" s="13"/>
      <c r="EH136" s="11"/>
      <c r="EI136" s="11"/>
      <c r="EJ136" s="13"/>
      <c r="EK136" s="11"/>
      <c r="EL136" s="12"/>
      <c r="EM136" s="12"/>
      <c r="EN136" s="11"/>
      <c r="EO136" s="13"/>
      <c r="EP136" s="11"/>
      <c r="EQ136" s="11"/>
      <c r="ER136" s="13"/>
      <c r="ES136" s="11"/>
      <c r="ET136" s="12"/>
      <c r="EU136" s="12"/>
      <c r="EV136" s="11"/>
      <c r="EW136" s="13"/>
      <c r="EX136" s="11"/>
      <c r="EY136" s="11"/>
      <c r="EZ136" s="13"/>
      <c r="FA136" s="11"/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/>
      <c r="FM136" s="13"/>
      <c r="FN136" s="11"/>
      <c r="FO136" s="11"/>
      <c r="FP136" s="13"/>
      <c r="FQ136" s="11"/>
      <c r="FR136" s="12"/>
      <c r="FS136" s="12"/>
      <c r="FT136" s="11"/>
      <c r="FU136" s="13"/>
      <c r="FV136" s="11"/>
      <c r="FW136" s="11"/>
      <c r="FX136" s="13"/>
      <c r="FY136" s="11"/>
      <c r="FZ136" s="12"/>
      <c r="GA136" s="12"/>
      <c r="GB136" s="11"/>
      <c r="GC136" s="13"/>
      <c r="GD136" s="11"/>
      <c r="GE136" s="11"/>
      <c r="GF136" s="13"/>
      <c r="GG136" s="11"/>
      <c r="GH136" s="12"/>
      <c r="GI136" s="12"/>
      <c r="GJ136" s="11"/>
      <c r="GK136" s="13"/>
      <c r="GL136" s="11"/>
      <c r="GM136" s="11"/>
      <c r="GN136" s="13"/>
      <c r="GO136" s="11"/>
      <c r="GP136" s="12"/>
      <c r="GQ136" s="12"/>
      <c r="GR136" s="11"/>
      <c r="GS136" s="13"/>
      <c r="GT136" s="11"/>
      <c r="GU136" s="11"/>
      <c r="GV136" s="13"/>
      <c r="GW136" s="11"/>
      <c r="GX136" s="12"/>
      <c r="GY136" s="12"/>
      <c r="GZ136" s="11"/>
      <c r="HA136" s="13"/>
      <c r="HB136" s="11"/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/>
      <c r="HN136" s="12"/>
      <c r="HO136" s="12"/>
      <c r="HP136" s="11"/>
      <c r="HQ136" s="13"/>
      <c r="HR136" s="11"/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/>
      <c r="JO136" s="11"/>
      <c r="JP136" s="13"/>
      <c r="JQ136" s="11"/>
      <c r="JR136" s="12"/>
      <c r="JS136" s="12"/>
      <c r="JT136" s="11"/>
      <c r="JU136" s="13"/>
      <c r="JV136" s="11"/>
      <c r="JW136" s="11"/>
      <c r="JX136" s="13"/>
      <c r="JY136" s="11"/>
      <c r="JZ136" s="12"/>
      <c r="KA136" s="12"/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  <c r="LH136" s="11"/>
      <c r="LI136" s="13"/>
      <c r="LJ136" s="11"/>
      <c r="LK136" s="11"/>
      <c r="LL136" s="13"/>
      <c r="LM136" s="11"/>
      <c r="LN136" s="12"/>
      <c r="LO136" s="12"/>
      <c r="LP136" s="11"/>
      <c r="LQ136" s="13"/>
      <c r="LR136" s="11"/>
      <c r="LS136" s="11"/>
      <c r="LT136" s="13"/>
      <c r="LU136" s="11"/>
      <c r="LV136" s="12"/>
      <c r="LW136" s="12"/>
    </row>
    <row r="137">
      <c r="A137" s="10" t="s">
        <v>139</v>
      </c>
      <c r="B137" s="10" t="s">
        <v>131</v>
      </c>
      <c r="C137" s="10" t="s">
        <v>77</v>
      </c>
      <c r="D137" s="11"/>
      <c r="E137" s="11">
        <f>=ROUNDDOWN({0},0)</f>
      </c>
      <c r="F137" s="11"/>
      <c r="G137" s="12"/>
      <c r="H137" s="11"/>
      <c r="I137" s="11">
        <f>=ROUNDDOWN({0},0)</f>
      </c>
      <c r="J137" s="11"/>
      <c r="K137" s="12"/>
      <c r="L137" s="11"/>
      <c r="M137" s="13"/>
      <c r="N137" s="11"/>
      <c r="O137" s="14"/>
      <c r="P137" s="11"/>
      <c r="Q137" s="13"/>
      <c r="R137" s="11"/>
      <c r="S137" s="14"/>
      <c r="T137" s="12"/>
      <c r="U137" s="12"/>
      <c r="V137" s="12"/>
      <c r="W137" s="12"/>
      <c r="X137" s="11"/>
      <c r="Y137" s="13"/>
      <c r="Z137" s="11"/>
      <c r="AA137" s="11"/>
      <c r="AB137" s="13"/>
      <c r="AC137" s="11"/>
      <c r="AD137" s="12"/>
      <c r="AE137" s="12"/>
      <c r="AF137" s="11"/>
      <c r="AG137" s="13"/>
      <c r="AH137" s="11"/>
      <c r="AI137" s="11"/>
      <c r="AJ137" s="13"/>
      <c r="AK137" s="11"/>
      <c r="AL137" s="12"/>
      <c r="AM137" s="12"/>
      <c r="AN137" s="11"/>
      <c r="AO137" s="13"/>
      <c r="AP137" s="11"/>
      <c r="AQ137" s="11"/>
      <c r="AR137" s="13"/>
      <c r="AS137" s="11"/>
      <c r="AT137" s="12"/>
      <c r="AU137" s="12"/>
      <c r="AV137" s="11"/>
      <c r="AW137" s="13"/>
      <c r="AX137" s="11"/>
      <c r="AY137" s="11"/>
      <c r="AZ137" s="13"/>
      <c r="BA137" s="11"/>
      <c r="BB137" s="12"/>
      <c r="BC137" s="12"/>
      <c r="BD137" s="11"/>
      <c r="BE137" s="13"/>
      <c r="BF137" s="11"/>
      <c r="BG137" s="11"/>
      <c r="BH137" s="13"/>
      <c r="BI137" s="11"/>
      <c r="BJ137" s="12"/>
      <c r="BK137" s="12"/>
      <c r="BL137" s="11"/>
      <c r="BM137" s="13"/>
      <c r="BN137" s="11"/>
      <c r="BO137" s="11"/>
      <c r="BP137" s="13"/>
      <c r="BQ137" s="11"/>
      <c r="BR137" s="12"/>
      <c r="BS137" s="12"/>
      <c r="BT137" s="11"/>
      <c r="BU137" s="13"/>
      <c r="BV137" s="11"/>
      <c r="BW137" s="11"/>
      <c r="BX137" s="13"/>
      <c r="BY137" s="11"/>
      <c r="BZ137" s="12"/>
      <c r="CA137" s="12"/>
      <c r="CB137" s="11"/>
      <c r="CC137" s="13"/>
      <c r="CD137" s="11"/>
      <c r="CE137" s="11"/>
      <c r="CF137" s="13"/>
      <c r="CG137" s="11"/>
      <c r="CH137" s="12"/>
      <c r="CI137" s="12"/>
      <c r="CJ137" s="11"/>
      <c r="CK137" s="13"/>
      <c r="CL137" s="11"/>
      <c r="CM137" s="11"/>
      <c r="CN137" s="13"/>
      <c r="CO137" s="11"/>
      <c r="CP137" s="12"/>
      <c r="CQ137" s="12"/>
      <c r="CR137" s="11"/>
      <c r="CS137" s="13"/>
      <c r="CT137" s="11"/>
      <c r="CU137" s="11"/>
      <c r="CV137" s="13"/>
      <c r="CW137" s="11"/>
      <c r="CX137" s="12"/>
      <c r="CY137" s="12"/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/>
      <c r="DK137" s="11"/>
      <c r="DL137" s="13"/>
      <c r="DM137" s="11"/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/>
      <c r="DY137" s="13"/>
      <c r="DZ137" s="11"/>
      <c r="EA137" s="11"/>
      <c r="EB137" s="13"/>
      <c r="EC137" s="11"/>
      <c r="ED137" s="12"/>
      <c r="EE137" s="12"/>
      <c r="EF137" s="11"/>
      <c r="EG137" s="13"/>
      <c r="EH137" s="11"/>
      <c r="EI137" s="11"/>
      <c r="EJ137" s="13"/>
      <c r="EK137" s="11"/>
      <c r="EL137" s="12"/>
      <c r="EM137" s="12"/>
      <c r="EN137" s="11"/>
      <c r="EO137" s="13"/>
      <c r="EP137" s="11"/>
      <c r="EQ137" s="11"/>
      <c r="ER137" s="13"/>
      <c r="ES137" s="11"/>
      <c r="ET137" s="12"/>
      <c r="EU137" s="12"/>
      <c r="EV137" s="11"/>
      <c r="EW137" s="13"/>
      <c r="EX137" s="11"/>
      <c r="EY137" s="11"/>
      <c r="EZ137" s="13"/>
      <c r="FA137" s="11"/>
      <c r="FB137" s="12"/>
      <c r="FC137" s="12"/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/>
      <c r="FO137" s="11"/>
      <c r="FP137" s="13"/>
      <c r="FQ137" s="11"/>
      <c r="FR137" s="12"/>
      <c r="FS137" s="12"/>
      <c r="FT137" s="11"/>
      <c r="FU137" s="13"/>
      <c r="FV137" s="11"/>
      <c r="FW137" s="11"/>
      <c r="FX137" s="13"/>
      <c r="FY137" s="11"/>
      <c r="FZ137" s="12"/>
      <c r="GA137" s="12"/>
      <c r="GB137" s="11"/>
      <c r="GC137" s="13"/>
      <c r="GD137" s="11"/>
      <c r="GE137" s="11"/>
      <c r="GF137" s="13"/>
      <c r="GG137" s="11"/>
      <c r="GH137" s="12"/>
      <c r="GI137" s="12"/>
      <c r="GJ137" s="11"/>
      <c r="GK137" s="13"/>
      <c r="GL137" s="11"/>
      <c r="GM137" s="11"/>
      <c r="GN137" s="13"/>
      <c r="GO137" s="11"/>
      <c r="GP137" s="12"/>
      <c r="GQ137" s="12"/>
      <c r="GR137" s="11"/>
      <c r="GS137" s="13"/>
      <c r="GT137" s="11"/>
      <c r="GU137" s="11"/>
      <c r="GV137" s="13"/>
      <c r="GW137" s="11"/>
      <c r="GX137" s="12"/>
      <c r="GY137" s="12"/>
      <c r="GZ137" s="11"/>
      <c r="HA137" s="13"/>
      <c r="HB137" s="11"/>
      <c r="HC137" s="11"/>
      <c r="HD137" s="13"/>
      <c r="HE137" s="11"/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/>
      <c r="JO137" s="11"/>
      <c r="JP137" s="13"/>
      <c r="JQ137" s="11"/>
      <c r="JR137" s="12"/>
      <c r="JS137" s="12"/>
      <c r="JT137" s="11"/>
      <c r="JU137" s="13"/>
      <c r="JV137" s="11"/>
      <c r="JW137" s="11"/>
      <c r="JX137" s="13"/>
      <c r="JY137" s="11"/>
      <c r="JZ137" s="12"/>
      <c r="KA137" s="12"/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/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  <c r="LH137" s="11"/>
      <c r="LI137" s="13"/>
      <c r="LJ137" s="11"/>
      <c r="LK137" s="11"/>
      <c r="LL137" s="13"/>
      <c r="LM137" s="11"/>
      <c r="LN137" s="12"/>
      <c r="LO137" s="12"/>
      <c r="LP137" s="11"/>
      <c r="LQ137" s="13"/>
      <c r="LR137" s="11"/>
      <c r="LS137" s="11"/>
      <c r="LT137" s="13"/>
      <c r="LU137" s="11"/>
      <c r="LV137" s="12"/>
      <c r="LW137" s="12"/>
    </row>
    <row r="138">
      <c r="A138" s="10" t="s">
        <v>153</v>
      </c>
      <c r="B138" s="10" t="s">
        <v>77</v>
      </c>
      <c r="C138" s="10" t="s">
        <v>77</v>
      </c>
      <c r="D138" s="11">
        <v>76553</v>
      </c>
      <c r="E138" s="11">
        <f>=ROUNDDOWN({0},0)</f>
      </c>
      <c r="F138" s="11"/>
      <c r="G138" s="12"/>
      <c r="H138" s="11"/>
      <c r="I138" s="11">
        <f>=ROUNDDOWN({0},0)</f>
      </c>
      <c r="J138" s="11"/>
      <c r="K138" s="12"/>
      <c r="L138" s="11">
        <v>4644</v>
      </c>
      <c r="M138" s="13">
        <v>66856.18</v>
      </c>
      <c r="N138" s="11">
        <v>408</v>
      </c>
      <c r="O138" s="14">
        <v>163.86</v>
      </c>
      <c r="P138" s="11"/>
      <c r="Q138" s="13"/>
      <c r="R138" s="11"/>
      <c r="S138" s="14"/>
      <c r="T138" s="12"/>
      <c r="U138" s="12"/>
      <c r="V138" s="12"/>
      <c r="W138" s="12"/>
      <c r="X138" s="11">
        <v>314</v>
      </c>
      <c r="Y138" s="13">
        <v>5062.89</v>
      </c>
      <c r="Z138" s="11">
        <v>201</v>
      </c>
      <c r="AA138" s="11"/>
      <c r="AB138" s="13"/>
      <c r="AC138" s="11"/>
      <c r="AD138" s="12"/>
      <c r="AE138" s="12"/>
      <c r="AF138" s="11">
        <v>32</v>
      </c>
      <c r="AG138" s="13">
        <v>623.57</v>
      </c>
      <c r="AH138" s="11">
        <v>73</v>
      </c>
      <c r="AI138" s="11"/>
      <c r="AJ138" s="13"/>
      <c r="AK138" s="11"/>
      <c r="AL138" s="12"/>
      <c r="AM138" s="12"/>
      <c r="AN138" s="11">
        <v>3</v>
      </c>
      <c r="AO138" s="13">
        <v>53.04</v>
      </c>
      <c r="AP138" s="11">
        <v>8</v>
      </c>
      <c r="AQ138" s="11"/>
      <c r="AR138" s="13"/>
      <c r="AS138" s="11"/>
      <c r="AT138" s="12"/>
      <c r="AU138" s="12"/>
      <c r="AV138" s="11"/>
      <c r="AW138" s="13"/>
      <c r="AX138" s="11"/>
      <c r="AY138" s="11"/>
      <c r="AZ138" s="13"/>
      <c r="BA138" s="11"/>
      <c r="BB138" s="12"/>
      <c r="BC138" s="12"/>
      <c r="BD138" s="11">
        <v>3398</v>
      </c>
      <c r="BE138" s="13">
        <v>45303.05</v>
      </c>
      <c r="BF138" s="11">
        <v>408</v>
      </c>
      <c r="BG138" s="11"/>
      <c r="BH138" s="13"/>
      <c r="BI138" s="11"/>
      <c r="BJ138" s="12"/>
      <c r="BK138" s="12"/>
      <c r="BL138" s="11">
        <v>100</v>
      </c>
      <c r="BM138" s="13">
        <v>1785.81</v>
      </c>
      <c r="BN138" s="11">
        <v>73</v>
      </c>
      <c r="BO138" s="11"/>
      <c r="BP138" s="13"/>
      <c r="BQ138" s="11"/>
      <c r="BR138" s="12"/>
      <c r="BS138" s="12"/>
      <c r="BT138" s="11"/>
      <c r="BU138" s="13"/>
      <c r="BV138" s="11"/>
      <c r="BW138" s="11"/>
      <c r="BX138" s="13"/>
      <c r="BY138" s="11"/>
      <c r="BZ138" s="12"/>
      <c r="CA138" s="12"/>
      <c r="CB138" s="11">
        <v>795</v>
      </c>
      <c r="CC138" s="13">
        <v>13988.96</v>
      </c>
      <c r="CD138" s="11">
        <v>47</v>
      </c>
      <c r="CE138" s="11"/>
      <c r="CF138" s="13"/>
      <c r="CG138" s="11"/>
      <c r="CH138" s="12"/>
      <c r="CI138" s="12"/>
      <c r="CJ138" s="11"/>
      <c r="CK138" s="13"/>
      <c r="CL138" s="11">
        <v>55</v>
      </c>
      <c r="CM138" s="11"/>
      <c r="CN138" s="13"/>
      <c r="CO138" s="11"/>
      <c r="CP138" s="12"/>
      <c r="CQ138" s="12"/>
      <c r="CR138" s="11"/>
      <c r="CS138" s="13"/>
      <c r="CT138" s="11"/>
      <c r="CU138" s="11"/>
      <c r="CV138" s="13"/>
      <c r="CW138" s="11"/>
      <c r="CX138" s="12"/>
      <c r="CY138" s="12"/>
      <c r="CZ138" s="11"/>
      <c r="DA138" s="13"/>
      <c r="DB138" s="11">
        <v>23</v>
      </c>
      <c r="DC138" s="11"/>
      <c r="DD138" s="13"/>
      <c r="DE138" s="11"/>
      <c r="DF138" s="12"/>
      <c r="DG138" s="12"/>
      <c r="DH138" s="11"/>
      <c r="DI138" s="13"/>
      <c r="DJ138" s="11"/>
      <c r="DK138" s="11"/>
      <c r="DL138" s="13"/>
      <c r="DM138" s="11"/>
      <c r="DN138" s="12"/>
      <c r="DO138" s="12"/>
      <c r="DP138" s="11">
        <v>2</v>
      </c>
      <c r="DQ138" s="13">
        <v>38.86</v>
      </c>
      <c r="DR138" s="11">
        <v>101</v>
      </c>
      <c r="DS138" s="11"/>
      <c r="DT138" s="13"/>
      <c r="DU138" s="11"/>
      <c r="DV138" s="12"/>
      <c r="DW138" s="12"/>
      <c r="DX138" s="11"/>
      <c r="DY138" s="13"/>
      <c r="DZ138" s="11">
        <v>61</v>
      </c>
      <c r="EA138" s="11"/>
      <c r="EB138" s="13"/>
      <c r="EC138" s="11"/>
      <c r="ED138" s="12"/>
      <c r="EE138" s="12"/>
      <c r="EF138" s="11"/>
      <c r="EG138" s="13"/>
      <c r="EH138" s="11"/>
      <c r="EI138" s="11"/>
      <c r="EJ138" s="13"/>
      <c r="EK138" s="11"/>
      <c r="EL138" s="12"/>
      <c r="EM138" s="12"/>
      <c r="EN138" s="11"/>
      <c r="EO138" s="13"/>
      <c r="EP138" s="11">
        <v>3</v>
      </c>
      <c r="EQ138" s="11"/>
      <c r="ER138" s="13"/>
      <c r="ES138" s="11"/>
      <c r="ET138" s="12"/>
      <c r="EU138" s="12"/>
      <c r="EV138" s="11"/>
      <c r="EW138" s="13"/>
      <c r="EX138" s="11">
        <v>1</v>
      </c>
      <c r="EY138" s="11"/>
      <c r="EZ138" s="13"/>
      <c r="FA138" s="11"/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/>
      <c r="FO138" s="11"/>
      <c r="FP138" s="13"/>
      <c r="FQ138" s="11"/>
      <c r="FR138" s="12"/>
      <c r="FS138" s="12"/>
      <c r="FT138" s="11"/>
      <c r="FU138" s="13"/>
      <c r="FV138" s="11"/>
      <c r="FW138" s="11"/>
      <c r="FX138" s="13"/>
      <c r="FY138" s="11"/>
      <c r="FZ138" s="12"/>
      <c r="GA138" s="12"/>
      <c r="GB138" s="11"/>
      <c r="GC138" s="13"/>
      <c r="GD138" s="11"/>
      <c r="GE138" s="11"/>
      <c r="GF138" s="13"/>
      <c r="GG138" s="11"/>
      <c r="GH138" s="12"/>
      <c r="GI138" s="12"/>
      <c r="GJ138" s="11"/>
      <c r="GK138" s="13"/>
      <c r="GL138" s="11"/>
      <c r="GM138" s="11"/>
      <c r="GN138" s="13"/>
      <c r="GO138" s="11"/>
      <c r="GP138" s="12"/>
      <c r="GQ138" s="12"/>
      <c r="GR138" s="11"/>
      <c r="GS138" s="13"/>
      <c r="GT138" s="11"/>
      <c r="GU138" s="11"/>
      <c r="GV138" s="13"/>
      <c r="GW138" s="11"/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/>
      <c r="JO138" s="11"/>
      <c r="JP138" s="13"/>
      <c r="JQ138" s="11"/>
      <c r="JR138" s="12"/>
      <c r="JS138" s="12"/>
      <c r="JT138" s="11"/>
      <c r="JU138" s="13"/>
      <c r="JV138" s="11"/>
      <c r="JW138" s="11"/>
      <c r="JX138" s="13"/>
      <c r="JY138" s="11"/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  <c r="LH138" s="11"/>
      <c r="LI138" s="13"/>
      <c r="LJ138" s="11"/>
      <c r="LK138" s="11"/>
      <c r="LL138" s="13"/>
      <c r="LM138" s="11"/>
      <c r="LN138" s="12"/>
      <c r="LO138" s="12"/>
      <c r="LP138" s="11"/>
      <c r="LQ138" s="13"/>
      <c r="LR138" s="11"/>
      <c r="LS138" s="11"/>
      <c r="LT138" s="13"/>
      <c r="LU138" s="11"/>
      <c r="LV138" s="12"/>
      <c r="LW138" s="12"/>
    </row>
    <row r="139">
      <c r="A139" s="10" t="s">
        <v>154</v>
      </c>
      <c r="B139" s="10" t="s">
        <v>107</v>
      </c>
      <c r="C139" s="10" t="s">
        <v>155</v>
      </c>
      <c r="D139" s="11">
        <v>734</v>
      </c>
      <c r="E139" s="11">
        <f>=ROUNDDOWN(12.9225352112676,0)</f>
      </c>
      <c r="F139" s="11">
        <v>1070</v>
      </c>
      <c r="G139" s="12">
        <v>0.9583</v>
      </c>
      <c r="H139" s="11"/>
      <c r="I139" s="11">
        <f>=ROUNDDOWN({0},0)</f>
      </c>
      <c r="J139" s="11"/>
      <c r="K139" s="12"/>
      <c r="L139" s="11">
        <v>749</v>
      </c>
      <c r="M139" s="13">
        <v>31821.72</v>
      </c>
      <c r="N139" s="11">
        <v>5</v>
      </c>
      <c r="O139" s="14">
        <v>6364.34</v>
      </c>
      <c r="P139" s="11"/>
      <c r="Q139" s="13"/>
      <c r="R139" s="11"/>
      <c r="S139" s="14"/>
      <c r="T139" s="12"/>
      <c r="U139" s="12"/>
      <c r="V139" s="12"/>
      <c r="W139" s="12"/>
      <c r="X139" s="11">
        <v>177</v>
      </c>
      <c r="Y139" s="13">
        <v>7444.23</v>
      </c>
      <c r="Z139" s="11">
        <v>2</v>
      </c>
      <c r="AA139" s="11"/>
      <c r="AB139" s="13"/>
      <c r="AC139" s="11"/>
      <c r="AD139" s="12"/>
      <c r="AE139" s="12"/>
      <c r="AF139" s="11">
        <v>197</v>
      </c>
      <c r="AG139" s="13">
        <v>7656.6</v>
      </c>
      <c r="AH139" s="11">
        <v>5</v>
      </c>
      <c r="AI139" s="11"/>
      <c r="AJ139" s="13"/>
      <c r="AK139" s="11"/>
      <c r="AL139" s="12"/>
      <c r="AM139" s="12"/>
      <c r="AN139" s="11">
        <v>112</v>
      </c>
      <c r="AO139" s="13">
        <v>3432.69</v>
      </c>
      <c r="AP139" s="11">
        <v>5</v>
      </c>
      <c r="AQ139" s="11"/>
      <c r="AR139" s="13"/>
      <c r="AS139" s="11"/>
      <c r="AT139" s="12"/>
      <c r="AU139" s="12"/>
      <c r="AV139" s="11">
        <v>32</v>
      </c>
      <c r="AW139" s="13">
        <v>1933.99</v>
      </c>
      <c r="AX139" s="11">
        <v>5</v>
      </c>
      <c r="AY139" s="11"/>
      <c r="AZ139" s="13"/>
      <c r="BA139" s="11"/>
      <c r="BB139" s="12"/>
      <c r="BC139" s="12"/>
      <c r="BD139" s="11">
        <v>13</v>
      </c>
      <c r="BE139" s="13">
        <v>729.5</v>
      </c>
      <c r="BF139" s="11">
        <v>5</v>
      </c>
      <c r="BG139" s="11"/>
      <c r="BH139" s="13"/>
      <c r="BI139" s="11"/>
      <c r="BJ139" s="12"/>
      <c r="BK139" s="12"/>
      <c r="BL139" s="11">
        <v>14</v>
      </c>
      <c r="BM139" s="13">
        <v>891.11</v>
      </c>
      <c r="BN139" s="11">
        <v>5</v>
      </c>
      <c r="BO139" s="11"/>
      <c r="BP139" s="13"/>
      <c r="BQ139" s="11"/>
      <c r="BR139" s="12"/>
      <c r="BS139" s="12"/>
      <c r="BT139" s="11">
        <v>97</v>
      </c>
      <c r="BU139" s="13">
        <v>5255.88</v>
      </c>
      <c r="BV139" s="11">
        <v>5</v>
      </c>
      <c r="BW139" s="11"/>
      <c r="BX139" s="13"/>
      <c r="BY139" s="11"/>
      <c r="BZ139" s="12"/>
      <c r="CA139" s="12"/>
      <c r="CB139" s="11"/>
      <c r="CC139" s="13"/>
      <c r="CD139" s="11">
        <v>1</v>
      </c>
      <c r="CE139" s="11"/>
      <c r="CF139" s="13"/>
      <c r="CG139" s="11"/>
      <c r="CH139" s="12"/>
      <c r="CI139" s="12"/>
      <c r="CJ139" s="11">
        <v>6</v>
      </c>
      <c r="CK139" s="13">
        <v>675.26</v>
      </c>
      <c r="CL139" s="11">
        <v>5</v>
      </c>
      <c r="CM139" s="11"/>
      <c r="CN139" s="13"/>
      <c r="CO139" s="11"/>
      <c r="CP139" s="12"/>
      <c r="CQ139" s="12"/>
      <c r="CR139" s="11"/>
      <c r="CS139" s="13"/>
      <c r="CT139" s="11"/>
      <c r="CU139" s="11"/>
      <c r="CV139" s="13"/>
      <c r="CW139" s="11"/>
      <c r="CX139" s="12"/>
      <c r="CY139" s="12"/>
      <c r="CZ139" s="11">
        <v>69</v>
      </c>
      <c r="DA139" s="13">
        <v>2459.54</v>
      </c>
      <c r="DB139" s="11">
        <v>3</v>
      </c>
      <c r="DC139" s="11"/>
      <c r="DD139" s="13"/>
      <c r="DE139" s="11"/>
      <c r="DF139" s="12"/>
      <c r="DG139" s="12"/>
      <c r="DH139" s="11">
        <v>3</v>
      </c>
      <c r="DI139" s="13">
        <v>75.99</v>
      </c>
      <c r="DJ139" s="11">
        <v>3</v>
      </c>
      <c r="DK139" s="11"/>
      <c r="DL139" s="13"/>
      <c r="DM139" s="11"/>
      <c r="DN139" s="12"/>
      <c r="DO139" s="12"/>
      <c r="DP139" s="11"/>
      <c r="DQ139" s="13"/>
      <c r="DR139" s="11">
        <v>3</v>
      </c>
      <c r="DS139" s="11"/>
      <c r="DT139" s="13"/>
      <c r="DU139" s="11"/>
      <c r="DV139" s="12"/>
      <c r="DW139" s="12"/>
      <c r="DX139" s="11">
        <v>1</v>
      </c>
      <c r="DY139" s="13">
        <v>52.26</v>
      </c>
      <c r="DZ139" s="11"/>
      <c r="EA139" s="11"/>
      <c r="EB139" s="13"/>
      <c r="EC139" s="11"/>
      <c r="ED139" s="12"/>
      <c r="EE139" s="12"/>
      <c r="EF139" s="11"/>
      <c r="EG139" s="13"/>
      <c r="EH139" s="11"/>
      <c r="EI139" s="11"/>
      <c r="EJ139" s="13"/>
      <c r="EK139" s="11"/>
      <c r="EL139" s="12"/>
      <c r="EM139" s="12"/>
      <c r="EN139" s="11">
        <v>6</v>
      </c>
      <c r="EO139" s="13">
        <v>269.94</v>
      </c>
      <c r="EP139" s="11">
        <v>5</v>
      </c>
      <c r="EQ139" s="11"/>
      <c r="ER139" s="13"/>
      <c r="ES139" s="11"/>
      <c r="ET139" s="12"/>
      <c r="EU139" s="12"/>
      <c r="EV139" s="11"/>
      <c r="EW139" s="13"/>
      <c r="EX139" s="11"/>
      <c r="EY139" s="11"/>
      <c r="EZ139" s="13"/>
      <c r="FA139" s="11"/>
      <c r="FB139" s="12"/>
      <c r="FC139" s="12"/>
      <c r="FD139" s="11"/>
      <c r="FE139" s="13"/>
      <c r="FF139" s="11"/>
      <c r="FG139" s="11"/>
      <c r="FH139" s="13"/>
      <c r="FI139" s="11"/>
      <c r="FJ139" s="12"/>
      <c r="FK139" s="12"/>
      <c r="FL139" s="11">
        <v>7</v>
      </c>
      <c r="FM139" s="13">
        <v>295.19</v>
      </c>
      <c r="FN139" s="11">
        <v>1</v>
      </c>
      <c r="FO139" s="11"/>
      <c r="FP139" s="13"/>
      <c r="FQ139" s="11"/>
      <c r="FR139" s="12"/>
      <c r="FS139" s="12"/>
      <c r="FT139" s="11">
        <v>8</v>
      </c>
      <c r="FU139" s="13">
        <v>326.98</v>
      </c>
      <c r="FV139" s="11">
        <v>5</v>
      </c>
      <c r="FW139" s="11"/>
      <c r="FX139" s="13"/>
      <c r="FY139" s="11"/>
      <c r="FZ139" s="12"/>
      <c r="GA139" s="12"/>
      <c r="GB139" s="11">
        <v>1</v>
      </c>
      <c r="GC139" s="13">
        <v>42.17</v>
      </c>
      <c r="GD139" s="11">
        <v>3</v>
      </c>
      <c r="GE139" s="11"/>
      <c r="GF139" s="13"/>
      <c r="GG139" s="11"/>
      <c r="GH139" s="12"/>
      <c r="GI139" s="12"/>
      <c r="GJ139" s="11">
        <v>5</v>
      </c>
      <c r="GK139" s="13">
        <v>236.77</v>
      </c>
      <c r="GL139" s="11">
        <v>5</v>
      </c>
      <c r="GM139" s="11"/>
      <c r="GN139" s="13"/>
      <c r="GO139" s="11"/>
      <c r="GP139" s="12"/>
      <c r="GQ139" s="12"/>
      <c r="GR139" s="11">
        <v>1</v>
      </c>
      <c r="GS139" s="13">
        <v>43.62</v>
      </c>
      <c r="GT139" s="11">
        <v>1</v>
      </c>
      <c r="GU139" s="11"/>
      <c r="GV139" s="13"/>
      <c r="GW139" s="11"/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>
        <v>1</v>
      </c>
      <c r="JG139" s="11"/>
      <c r="JH139" s="13"/>
      <c r="JI139" s="11"/>
      <c r="JJ139" s="12"/>
      <c r="JK139" s="12"/>
      <c r="JL139" s="11"/>
      <c r="JM139" s="13"/>
      <c r="JN139" s="11"/>
      <c r="JO139" s="11"/>
      <c r="JP139" s="13"/>
      <c r="JQ139" s="11"/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  <c r="LH139" s="11"/>
      <c r="LI139" s="13"/>
      <c r="LJ139" s="11"/>
      <c r="LK139" s="11"/>
      <c r="LL139" s="13"/>
      <c r="LM139" s="11"/>
      <c r="LN139" s="12"/>
      <c r="LO139" s="12"/>
      <c r="LP139" s="11"/>
      <c r="LQ139" s="13"/>
      <c r="LR139" s="11"/>
      <c r="LS139" s="11"/>
      <c r="LT139" s="13"/>
      <c r="LU139" s="11"/>
      <c r="LV139" s="12"/>
      <c r="LW139" s="12"/>
    </row>
    <row r="140">
      <c r="A140" s="10" t="s">
        <v>154</v>
      </c>
      <c r="B140" s="10" t="s">
        <v>107</v>
      </c>
      <c r="C140" s="10" t="s">
        <v>156</v>
      </c>
      <c r="D140" s="11">
        <v>898</v>
      </c>
      <c r="E140" s="11">
        <f>=ROUNDDOWN(23.0848329048843,0)</f>
      </c>
      <c r="F140" s="11">
        <v>250</v>
      </c>
      <c r="G140" s="12">
        <v>0.9332</v>
      </c>
      <c r="H140" s="11"/>
      <c r="I140" s="11">
        <f>=ROUNDDOWN({0},0)</f>
      </c>
      <c r="J140" s="11"/>
      <c r="K140" s="12"/>
      <c r="L140" s="11">
        <v>440</v>
      </c>
      <c r="M140" s="13">
        <v>26123.34</v>
      </c>
      <c r="N140" s="11">
        <v>10</v>
      </c>
      <c r="O140" s="14">
        <v>2612.33</v>
      </c>
      <c r="P140" s="11"/>
      <c r="Q140" s="13"/>
      <c r="R140" s="11"/>
      <c r="S140" s="14"/>
      <c r="T140" s="12"/>
      <c r="U140" s="12"/>
      <c r="V140" s="12"/>
      <c r="W140" s="12"/>
      <c r="X140" s="11">
        <v>74</v>
      </c>
      <c r="Y140" s="13">
        <v>3920.53</v>
      </c>
      <c r="Z140" s="11">
        <v>8</v>
      </c>
      <c r="AA140" s="11"/>
      <c r="AB140" s="13"/>
      <c r="AC140" s="11"/>
      <c r="AD140" s="12"/>
      <c r="AE140" s="12"/>
      <c r="AF140" s="11">
        <v>34</v>
      </c>
      <c r="AG140" s="13">
        <v>1988.53</v>
      </c>
      <c r="AH140" s="11">
        <v>9</v>
      </c>
      <c r="AI140" s="11"/>
      <c r="AJ140" s="13"/>
      <c r="AK140" s="11"/>
      <c r="AL140" s="12"/>
      <c r="AM140" s="12"/>
      <c r="AN140" s="11">
        <v>29</v>
      </c>
      <c r="AO140" s="13">
        <v>1500.2</v>
      </c>
      <c r="AP140" s="11">
        <v>10</v>
      </c>
      <c r="AQ140" s="11"/>
      <c r="AR140" s="13"/>
      <c r="AS140" s="11"/>
      <c r="AT140" s="12"/>
      <c r="AU140" s="12"/>
      <c r="AV140" s="11">
        <v>31</v>
      </c>
      <c r="AW140" s="13">
        <v>2185.54</v>
      </c>
      <c r="AX140" s="11">
        <v>9</v>
      </c>
      <c r="AY140" s="11"/>
      <c r="AZ140" s="13"/>
      <c r="BA140" s="11"/>
      <c r="BB140" s="12"/>
      <c r="BC140" s="12"/>
      <c r="BD140" s="11">
        <v>6</v>
      </c>
      <c r="BE140" s="13">
        <v>323.86</v>
      </c>
      <c r="BF140" s="11">
        <v>8</v>
      </c>
      <c r="BG140" s="11"/>
      <c r="BH140" s="13"/>
      <c r="BI140" s="11"/>
      <c r="BJ140" s="12"/>
      <c r="BK140" s="12"/>
      <c r="BL140" s="11">
        <v>11</v>
      </c>
      <c r="BM140" s="13">
        <v>913.61</v>
      </c>
      <c r="BN140" s="11">
        <v>10</v>
      </c>
      <c r="BO140" s="11"/>
      <c r="BP140" s="13"/>
      <c r="BQ140" s="11"/>
      <c r="BR140" s="12"/>
      <c r="BS140" s="12"/>
      <c r="BT140" s="11">
        <v>42</v>
      </c>
      <c r="BU140" s="13">
        <v>2359.75</v>
      </c>
      <c r="BV140" s="11">
        <v>10</v>
      </c>
      <c r="BW140" s="11"/>
      <c r="BX140" s="13"/>
      <c r="BY140" s="11"/>
      <c r="BZ140" s="12"/>
      <c r="CA140" s="12"/>
      <c r="CB140" s="11">
        <v>8</v>
      </c>
      <c r="CC140" s="13">
        <v>604.73</v>
      </c>
      <c r="CD140" s="11">
        <v>4</v>
      </c>
      <c r="CE140" s="11"/>
      <c r="CF140" s="13"/>
      <c r="CG140" s="11"/>
      <c r="CH140" s="12"/>
      <c r="CI140" s="12"/>
      <c r="CJ140" s="11"/>
      <c r="CK140" s="13"/>
      <c r="CL140" s="11">
        <v>10</v>
      </c>
      <c r="CM140" s="11"/>
      <c r="CN140" s="13"/>
      <c r="CO140" s="11"/>
      <c r="CP140" s="12"/>
      <c r="CQ140" s="12"/>
      <c r="CR140" s="11"/>
      <c r="CS140" s="13"/>
      <c r="CT140" s="11"/>
      <c r="CU140" s="11"/>
      <c r="CV140" s="13"/>
      <c r="CW140" s="11"/>
      <c r="CX140" s="12"/>
      <c r="CY140" s="12"/>
      <c r="CZ140" s="11">
        <v>136</v>
      </c>
      <c r="DA140" s="13">
        <v>7617.87</v>
      </c>
      <c r="DB140" s="11">
        <v>7</v>
      </c>
      <c r="DC140" s="11"/>
      <c r="DD140" s="13"/>
      <c r="DE140" s="11"/>
      <c r="DF140" s="12"/>
      <c r="DG140" s="12"/>
      <c r="DH140" s="11">
        <v>18</v>
      </c>
      <c r="DI140" s="13">
        <v>914.8</v>
      </c>
      <c r="DJ140" s="11">
        <v>5</v>
      </c>
      <c r="DK140" s="11"/>
      <c r="DL140" s="13"/>
      <c r="DM140" s="11"/>
      <c r="DN140" s="12"/>
      <c r="DO140" s="12"/>
      <c r="DP140" s="11">
        <v>1</v>
      </c>
      <c r="DQ140" s="13">
        <v>44.13</v>
      </c>
      <c r="DR140" s="11">
        <v>3</v>
      </c>
      <c r="DS140" s="11"/>
      <c r="DT140" s="13"/>
      <c r="DU140" s="11"/>
      <c r="DV140" s="12"/>
      <c r="DW140" s="12"/>
      <c r="DX140" s="11">
        <v>16</v>
      </c>
      <c r="DY140" s="13">
        <v>1512.73</v>
      </c>
      <c r="DZ140" s="11">
        <v>1</v>
      </c>
      <c r="EA140" s="11"/>
      <c r="EB140" s="13"/>
      <c r="EC140" s="11"/>
      <c r="ED140" s="12"/>
      <c r="EE140" s="12"/>
      <c r="EF140" s="11"/>
      <c r="EG140" s="13"/>
      <c r="EH140" s="11"/>
      <c r="EI140" s="11"/>
      <c r="EJ140" s="13"/>
      <c r="EK140" s="11"/>
      <c r="EL140" s="12"/>
      <c r="EM140" s="12"/>
      <c r="EN140" s="11">
        <v>2</v>
      </c>
      <c r="EO140" s="13">
        <v>299.98</v>
      </c>
      <c r="EP140" s="11">
        <v>10</v>
      </c>
      <c r="EQ140" s="11"/>
      <c r="ER140" s="13"/>
      <c r="ES140" s="11"/>
      <c r="ET140" s="12"/>
      <c r="EU140" s="12"/>
      <c r="EV140" s="11"/>
      <c r="EW140" s="13"/>
      <c r="EX140" s="11"/>
      <c r="EY140" s="11"/>
      <c r="EZ140" s="13"/>
      <c r="FA140" s="11"/>
      <c r="FB140" s="12"/>
      <c r="FC140" s="12"/>
      <c r="FD140" s="11"/>
      <c r="FE140" s="13"/>
      <c r="FF140" s="11"/>
      <c r="FG140" s="11"/>
      <c r="FH140" s="13"/>
      <c r="FI140" s="11"/>
      <c r="FJ140" s="12"/>
      <c r="FK140" s="12"/>
      <c r="FL140" s="11">
        <v>4</v>
      </c>
      <c r="FM140" s="13">
        <v>352.79</v>
      </c>
      <c r="FN140" s="11">
        <v>3</v>
      </c>
      <c r="FO140" s="11"/>
      <c r="FP140" s="13"/>
      <c r="FQ140" s="11"/>
      <c r="FR140" s="12"/>
      <c r="FS140" s="12"/>
      <c r="FT140" s="11">
        <v>14</v>
      </c>
      <c r="FU140" s="13">
        <v>873.53</v>
      </c>
      <c r="FV140" s="11">
        <v>10</v>
      </c>
      <c r="FW140" s="11"/>
      <c r="FX140" s="13"/>
      <c r="FY140" s="11"/>
      <c r="FZ140" s="12"/>
      <c r="GA140" s="12"/>
      <c r="GB140" s="11">
        <v>12</v>
      </c>
      <c r="GC140" s="13">
        <v>536.56</v>
      </c>
      <c r="GD140" s="11">
        <v>3</v>
      </c>
      <c r="GE140" s="11"/>
      <c r="GF140" s="13"/>
      <c r="GG140" s="11"/>
      <c r="GH140" s="12"/>
      <c r="GI140" s="12"/>
      <c r="GJ140" s="11"/>
      <c r="GK140" s="13"/>
      <c r="GL140" s="11">
        <v>10</v>
      </c>
      <c r="GM140" s="11"/>
      <c r="GN140" s="13"/>
      <c r="GO140" s="11"/>
      <c r="GP140" s="12"/>
      <c r="GQ140" s="12"/>
      <c r="GR140" s="11">
        <v>1</v>
      </c>
      <c r="GS140" s="13">
        <v>90.06</v>
      </c>
      <c r="GT140" s="11">
        <v>8</v>
      </c>
      <c r="GU140" s="11"/>
      <c r="GV140" s="13"/>
      <c r="GW140" s="11"/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>
        <v>3</v>
      </c>
      <c r="IY140" s="11"/>
      <c r="IZ140" s="13"/>
      <c r="JA140" s="11"/>
      <c r="JB140" s="12"/>
      <c r="JC140" s="12"/>
      <c r="JD140" s="11">
        <v>1</v>
      </c>
      <c r="JE140" s="13">
        <v>84.14</v>
      </c>
      <c r="JF140" s="11">
        <v>2</v>
      </c>
      <c r="JG140" s="11"/>
      <c r="JH140" s="13"/>
      <c r="JI140" s="11"/>
      <c r="JJ140" s="12"/>
      <c r="JK140" s="12"/>
      <c r="JL140" s="11"/>
      <c r="JM140" s="13"/>
      <c r="JN140" s="11"/>
      <c r="JO140" s="11"/>
      <c r="JP140" s="13"/>
      <c r="JQ140" s="11"/>
      <c r="JR140" s="12"/>
      <c r="JS140" s="12"/>
      <c r="JT140" s="11"/>
      <c r="JU140" s="13"/>
      <c r="JV140" s="11"/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  <c r="LH140" s="11"/>
      <c r="LI140" s="13"/>
      <c r="LJ140" s="11"/>
      <c r="LK140" s="11"/>
      <c r="LL140" s="13"/>
      <c r="LM140" s="11"/>
      <c r="LN140" s="12"/>
      <c r="LO140" s="12"/>
      <c r="LP140" s="11"/>
      <c r="LQ140" s="13"/>
      <c r="LR140" s="11"/>
      <c r="LS140" s="11"/>
      <c r="LT140" s="13"/>
      <c r="LU140" s="11"/>
      <c r="LV140" s="12"/>
      <c r="LW140" s="12"/>
    </row>
    <row r="141">
      <c r="A141" s="10" t="s">
        <v>154</v>
      </c>
      <c r="B141" s="10" t="s">
        <v>107</v>
      </c>
      <c r="C141" s="10" t="s">
        <v>157</v>
      </c>
      <c r="D141" s="11">
        <v>676</v>
      </c>
      <c r="E141" s="11">
        <f>=ROUNDDOWN(47.9432624113475,0)</f>
      </c>
      <c r="F141" s="11"/>
      <c r="G141" s="12">
        <v>0.5326</v>
      </c>
      <c r="H141" s="11"/>
      <c r="I141" s="11">
        <f>=ROUNDDOWN({0},0)</f>
      </c>
      <c r="J141" s="11"/>
      <c r="K141" s="12"/>
      <c r="L141" s="11">
        <v>169</v>
      </c>
      <c r="M141" s="13">
        <v>11942.56</v>
      </c>
      <c r="N141" s="11">
        <v>1</v>
      </c>
      <c r="O141" s="14">
        <v>11942.56</v>
      </c>
      <c r="P141" s="11"/>
      <c r="Q141" s="13"/>
      <c r="R141" s="11"/>
      <c r="S141" s="14"/>
      <c r="T141" s="12"/>
      <c r="U141" s="12"/>
      <c r="V141" s="12"/>
      <c r="W141" s="12"/>
      <c r="X141" s="11">
        <v>77</v>
      </c>
      <c r="Y141" s="13">
        <v>5270.65</v>
      </c>
      <c r="Z141" s="11">
        <v>1</v>
      </c>
      <c r="AA141" s="11"/>
      <c r="AB141" s="13"/>
      <c r="AC141" s="11"/>
      <c r="AD141" s="12"/>
      <c r="AE141" s="12"/>
      <c r="AF141" s="11">
        <v>12</v>
      </c>
      <c r="AG141" s="13">
        <v>712.5</v>
      </c>
      <c r="AH141" s="11">
        <v>1</v>
      </c>
      <c r="AI141" s="11"/>
      <c r="AJ141" s="13"/>
      <c r="AK141" s="11"/>
      <c r="AL141" s="12"/>
      <c r="AM141" s="12"/>
      <c r="AN141" s="11"/>
      <c r="AO141" s="13"/>
      <c r="AP141" s="11">
        <v>1</v>
      </c>
      <c r="AQ141" s="11"/>
      <c r="AR141" s="13"/>
      <c r="AS141" s="11"/>
      <c r="AT141" s="12"/>
      <c r="AU141" s="12"/>
      <c r="AV141" s="11">
        <v>16</v>
      </c>
      <c r="AW141" s="13">
        <v>1164.64</v>
      </c>
      <c r="AX141" s="11">
        <v>1</v>
      </c>
      <c r="AY141" s="11"/>
      <c r="AZ141" s="13"/>
      <c r="BA141" s="11"/>
      <c r="BB141" s="12"/>
      <c r="BC141" s="12"/>
      <c r="BD141" s="11"/>
      <c r="BE141" s="13"/>
      <c r="BF141" s="11">
        <v>1</v>
      </c>
      <c r="BG141" s="11"/>
      <c r="BH141" s="13"/>
      <c r="BI141" s="11"/>
      <c r="BJ141" s="12"/>
      <c r="BK141" s="12"/>
      <c r="BL141" s="11">
        <v>6</v>
      </c>
      <c r="BM141" s="13">
        <v>452.1</v>
      </c>
      <c r="BN141" s="11">
        <v>1</v>
      </c>
      <c r="BO141" s="11"/>
      <c r="BP141" s="13"/>
      <c r="BQ141" s="11"/>
      <c r="BR141" s="12"/>
      <c r="BS141" s="12"/>
      <c r="BT141" s="11">
        <v>20</v>
      </c>
      <c r="BU141" s="13">
        <v>1480.79</v>
      </c>
      <c r="BV141" s="11">
        <v>1</v>
      </c>
      <c r="BW141" s="11"/>
      <c r="BX141" s="13"/>
      <c r="BY141" s="11"/>
      <c r="BZ141" s="12"/>
      <c r="CA141" s="12"/>
      <c r="CB141" s="11"/>
      <c r="CC141" s="13"/>
      <c r="CD141" s="11"/>
      <c r="CE141" s="11"/>
      <c r="CF141" s="13"/>
      <c r="CG141" s="11"/>
      <c r="CH141" s="12"/>
      <c r="CI141" s="12"/>
      <c r="CJ141" s="11"/>
      <c r="CK141" s="13"/>
      <c r="CL141" s="11">
        <v>1</v>
      </c>
      <c r="CM141" s="11"/>
      <c r="CN141" s="13"/>
      <c r="CO141" s="11"/>
      <c r="CP141" s="12"/>
      <c r="CQ141" s="12"/>
      <c r="CR141" s="11"/>
      <c r="CS141" s="13"/>
      <c r="CT141" s="11"/>
      <c r="CU141" s="11"/>
      <c r="CV141" s="13"/>
      <c r="CW141" s="11"/>
      <c r="CX141" s="12"/>
      <c r="CY141" s="12"/>
      <c r="CZ141" s="11">
        <v>3</v>
      </c>
      <c r="DA141" s="13">
        <v>196.86</v>
      </c>
      <c r="DB141" s="11">
        <v>1</v>
      </c>
      <c r="DC141" s="11"/>
      <c r="DD141" s="13"/>
      <c r="DE141" s="11"/>
      <c r="DF141" s="12"/>
      <c r="DG141" s="12"/>
      <c r="DH141" s="11"/>
      <c r="DI141" s="13"/>
      <c r="DJ141" s="11"/>
      <c r="DK141" s="11"/>
      <c r="DL141" s="13"/>
      <c r="DM141" s="11"/>
      <c r="DN141" s="12"/>
      <c r="DO141" s="12"/>
      <c r="DP141" s="11"/>
      <c r="DQ141" s="13"/>
      <c r="DR141" s="11"/>
      <c r="DS141" s="11"/>
      <c r="DT141" s="13"/>
      <c r="DU141" s="11"/>
      <c r="DV141" s="12"/>
      <c r="DW141" s="12"/>
      <c r="DX141" s="11">
        <v>5</v>
      </c>
      <c r="DY141" s="13">
        <v>343.75</v>
      </c>
      <c r="DZ141" s="11">
        <v>1</v>
      </c>
      <c r="EA141" s="11"/>
      <c r="EB141" s="13"/>
      <c r="EC141" s="11"/>
      <c r="ED141" s="12"/>
      <c r="EE141" s="12"/>
      <c r="EF141" s="11"/>
      <c r="EG141" s="13"/>
      <c r="EH141" s="11"/>
      <c r="EI141" s="11"/>
      <c r="EJ141" s="13"/>
      <c r="EK141" s="11"/>
      <c r="EL141" s="12"/>
      <c r="EM141" s="12"/>
      <c r="EN141" s="11">
        <v>3</v>
      </c>
      <c r="EO141" s="13">
        <v>419.97</v>
      </c>
      <c r="EP141" s="11">
        <v>1</v>
      </c>
      <c r="EQ141" s="11"/>
      <c r="ER141" s="13"/>
      <c r="ES141" s="11"/>
      <c r="ET141" s="12"/>
      <c r="EU141" s="12"/>
      <c r="EV141" s="11"/>
      <c r="EW141" s="13"/>
      <c r="EX141" s="11"/>
      <c r="EY141" s="11"/>
      <c r="EZ141" s="13"/>
      <c r="FA141" s="11"/>
      <c r="FB141" s="12"/>
      <c r="FC141" s="12"/>
      <c r="FD141" s="11"/>
      <c r="FE141" s="13"/>
      <c r="FF141" s="11"/>
      <c r="FG141" s="11"/>
      <c r="FH141" s="13"/>
      <c r="FI141" s="11"/>
      <c r="FJ141" s="12"/>
      <c r="FK141" s="12"/>
      <c r="FL141" s="11">
        <v>1</v>
      </c>
      <c r="FM141" s="13">
        <v>87.2</v>
      </c>
      <c r="FN141" s="11">
        <v>1</v>
      </c>
      <c r="FO141" s="11"/>
      <c r="FP141" s="13"/>
      <c r="FQ141" s="11"/>
      <c r="FR141" s="12"/>
      <c r="FS141" s="12"/>
      <c r="FT141" s="11"/>
      <c r="FU141" s="13"/>
      <c r="FV141" s="11"/>
      <c r="FW141" s="11"/>
      <c r="FX141" s="13"/>
      <c r="FY141" s="11"/>
      <c r="FZ141" s="12"/>
      <c r="GA141" s="12"/>
      <c r="GB141" s="11"/>
      <c r="GC141" s="13"/>
      <c r="GD141" s="11"/>
      <c r="GE141" s="11"/>
      <c r="GF141" s="13"/>
      <c r="GG141" s="11"/>
      <c r="GH141" s="12"/>
      <c r="GI141" s="12"/>
      <c r="GJ141" s="11">
        <v>25</v>
      </c>
      <c r="GK141" s="13">
        <v>1746.6</v>
      </c>
      <c r="GL141" s="11">
        <v>1</v>
      </c>
      <c r="GM141" s="11"/>
      <c r="GN141" s="13"/>
      <c r="GO141" s="11"/>
      <c r="GP141" s="12"/>
      <c r="GQ141" s="12"/>
      <c r="GR141" s="11">
        <v>1</v>
      </c>
      <c r="GS141" s="13">
        <v>67.5</v>
      </c>
      <c r="GT141" s="11">
        <v>1</v>
      </c>
      <c r="GU141" s="11"/>
      <c r="GV141" s="13"/>
      <c r="GW141" s="11"/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/>
      <c r="JP141" s="13"/>
      <c r="JQ141" s="11"/>
      <c r="JR141" s="12"/>
      <c r="JS141" s="12"/>
      <c r="JT141" s="11"/>
      <c r="JU141" s="13"/>
      <c r="JV141" s="11"/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/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  <c r="LH141" s="11"/>
      <c r="LI141" s="13"/>
      <c r="LJ141" s="11"/>
      <c r="LK141" s="11"/>
      <c r="LL141" s="13"/>
      <c r="LM141" s="11"/>
      <c r="LN141" s="12"/>
      <c r="LO141" s="12"/>
      <c r="LP141" s="11"/>
      <c r="LQ141" s="13"/>
      <c r="LR141" s="11"/>
      <c r="LS141" s="11"/>
      <c r="LT141" s="13"/>
      <c r="LU141" s="11"/>
      <c r="LV141" s="12"/>
      <c r="LW141" s="12"/>
    </row>
    <row r="142">
      <c r="A142" s="10" t="s">
        <v>154</v>
      </c>
      <c r="B142" s="10" t="s">
        <v>107</v>
      </c>
      <c r="C142" s="10" t="s">
        <v>158</v>
      </c>
      <c r="D142" s="11"/>
      <c r="E142" s="11">
        <f>=ROUNDDOWN({0},0)</f>
      </c>
      <c r="F142" s="11">
        <v>100</v>
      </c>
      <c r="G142" s="12">
        <v>0.7935</v>
      </c>
      <c r="H142" s="11"/>
      <c r="I142" s="11">
        <f>=ROUNDDOWN({0},0)</f>
      </c>
      <c r="J142" s="11"/>
      <c r="K142" s="12"/>
      <c r="L142" s="11">
        <v>47</v>
      </c>
      <c r="M142" s="13">
        <v>2695.64</v>
      </c>
      <c r="N142" s="11">
        <v>1</v>
      </c>
      <c r="O142" s="14">
        <v>2695.64</v>
      </c>
      <c r="P142" s="11"/>
      <c r="Q142" s="13"/>
      <c r="R142" s="11"/>
      <c r="S142" s="14"/>
      <c r="T142" s="12"/>
      <c r="U142" s="12"/>
      <c r="V142" s="12"/>
      <c r="W142" s="12"/>
      <c r="X142" s="11"/>
      <c r="Y142" s="13"/>
      <c r="Z142" s="11"/>
      <c r="AA142" s="11"/>
      <c r="AB142" s="13"/>
      <c r="AC142" s="11"/>
      <c r="AD142" s="12"/>
      <c r="AE142" s="12"/>
      <c r="AF142" s="11">
        <v>2</v>
      </c>
      <c r="AG142" s="13">
        <v>89.25</v>
      </c>
      <c r="AH142" s="11">
        <v>1</v>
      </c>
      <c r="AI142" s="11"/>
      <c r="AJ142" s="13"/>
      <c r="AK142" s="11"/>
      <c r="AL142" s="12"/>
      <c r="AM142" s="12"/>
      <c r="AN142" s="11"/>
      <c r="AO142" s="13"/>
      <c r="AP142" s="11">
        <v>1</v>
      </c>
      <c r="AQ142" s="11"/>
      <c r="AR142" s="13"/>
      <c r="AS142" s="11"/>
      <c r="AT142" s="12"/>
      <c r="AU142" s="12"/>
      <c r="AV142" s="11">
        <v>10</v>
      </c>
      <c r="AW142" s="13">
        <v>588</v>
      </c>
      <c r="AX142" s="11">
        <v>1</v>
      </c>
      <c r="AY142" s="11"/>
      <c r="AZ142" s="13"/>
      <c r="BA142" s="11"/>
      <c r="BB142" s="12"/>
      <c r="BC142" s="12"/>
      <c r="BD142" s="11"/>
      <c r="BE142" s="13"/>
      <c r="BF142" s="11">
        <v>1</v>
      </c>
      <c r="BG142" s="11"/>
      <c r="BH142" s="13"/>
      <c r="BI142" s="11"/>
      <c r="BJ142" s="12"/>
      <c r="BK142" s="12"/>
      <c r="BL142" s="11">
        <v>2</v>
      </c>
      <c r="BM142" s="13">
        <v>115.5</v>
      </c>
      <c r="BN142" s="11">
        <v>1</v>
      </c>
      <c r="BO142" s="11"/>
      <c r="BP142" s="13"/>
      <c r="BQ142" s="11"/>
      <c r="BR142" s="12"/>
      <c r="BS142" s="12"/>
      <c r="BT142" s="11">
        <v>9</v>
      </c>
      <c r="BU142" s="13">
        <v>531.98</v>
      </c>
      <c r="BV142" s="11">
        <v>1</v>
      </c>
      <c r="BW142" s="11"/>
      <c r="BX142" s="13"/>
      <c r="BY142" s="11"/>
      <c r="BZ142" s="12"/>
      <c r="CA142" s="12"/>
      <c r="CB142" s="11"/>
      <c r="CC142" s="13"/>
      <c r="CD142" s="11">
        <v>1</v>
      </c>
      <c r="CE142" s="11"/>
      <c r="CF142" s="13"/>
      <c r="CG142" s="11"/>
      <c r="CH142" s="12"/>
      <c r="CI142" s="12"/>
      <c r="CJ142" s="11"/>
      <c r="CK142" s="13"/>
      <c r="CL142" s="11">
        <v>1</v>
      </c>
      <c r="CM142" s="11"/>
      <c r="CN142" s="13"/>
      <c r="CO142" s="11"/>
      <c r="CP142" s="12"/>
      <c r="CQ142" s="12"/>
      <c r="CR142" s="11"/>
      <c r="CS142" s="13"/>
      <c r="CT142" s="11"/>
      <c r="CU142" s="11"/>
      <c r="CV142" s="13"/>
      <c r="CW142" s="11"/>
      <c r="CX142" s="12"/>
      <c r="CY142" s="12"/>
      <c r="CZ142" s="11">
        <v>21</v>
      </c>
      <c r="DA142" s="13">
        <v>1157.52</v>
      </c>
      <c r="DB142" s="11">
        <v>1</v>
      </c>
      <c r="DC142" s="11"/>
      <c r="DD142" s="13"/>
      <c r="DE142" s="11"/>
      <c r="DF142" s="12"/>
      <c r="DG142" s="12"/>
      <c r="DH142" s="11"/>
      <c r="DI142" s="13"/>
      <c r="DJ142" s="11"/>
      <c r="DK142" s="11"/>
      <c r="DL142" s="13"/>
      <c r="DM142" s="11"/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>
        <v>1</v>
      </c>
      <c r="EO142" s="13">
        <v>99.99</v>
      </c>
      <c r="EP142" s="11">
        <v>1</v>
      </c>
      <c r="EQ142" s="11"/>
      <c r="ER142" s="13"/>
      <c r="ES142" s="11"/>
      <c r="ET142" s="12"/>
      <c r="EU142" s="12"/>
      <c r="EV142" s="11"/>
      <c r="EW142" s="13"/>
      <c r="EX142" s="11"/>
      <c r="EY142" s="11"/>
      <c r="EZ142" s="13"/>
      <c r="FA142" s="11"/>
      <c r="FB142" s="12"/>
      <c r="FC142" s="12"/>
      <c r="FD142" s="11"/>
      <c r="FE142" s="13"/>
      <c r="FF142" s="11"/>
      <c r="FG142" s="11"/>
      <c r="FH142" s="13"/>
      <c r="FI142" s="11"/>
      <c r="FJ142" s="12"/>
      <c r="FK142" s="12"/>
      <c r="FL142" s="11">
        <v>2</v>
      </c>
      <c r="FM142" s="13">
        <v>113.4</v>
      </c>
      <c r="FN142" s="11">
        <v>1</v>
      </c>
      <c r="FO142" s="11"/>
      <c r="FP142" s="13"/>
      <c r="FQ142" s="11"/>
      <c r="FR142" s="12"/>
      <c r="FS142" s="12"/>
      <c r="FT142" s="11"/>
      <c r="FU142" s="13"/>
      <c r="FV142" s="11">
        <v>1</v>
      </c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>
        <v>1</v>
      </c>
      <c r="GM142" s="11"/>
      <c r="GN142" s="13"/>
      <c r="GO142" s="11"/>
      <c r="GP142" s="12"/>
      <c r="GQ142" s="12"/>
      <c r="GR142" s="11"/>
      <c r="GS142" s="13"/>
      <c r="GT142" s="11">
        <v>1</v>
      </c>
      <c r="GU142" s="11"/>
      <c r="GV142" s="13"/>
      <c r="GW142" s="11"/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/>
      <c r="JR142" s="12"/>
      <c r="JS142" s="12"/>
      <c r="JT142" s="11"/>
      <c r="JU142" s="13"/>
      <c r="JV142" s="11"/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  <c r="LH142" s="11"/>
      <c r="LI142" s="13"/>
      <c r="LJ142" s="11"/>
      <c r="LK142" s="11"/>
      <c r="LL142" s="13"/>
      <c r="LM142" s="11"/>
      <c r="LN142" s="12"/>
      <c r="LO142" s="12"/>
      <c r="LP142" s="11"/>
      <c r="LQ142" s="13"/>
      <c r="LR142" s="11"/>
      <c r="LS142" s="11"/>
      <c r="LT142" s="13"/>
      <c r="LU142" s="11"/>
      <c r="LV142" s="12"/>
      <c r="LW142" s="12"/>
    </row>
    <row r="143">
      <c r="A143" s="10" t="s">
        <v>154</v>
      </c>
      <c r="B143" s="10" t="s">
        <v>108</v>
      </c>
      <c r="C143" s="10" t="s">
        <v>77</v>
      </c>
      <c r="D143" s="11">
        <v>2308</v>
      </c>
      <c r="E143" s="11">
        <f>=ROUNDDOWN({0},0)</f>
      </c>
      <c r="F143" s="11">
        <v>1420</v>
      </c>
      <c r="G143" s="12"/>
      <c r="H143" s="11"/>
      <c r="I143" s="11">
        <f>=ROUNDDOWN({0},0)</f>
      </c>
      <c r="J143" s="11"/>
      <c r="K143" s="12"/>
      <c r="L143" s="11">
        <v>1405</v>
      </c>
      <c r="M143" s="13">
        <v>72583.26</v>
      </c>
      <c r="N143" s="11">
        <v>17</v>
      </c>
      <c r="O143" s="14">
        <v>4269.6</v>
      </c>
      <c r="P143" s="11"/>
      <c r="Q143" s="13"/>
      <c r="R143" s="11"/>
      <c r="S143" s="14"/>
      <c r="T143" s="12"/>
      <c r="U143" s="12"/>
      <c r="V143" s="12"/>
      <c r="W143" s="12"/>
      <c r="X143" s="11">
        <v>328</v>
      </c>
      <c r="Y143" s="13">
        <v>16635.41</v>
      </c>
      <c r="Z143" s="11">
        <v>11</v>
      </c>
      <c r="AA143" s="11"/>
      <c r="AB143" s="13"/>
      <c r="AC143" s="11"/>
      <c r="AD143" s="12"/>
      <c r="AE143" s="12"/>
      <c r="AF143" s="11">
        <v>245</v>
      </c>
      <c r="AG143" s="13">
        <v>10446.88</v>
      </c>
      <c r="AH143" s="11">
        <v>16</v>
      </c>
      <c r="AI143" s="11"/>
      <c r="AJ143" s="13"/>
      <c r="AK143" s="11"/>
      <c r="AL143" s="12"/>
      <c r="AM143" s="12"/>
      <c r="AN143" s="11">
        <v>141</v>
      </c>
      <c r="AO143" s="13">
        <v>4932.89</v>
      </c>
      <c r="AP143" s="11">
        <v>17</v>
      </c>
      <c r="AQ143" s="11"/>
      <c r="AR143" s="13"/>
      <c r="AS143" s="11"/>
      <c r="AT143" s="12"/>
      <c r="AU143" s="12"/>
      <c r="AV143" s="11">
        <v>89</v>
      </c>
      <c r="AW143" s="13">
        <v>5872.17</v>
      </c>
      <c r="AX143" s="11">
        <v>16</v>
      </c>
      <c r="AY143" s="11"/>
      <c r="AZ143" s="13"/>
      <c r="BA143" s="11"/>
      <c r="BB143" s="12"/>
      <c r="BC143" s="12"/>
      <c r="BD143" s="11">
        <v>19</v>
      </c>
      <c r="BE143" s="13">
        <v>1053.36</v>
      </c>
      <c r="BF143" s="11">
        <v>15</v>
      </c>
      <c r="BG143" s="11"/>
      <c r="BH143" s="13"/>
      <c r="BI143" s="11"/>
      <c r="BJ143" s="12"/>
      <c r="BK143" s="12"/>
      <c r="BL143" s="11">
        <v>33</v>
      </c>
      <c r="BM143" s="13">
        <v>2372.32</v>
      </c>
      <c r="BN143" s="11">
        <v>17</v>
      </c>
      <c r="BO143" s="11"/>
      <c r="BP143" s="13"/>
      <c r="BQ143" s="11"/>
      <c r="BR143" s="12"/>
      <c r="BS143" s="12"/>
      <c r="BT143" s="11">
        <v>168</v>
      </c>
      <c r="BU143" s="13">
        <v>9628.4</v>
      </c>
      <c r="BV143" s="11">
        <v>17</v>
      </c>
      <c r="BW143" s="11"/>
      <c r="BX143" s="13"/>
      <c r="BY143" s="11"/>
      <c r="BZ143" s="12"/>
      <c r="CA143" s="12"/>
      <c r="CB143" s="11">
        <v>8</v>
      </c>
      <c r="CC143" s="13">
        <v>604.73</v>
      </c>
      <c r="CD143" s="11">
        <v>6</v>
      </c>
      <c r="CE143" s="11"/>
      <c r="CF143" s="13"/>
      <c r="CG143" s="11"/>
      <c r="CH143" s="12"/>
      <c r="CI143" s="12"/>
      <c r="CJ143" s="11">
        <v>6</v>
      </c>
      <c r="CK143" s="13">
        <v>675.26</v>
      </c>
      <c r="CL143" s="11">
        <v>17</v>
      </c>
      <c r="CM143" s="11"/>
      <c r="CN143" s="13"/>
      <c r="CO143" s="11"/>
      <c r="CP143" s="12"/>
      <c r="CQ143" s="12"/>
      <c r="CR143" s="11"/>
      <c r="CS143" s="13"/>
      <c r="CT143" s="11"/>
      <c r="CU143" s="11"/>
      <c r="CV143" s="13"/>
      <c r="CW143" s="11"/>
      <c r="CX143" s="12"/>
      <c r="CY143" s="12"/>
      <c r="CZ143" s="11">
        <v>229</v>
      </c>
      <c r="DA143" s="13">
        <v>11431.79</v>
      </c>
      <c r="DB143" s="11">
        <v>12</v>
      </c>
      <c r="DC143" s="11"/>
      <c r="DD143" s="13"/>
      <c r="DE143" s="11"/>
      <c r="DF143" s="12"/>
      <c r="DG143" s="12"/>
      <c r="DH143" s="11">
        <v>21</v>
      </c>
      <c r="DI143" s="13">
        <v>990.79</v>
      </c>
      <c r="DJ143" s="11">
        <v>8</v>
      </c>
      <c r="DK143" s="11"/>
      <c r="DL143" s="13"/>
      <c r="DM143" s="11"/>
      <c r="DN143" s="12"/>
      <c r="DO143" s="12"/>
      <c r="DP143" s="11">
        <v>1</v>
      </c>
      <c r="DQ143" s="13">
        <v>44.13</v>
      </c>
      <c r="DR143" s="11">
        <v>6</v>
      </c>
      <c r="DS143" s="11"/>
      <c r="DT143" s="13"/>
      <c r="DU143" s="11"/>
      <c r="DV143" s="12"/>
      <c r="DW143" s="12"/>
      <c r="DX143" s="11">
        <v>22</v>
      </c>
      <c r="DY143" s="13">
        <v>1908.74</v>
      </c>
      <c r="DZ143" s="11">
        <v>2</v>
      </c>
      <c r="EA143" s="11"/>
      <c r="EB143" s="13"/>
      <c r="EC143" s="11"/>
      <c r="ED143" s="12"/>
      <c r="EE143" s="12"/>
      <c r="EF143" s="11"/>
      <c r="EG143" s="13"/>
      <c r="EH143" s="11"/>
      <c r="EI143" s="11"/>
      <c r="EJ143" s="13"/>
      <c r="EK143" s="11"/>
      <c r="EL143" s="12"/>
      <c r="EM143" s="12"/>
      <c r="EN143" s="11">
        <v>12</v>
      </c>
      <c r="EO143" s="13">
        <v>1089.88</v>
      </c>
      <c r="EP143" s="11">
        <v>17</v>
      </c>
      <c r="EQ143" s="11"/>
      <c r="ER143" s="13"/>
      <c r="ES143" s="11"/>
      <c r="ET143" s="12"/>
      <c r="EU143" s="12"/>
      <c r="EV143" s="11"/>
      <c r="EW143" s="13"/>
      <c r="EX143" s="11"/>
      <c r="EY143" s="11"/>
      <c r="EZ143" s="13"/>
      <c r="FA143" s="11"/>
      <c r="FB143" s="12"/>
      <c r="FC143" s="12"/>
      <c r="FD143" s="11"/>
      <c r="FE143" s="13"/>
      <c r="FF143" s="11"/>
      <c r="FG143" s="11"/>
      <c r="FH143" s="13"/>
      <c r="FI143" s="11"/>
      <c r="FJ143" s="12"/>
      <c r="FK143" s="12"/>
      <c r="FL143" s="11">
        <v>14</v>
      </c>
      <c r="FM143" s="13">
        <v>848.58</v>
      </c>
      <c r="FN143" s="11">
        <v>6</v>
      </c>
      <c r="FO143" s="11"/>
      <c r="FP143" s="13"/>
      <c r="FQ143" s="11"/>
      <c r="FR143" s="12"/>
      <c r="FS143" s="12"/>
      <c r="FT143" s="11">
        <v>22</v>
      </c>
      <c r="FU143" s="13">
        <v>1200.51</v>
      </c>
      <c r="FV143" s="11">
        <v>16</v>
      </c>
      <c r="FW143" s="11"/>
      <c r="FX143" s="13"/>
      <c r="FY143" s="11"/>
      <c r="FZ143" s="12"/>
      <c r="GA143" s="12"/>
      <c r="GB143" s="11">
        <v>13</v>
      </c>
      <c r="GC143" s="13">
        <v>578.73</v>
      </c>
      <c r="GD143" s="11">
        <v>6</v>
      </c>
      <c r="GE143" s="11"/>
      <c r="GF143" s="13"/>
      <c r="GG143" s="11"/>
      <c r="GH143" s="12"/>
      <c r="GI143" s="12"/>
      <c r="GJ143" s="11">
        <v>30</v>
      </c>
      <c r="GK143" s="13">
        <v>1983.37</v>
      </c>
      <c r="GL143" s="11">
        <v>17</v>
      </c>
      <c r="GM143" s="11"/>
      <c r="GN143" s="13"/>
      <c r="GO143" s="11"/>
      <c r="GP143" s="12"/>
      <c r="GQ143" s="12"/>
      <c r="GR143" s="11">
        <v>3</v>
      </c>
      <c r="GS143" s="13">
        <v>201.18</v>
      </c>
      <c r="GT143" s="11">
        <v>11</v>
      </c>
      <c r="GU143" s="11"/>
      <c r="GV143" s="13"/>
      <c r="GW143" s="11"/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/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>
        <v>3</v>
      </c>
      <c r="IY143" s="11"/>
      <c r="IZ143" s="13"/>
      <c r="JA143" s="11"/>
      <c r="JB143" s="12"/>
      <c r="JC143" s="12"/>
      <c r="JD143" s="11">
        <v>1</v>
      </c>
      <c r="JE143" s="13">
        <v>84.14</v>
      </c>
      <c r="JF143" s="11">
        <v>3</v>
      </c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/>
      <c r="JR143" s="12"/>
      <c r="JS143" s="12"/>
      <c r="JT143" s="11"/>
      <c r="JU143" s="13"/>
      <c r="JV143" s="11"/>
      <c r="JW143" s="11"/>
      <c r="JX143" s="13"/>
      <c r="JY143" s="11"/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  <c r="LH143" s="11"/>
      <c r="LI143" s="13"/>
      <c r="LJ143" s="11"/>
      <c r="LK143" s="11"/>
      <c r="LL143" s="13"/>
      <c r="LM143" s="11"/>
      <c r="LN143" s="12"/>
      <c r="LO143" s="12"/>
      <c r="LP143" s="11"/>
      <c r="LQ143" s="13"/>
      <c r="LR143" s="11"/>
      <c r="LS143" s="11"/>
      <c r="LT143" s="13"/>
      <c r="LU143" s="11"/>
      <c r="LV143" s="12"/>
      <c r="LW143" s="12"/>
    </row>
    <row r="144">
      <c r="A144" s="10" t="s">
        <v>154</v>
      </c>
      <c r="B144" s="10" t="s">
        <v>111</v>
      </c>
      <c r="C144" s="10" t="s">
        <v>159</v>
      </c>
      <c r="D144" s="11">
        <v>18</v>
      </c>
      <c r="E144" s="11">
        <f>=ROUNDDOWN(6,0)</f>
      </c>
      <c r="F144" s="11"/>
      <c r="G144" s="12"/>
      <c r="H144" s="11"/>
      <c r="I144" s="11">
        <f>=ROUNDDOWN({0},0)</f>
      </c>
      <c r="J144" s="11"/>
      <c r="K144" s="12"/>
      <c r="L144" s="11">
        <v>31</v>
      </c>
      <c r="M144" s="13">
        <v>804.69</v>
      </c>
      <c r="N144" s="11">
        <v>1</v>
      </c>
      <c r="O144" s="14">
        <v>804.69</v>
      </c>
      <c r="P144" s="11"/>
      <c r="Q144" s="13"/>
      <c r="R144" s="11"/>
      <c r="S144" s="14"/>
      <c r="T144" s="12"/>
      <c r="U144" s="12"/>
      <c r="V144" s="12"/>
      <c r="W144" s="12"/>
      <c r="X144" s="11"/>
      <c r="Y144" s="13"/>
      <c r="Z144" s="11"/>
      <c r="AA144" s="11"/>
      <c r="AB144" s="13"/>
      <c r="AC144" s="11"/>
      <c r="AD144" s="12"/>
      <c r="AE144" s="12"/>
      <c r="AF144" s="11">
        <v>2</v>
      </c>
      <c r="AG144" s="13">
        <v>38.68</v>
      </c>
      <c r="AH144" s="11">
        <v>1</v>
      </c>
      <c r="AI144" s="11"/>
      <c r="AJ144" s="13"/>
      <c r="AK144" s="11"/>
      <c r="AL144" s="12"/>
      <c r="AM144" s="12"/>
      <c r="AN144" s="11">
        <v>2</v>
      </c>
      <c r="AO144" s="13">
        <v>49.88</v>
      </c>
      <c r="AP144" s="11">
        <v>1</v>
      </c>
      <c r="AQ144" s="11"/>
      <c r="AR144" s="13"/>
      <c r="AS144" s="11"/>
      <c r="AT144" s="12"/>
      <c r="AU144" s="12"/>
      <c r="AV144" s="11">
        <v>5</v>
      </c>
      <c r="AW144" s="13">
        <v>127.1</v>
      </c>
      <c r="AX144" s="11">
        <v>1</v>
      </c>
      <c r="AY144" s="11"/>
      <c r="AZ144" s="13"/>
      <c r="BA144" s="11"/>
      <c r="BB144" s="12"/>
      <c r="BC144" s="12"/>
      <c r="BD144" s="11"/>
      <c r="BE144" s="13"/>
      <c r="BF144" s="11">
        <v>1</v>
      </c>
      <c r="BG144" s="11"/>
      <c r="BH144" s="13"/>
      <c r="BI144" s="11"/>
      <c r="BJ144" s="12"/>
      <c r="BK144" s="12"/>
      <c r="BL144" s="11">
        <v>2</v>
      </c>
      <c r="BM144" s="13">
        <v>56.76</v>
      </c>
      <c r="BN144" s="11">
        <v>1</v>
      </c>
      <c r="BO144" s="11"/>
      <c r="BP144" s="13"/>
      <c r="BQ144" s="11"/>
      <c r="BR144" s="12"/>
      <c r="BS144" s="12"/>
      <c r="BT144" s="11">
        <v>4</v>
      </c>
      <c r="BU144" s="13">
        <v>99.74</v>
      </c>
      <c r="BV144" s="11">
        <v>1</v>
      </c>
      <c r="BW144" s="11"/>
      <c r="BX144" s="13"/>
      <c r="BY144" s="11"/>
      <c r="BZ144" s="12"/>
      <c r="CA144" s="12"/>
      <c r="CB144" s="11"/>
      <c r="CC144" s="13"/>
      <c r="CD144" s="11"/>
      <c r="CE144" s="11"/>
      <c r="CF144" s="13"/>
      <c r="CG144" s="11"/>
      <c r="CH144" s="12"/>
      <c r="CI144" s="12"/>
      <c r="CJ144" s="11">
        <v>2</v>
      </c>
      <c r="CK144" s="13">
        <v>94.98</v>
      </c>
      <c r="CL144" s="11">
        <v>1</v>
      </c>
      <c r="CM144" s="11"/>
      <c r="CN144" s="13"/>
      <c r="CO144" s="11"/>
      <c r="CP144" s="12"/>
      <c r="CQ144" s="12"/>
      <c r="CR144" s="11"/>
      <c r="CS144" s="13"/>
      <c r="CT144" s="11"/>
      <c r="CU144" s="11"/>
      <c r="CV144" s="13"/>
      <c r="CW144" s="11"/>
      <c r="CX144" s="12"/>
      <c r="CY144" s="12"/>
      <c r="CZ144" s="11">
        <v>7</v>
      </c>
      <c r="DA144" s="13">
        <v>168</v>
      </c>
      <c r="DB144" s="11">
        <v>1</v>
      </c>
      <c r="DC144" s="11"/>
      <c r="DD144" s="13"/>
      <c r="DE144" s="11"/>
      <c r="DF144" s="12"/>
      <c r="DG144" s="12"/>
      <c r="DH144" s="11"/>
      <c r="DI144" s="13"/>
      <c r="DJ144" s="11">
        <v>1</v>
      </c>
      <c r="DK144" s="11"/>
      <c r="DL144" s="13"/>
      <c r="DM144" s="11"/>
      <c r="DN144" s="12"/>
      <c r="DO144" s="12"/>
      <c r="DP144" s="11"/>
      <c r="DQ144" s="13"/>
      <c r="DR144" s="11">
        <v>1</v>
      </c>
      <c r="DS144" s="11"/>
      <c r="DT144" s="13"/>
      <c r="DU144" s="11"/>
      <c r="DV144" s="12"/>
      <c r="DW144" s="12"/>
      <c r="DX144" s="11">
        <v>1</v>
      </c>
      <c r="DY144" s="13">
        <v>26.77</v>
      </c>
      <c r="DZ144" s="11">
        <v>1</v>
      </c>
      <c r="EA144" s="11"/>
      <c r="EB144" s="13"/>
      <c r="EC144" s="11"/>
      <c r="ED144" s="12"/>
      <c r="EE144" s="12"/>
      <c r="EF144" s="11"/>
      <c r="EG144" s="13"/>
      <c r="EH144" s="11"/>
      <c r="EI144" s="11"/>
      <c r="EJ144" s="13"/>
      <c r="EK144" s="11"/>
      <c r="EL144" s="12"/>
      <c r="EM144" s="12"/>
      <c r="EN144" s="11"/>
      <c r="EO144" s="13"/>
      <c r="EP144" s="11">
        <v>1</v>
      </c>
      <c r="EQ144" s="11"/>
      <c r="ER144" s="13"/>
      <c r="ES144" s="11"/>
      <c r="ET144" s="12"/>
      <c r="EU144" s="12"/>
      <c r="EV144" s="11"/>
      <c r="EW144" s="13"/>
      <c r="EX144" s="11"/>
      <c r="EY144" s="11"/>
      <c r="EZ144" s="13"/>
      <c r="FA144" s="11"/>
      <c r="FB144" s="12"/>
      <c r="FC144" s="12"/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/>
      <c r="FO144" s="11"/>
      <c r="FP144" s="13"/>
      <c r="FQ144" s="11"/>
      <c r="FR144" s="12"/>
      <c r="FS144" s="12"/>
      <c r="FT144" s="11">
        <v>1</v>
      </c>
      <c r="FU144" s="13">
        <v>21.8</v>
      </c>
      <c r="FV144" s="11">
        <v>1</v>
      </c>
      <c r="FW144" s="11"/>
      <c r="FX144" s="13"/>
      <c r="FY144" s="11"/>
      <c r="FZ144" s="12"/>
      <c r="GA144" s="12"/>
      <c r="GB144" s="11">
        <v>3</v>
      </c>
      <c r="GC144" s="13">
        <v>70.65</v>
      </c>
      <c r="GD144" s="11">
        <v>1</v>
      </c>
      <c r="GE144" s="11"/>
      <c r="GF144" s="13"/>
      <c r="GG144" s="11"/>
      <c r="GH144" s="12"/>
      <c r="GI144" s="12"/>
      <c r="GJ144" s="11">
        <v>1</v>
      </c>
      <c r="GK144" s="13">
        <v>23.55</v>
      </c>
      <c r="GL144" s="11">
        <v>1</v>
      </c>
      <c r="GM144" s="11"/>
      <c r="GN144" s="13"/>
      <c r="GO144" s="11"/>
      <c r="GP144" s="12"/>
      <c r="GQ144" s="12"/>
      <c r="GR144" s="11"/>
      <c r="GS144" s="13"/>
      <c r="GT144" s="11">
        <v>1</v>
      </c>
      <c r="GU144" s="11"/>
      <c r="GV144" s="13"/>
      <c r="GW144" s="11"/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>
        <v>1</v>
      </c>
      <c r="HI144" s="13">
        <v>26.78</v>
      </c>
      <c r="HJ144" s="11"/>
      <c r="HK144" s="11"/>
      <c r="HL144" s="13"/>
      <c r="HM144" s="11"/>
      <c r="HN144" s="12"/>
      <c r="HO144" s="12"/>
      <c r="HP144" s="11"/>
      <c r="HQ144" s="13"/>
      <c r="HR144" s="11"/>
      <c r="HS144" s="11"/>
      <c r="HT144" s="13"/>
      <c r="HU144" s="11"/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>
        <v>1</v>
      </c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/>
      <c r="JO144" s="11"/>
      <c r="JP144" s="13"/>
      <c r="JQ144" s="11"/>
      <c r="JR144" s="12"/>
      <c r="JS144" s="12"/>
      <c r="JT144" s="11"/>
      <c r="JU144" s="13"/>
      <c r="JV144" s="11"/>
      <c r="JW144" s="11"/>
      <c r="JX144" s="13"/>
      <c r="JY144" s="11"/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  <c r="LH144" s="11"/>
      <c r="LI144" s="13"/>
      <c r="LJ144" s="11"/>
      <c r="LK144" s="11"/>
      <c r="LL144" s="13"/>
      <c r="LM144" s="11"/>
      <c r="LN144" s="12"/>
      <c r="LO144" s="12"/>
      <c r="LP144" s="11"/>
      <c r="LQ144" s="13"/>
      <c r="LR144" s="11"/>
      <c r="LS144" s="11"/>
      <c r="LT144" s="13"/>
      <c r="LU144" s="11"/>
      <c r="LV144" s="12"/>
      <c r="LW144" s="12"/>
    </row>
    <row r="145">
      <c r="A145" s="10" t="s">
        <v>154</v>
      </c>
      <c r="B145" s="10" t="s">
        <v>111</v>
      </c>
      <c r="C145" s="10" t="s">
        <v>155</v>
      </c>
      <c r="D145" s="11">
        <v>23</v>
      </c>
      <c r="E145" s="11">
        <f>=ROUNDDOWN(5.11111111111111,0)</f>
      </c>
      <c r="F145" s="11"/>
      <c r="G145" s="12"/>
      <c r="H145" s="11"/>
      <c r="I145" s="11">
        <f>=ROUNDDOWN({0},0)</f>
      </c>
      <c r="J145" s="11"/>
      <c r="K145" s="12"/>
      <c r="L145" s="11">
        <v>76</v>
      </c>
      <c r="M145" s="13">
        <v>1153.09</v>
      </c>
      <c r="N145" s="11">
        <v>1</v>
      </c>
      <c r="O145" s="14">
        <v>1153.09</v>
      </c>
      <c r="P145" s="11"/>
      <c r="Q145" s="13"/>
      <c r="R145" s="11"/>
      <c r="S145" s="14"/>
      <c r="T145" s="12"/>
      <c r="U145" s="12"/>
      <c r="V145" s="12"/>
      <c r="W145" s="12"/>
      <c r="X145" s="11"/>
      <c r="Y145" s="13"/>
      <c r="Z145" s="11"/>
      <c r="AA145" s="11"/>
      <c r="AB145" s="13"/>
      <c r="AC145" s="11"/>
      <c r="AD145" s="12"/>
      <c r="AE145" s="12"/>
      <c r="AF145" s="11"/>
      <c r="AG145" s="13"/>
      <c r="AH145" s="11">
        <v>1</v>
      </c>
      <c r="AI145" s="11"/>
      <c r="AJ145" s="13"/>
      <c r="AK145" s="11"/>
      <c r="AL145" s="12"/>
      <c r="AM145" s="12"/>
      <c r="AN145" s="11">
        <v>42</v>
      </c>
      <c r="AO145" s="13">
        <v>821.1</v>
      </c>
      <c r="AP145" s="11">
        <v>1</v>
      </c>
      <c r="AQ145" s="11"/>
      <c r="AR145" s="13"/>
      <c r="AS145" s="11"/>
      <c r="AT145" s="12"/>
      <c r="AU145" s="12"/>
      <c r="AV145" s="11">
        <v>7</v>
      </c>
      <c r="AW145" s="13">
        <v>47.11</v>
      </c>
      <c r="AX145" s="11">
        <v>1</v>
      </c>
      <c r="AY145" s="11"/>
      <c r="AZ145" s="13"/>
      <c r="BA145" s="11"/>
      <c r="BB145" s="12"/>
      <c r="BC145" s="12"/>
      <c r="BD145" s="11"/>
      <c r="BE145" s="13"/>
      <c r="BF145" s="11">
        <v>1</v>
      </c>
      <c r="BG145" s="11"/>
      <c r="BH145" s="13"/>
      <c r="BI145" s="11"/>
      <c r="BJ145" s="12"/>
      <c r="BK145" s="12"/>
      <c r="BL145" s="11"/>
      <c r="BM145" s="13"/>
      <c r="BN145" s="11">
        <v>1</v>
      </c>
      <c r="BO145" s="11"/>
      <c r="BP145" s="13"/>
      <c r="BQ145" s="11"/>
      <c r="BR145" s="12"/>
      <c r="BS145" s="12"/>
      <c r="BT145" s="11">
        <v>3</v>
      </c>
      <c r="BU145" s="13">
        <v>65.75</v>
      </c>
      <c r="BV145" s="11">
        <v>1</v>
      </c>
      <c r="BW145" s="11"/>
      <c r="BX145" s="13"/>
      <c r="BY145" s="11"/>
      <c r="BZ145" s="12"/>
      <c r="CA145" s="12"/>
      <c r="CB145" s="11"/>
      <c r="CC145" s="13"/>
      <c r="CD145" s="11"/>
      <c r="CE145" s="11"/>
      <c r="CF145" s="13"/>
      <c r="CG145" s="11"/>
      <c r="CH145" s="12"/>
      <c r="CI145" s="12"/>
      <c r="CJ145" s="11"/>
      <c r="CK145" s="13"/>
      <c r="CL145" s="11">
        <v>1</v>
      </c>
      <c r="CM145" s="11"/>
      <c r="CN145" s="13"/>
      <c r="CO145" s="11"/>
      <c r="CP145" s="12"/>
      <c r="CQ145" s="12"/>
      <c r="CR145" s="11"/>
      <c r="CS145" s="13"/>
      <c r="CT145" s="11"/>
      <c r="CU145" s="11"/>
      <c r="CV145" s="13"/>
      <c r="CW145" s="11"/>
      <c r="CX145" s="12"/>
      <c r="CY145" s="12"/>
      <c r="CZ145" s="11">
        <v>18</v>
      </c>
      <c r="DA145" s="13">
        <v>102.96</v>
      </c>
      <c r="DB145" s="11">
        <v>1</v>
      </c>
      <c r="DC145" s="11"/>
      <c r="DD145" s="13"/>
      <c r="DE145" s="11"/>
      <c r="DF145" s="12"/>
      <c r="DG145" s="12"/>
      <c r="DH145" s="11">
        <v>1</v>
      </c>
      <c r="DI145" s="13">
        <v>10.08</v>
      </c>
      <c r="DJ145" s="11">
        <v>1</v>
      </c>
      <c r="DK145" s="11"/>
      <c r="DL145" s="13"/>
      <c r="DM145" s="11"/>
      <c r="DN145" s="12"/>
      <c r="DO145" s="12"/>
      <c r="DP145" s="11">
        <v>1</v>
      </c>
      <c r="DQ145" s="13">
        <v>21.18</v>
      </c>
      <c r="DR145" s="11">
        <v>1</v>
      </c>
      <c r="DS145" s="11"/>
      <c r="DT145" s="13"/>
      <c r="DU145" s="11"/>
      <c r="DV145" s="12"/>
      <c r="DW145" s="12"/>
      <c r="DX145" s="11"/>
      <c r="DY145" s="13"/>
      <c r="DZ145" s="11"/>
      <c r="EA145" s="11"/>
      <c r="EB145" s="13"/>
      <c r="EC145" s="11"/>
      <c r="ED145" s="12"/>
      <c r="EE145" s="12"/>
      <c r="EF145" s="11"/>
      <c r="EG145" s="13"/>
      <c r="EH145" s="11"/>
      <c r="EI145" s="11"/>
      <c r="EJ145" s="13"/>
      <c r="EK145" s="11"/>
      <c r="EL145" s="12"/>
      <c r="EM145" s="12"/>
      <c r="EN145" s="11"/>
      <c r="EO145" s="13"/>
      <c r="EP145" s="11">
        <v>1</v>
      </c>
      <c r="EQ145" s="11"/>
      <c r="ER145" s="13"/>
      <c r="ES145" s="11"/>
      <c r="ET145" s="12"/>
      <c r="EU145" s="12"/>
      <c r="EV145" s="11"/>
      <c r="EW145" s="13"/>
      <c r="EX145" s="11"/>
      <c r="EY145" s="11"/>
      <c r="EZ145" s="13"/>
      <c r="FA145" s="11"/>
      <c r="FB145" s="12"/>
      <c r="FC145" s="12"/>
      <c r="FD145" s="11"/>
      <c r="FE145" s="13"/>
      <c r="FF145" s="11"/>
      <c r="FG145" s="11"/>
      <c r="FH145" s="13"/>
      <c r="FI145" s="11"/>
      <c r="FJ145" s="12"/>
      <c r="FK145" s="12"/>
      <c r="FL145" s="11"/>
      <c r="FM145" s="13"/>
      <c r="FN145" s="11"/>
      <c r="FO145" s="11"/>
      <c r="FP145" s="13"/>
      <c r="FQ145" s="11"/>
      <c r="FR145" s="12"/>
      <c r="FS145" s="12"/>
      <c r="FT145" s="11">
        <v>1</v>
      </c>
      <c r="FU145" s="13">
        <v>20.17</v>
      </c>
      <c r="FV145" s="11">
        <v>1</v>
      </c>
      <c r="FW145" s="11"/>
      <c r="FX145" s="13"/>
      <c r="FY145" s="11"/>
      <c r="FZ145" s="12"/>
      <c r="GA145" s="12"/>
      <c r="GB145" s="11">
        <v>2</v>
      </c>
      <c r="GC145" s="13">
        <v>43.56</v>
      </c>
      <c r="GD145" s="11">
        <v>1</v>
      </c>
      <c r="GE145" s="11"/>
      <c r="GF145" s="13"/>
      <c r="GG145" s="11"/>
      <c r="GH145" s="12"/>
      <c r="GI145" s="12"/>
      <c r="GJ145" s="11"/>
      <c r="GK145" s="13"/>
      <c r="GL145" s="11">
        <v>1</v>
      </c>
      <c r="GM145" s="11"/>
      <c r="GN145" s="13"/>
      <c r="GO145" s="11"/>
      <c r="GP145" s="12"/>
      <c r="GQ145" s="12"/>
      <c r="GR145" s="11"/>
      <c r="GS145" s="13"/>
      <c r="GT145" s="11">
        <v>1</v>
      </c>
      <c r="GU145" s="11"/>
      <c r="GV145" s="13"/>
      <c r="GW145" s="11"/>
      <c r="GX145" s="12"/>
      <c r="GY145" s="12"/>
      <c r="GZ145" s="11"/>
      <c r="HA145" s="13"/>
      <c r="HB145" s="11"/>
      <c r="HC145" s="11"/>
      <c r="HD145" s="13"/>
      <c r="HE145" s="11"/>
      <c r="HF145" s="12"/>
      <c r="HG145" s="12"/>
      <c r="HH145" s="11">
        <v>1</v>
      </c>
      <c r="HI145" s="13">
        <v>21.18</v>
      </c>
      <c r="HJ145" s="11"/>
      <c r="HK145" s="11"/>
      <c r="HL145" s="13"/>
      <c r="HM145" s="11"/>
      <c r="HN145" s="12"/>
      <c r="HO145" s="12"/>
      <c r="HP145" s="11"/>
      <c r="HQ145" s="13"/>
      <c r="HR145" s="11"/>
      <c r="HS145" s="11"/>
      <c r="HT145" s="13"/>
      <c r="HU145" s="11"/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>
        <v>1</v>
      </c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/>
      <c r="JO145" s="11"/>
      <c r="JP145" s="13"/>
      <c r="JQ145" s="11"/>
      <c r="JR145" s="12"/>
      <c r="JS145" s="12"/>
      <c r="JT145" s="11"/>
      <c r="JU145" s="13"/>
      <c r="JV145" s="11"/>
      <c r="JW145" s="11"/>
      <c r="JX145" s="13"/>
      <c r="JY145" s="11"/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/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  <c r="LH145" s="11"/>
      <c r="LI145" s="13"/>
      <c r="LJ145" s="11"/>
      <c r="LK145" s="11"/>
      <c r="LL145" s="13"/>
      <c r="LM145" s="11"/>
      <c r="LN145" s="12"/>
      <c r="LO145" s="12"/>
      <c r="LP145" s="11"/>
      <c r="LQ145" s="13"/>
      <c r="LR145" s="11"/>
      <c r="LS145" s="11"/>
      <c r="LT145" s="13"/>
      <c r="LU145" s="11"/>
      <c r="LV145" s="12"/>
      <c r="LW145" s="12"/>
    </row>
    <row r="146">
      <c r="A146" s="10" t="s">
        <v>154</v>
      </c>
      <c r="B146" s="10" t="s">
        <v>111</v>
      </c>
      <c r="C146" s="10" t="s">
        <v>156</v>
      </c>
      <c r="D146" s="11">
        <v>112</v>
      </c>
      <c r="E146" s="11">
        <f>=ROUNDDOWN(37.3333333333333,0)</f>
      </c>
      <c r="F146" s="11"/>
      <c r="G146" s="12">
        <v>1</v>
      </c>
      <c r="H146" s="11"/>
      <c r="I146" s="11">
        <f>=ROUNDDOWN({0},0)</f>
      </c>
      <c r="J146" s="11"/>
      <c r="K146" s="12"/>
      <c r="L146" s="11">
        <v>48</v>
      </c>
      <c r="M146" s="13">
        <v>2090.67</v>
      </c>
      <c r="N146" s="11">
        <v>1</v>
      </c>
      <c r="O146" s="14">
        <v>2090.67</v>
      </c>
      <c r="P146" s="11"/>
      <c r="Q146" s="13"/>
      <c r="R146" s="11"/>
      <c r="S146" s="14"/>
      <c r="T146" s="12"/>
      <c r="U146" s="12"/>
      <c r="V146" s="12"/>
      <c r="W146" s="12"/>
      <c r="X146" s="11"/>
      <c r="Y146" s="13"/>
      <c r="Z146" s="11"/>
      <c r="AA146" s="11"/>
      <c r="AB146" s="13"/>
      <c r="AC146" s="11"/>
      <c r="AD146" s="12"/>
      <c r="AE146" s="12"/>
      <c r="AF146" s="11">
        <v>20</v>
      </c>
      <c r="AG146" s="13">
        <v>736.75</v>
      </c>
      <c r="AH146" s="11">
        <v>1</v>
      </c>
      <c r="AI146" s="11"/>
      <c r="AJ146" s="13"/>
      <c r="AK146" s="11"/>
      <c r="AL146" s="12"/>
      <c r="AM146" s="12"/>
      <c r="AN146" s="11">
        <v>6</v>
      </c>
      <c r="AO146" s="13">
        <v>270</v>
      </c>
      <c r="AP146" s="11">
        <v>1</v>
      </c>
      <c r="AQ146" s="11"/>
      <c r="AR146" s="13"/>
      <c r="AS146" s="11"/>
      <c r="AT146" s="12"/>
      <c r="AU146" s="12"/>
      <c r="AV146" s="11"/>
      <c r="AW146" s="13"/>
      <c r="AX146" s="11">
        <v>1</v>
      </c>
      <c r="AY146" s="11"/>
      <c r="AZ146" s="13"/>
      <c r="BA146" s="11"/>
      <c r="BB146" s="12"/>
      <c r="BC146" s="12"/>
      <c r="BD146" s="11"/>
      <c r="BE146" s="13"/>
      <c r="BF146" s="11">
        <v>1</v>
      </c>
      <c r="BG146" s="11"/>
      <c r="BH146" s="13"/>
      <c r="BI146" s="11"/>
      <c r="BJ146" s="12"/>
      <c r="BK146" s="12"/>
      <c r="BL146" s="11">
        <v>1</v>
      </c>
      <c r="BM146" s="13">
        <v>57.17</v>
      </c>
      <c r="BN146" s="11">
        <v>1</v>
      </c>
      <c r="BO146" s="11"/>
      <c r="BP146" s="13"/>
      <c r="BQ146" s="11"/>
      <c r="BR146" s="12"/>
      <c r="BS146" s="12"/>
      <c r="BT146" s="11">
        <v>3</v>
      </c>
      <c r="BU146" s="13">
        <v>129.06</v>
      </c>
      <c r="BV146" s="11">
        <v>1</v>
      </c>
      <c r="BW146" s="11"/>
      <c r="BX146" s="13"/>
      <c r="BY146" s="11"/>
      <c r="BZ146" s="12"/>
      <c r="CA146" s="12"/>
      <c r="CB146" s="11"/>
      <c r="CC146" s="13"/>
      <c r="CD146" s="11"/>
      <c r="CE146" s="11"/>
      <c r="CF146" s="13"/>
      <c r="CG146" s="11"/>
      <c r="CH146" s="12"/>
      <c r="CI146" s="12"/>
      <c r="CJ146" s="11"/>
      <c r="CK146" s="13"/>
      <c r="CL146" s="11">
        <v>1</v>
      </c>
      <c r="CM146" s="11"/>
      <c r="CN146" s="13"/>
      <c r="CO146" s="11"/>
      <c r="CP146" s="12"/>
      <c r="CQ146" s="12"/>
      <c r="CR146" s="11"/>
      <c r="CS146" s="13"/>
      <c r="CT146" s="11"/>
      <c r="CU146" s="11"/>
      <c r="CV146" s="13"/>
      <c r="CW146" s="11"/>
      <c r="CX146" s="12"/>
      <c r="CY146" s="12"/>
      <c r="CZ146" s="11">
        <v>15</v>
      </c>
      <c r="DA146" s="13">
        <v>764.1</v>
      </c>
      <c r="DB146" s="11">
        <v>1</v>
      </c>
      <c r="DC146" s="11"/>
      <c r="DD146" s="13"/>
      <c r="DE146" s="11"/>
      <c r="DF146" s="12"/>
      <c r="DG146" s="12"/>
      <c r="DH146" s="11"/>
      <c r="DI146" s="13"/>
      <c r="DJ146" s="11">
        <v>1</v>
      </c>
      <c r="DK146" s="11"/>
      <c r="DL146" s="13"/>
      <c r="DM146" s="11"/>
      <c r="DN146" s="12"/>
      <c r="DO146" s="12"/>
      <c r="DP146" s="11"/>
      <c r="DQ146" s="13"/>
      <c r="DR146" s="11">
        <v>1</v>
      </c>
      <c r="DS146" s="11"/>
      <c r="DT146" s="13"/>
      <c r="DU146" s="11"/>
      <c r="DV146" s="12"/>
      <c r="DW146" s="12"/>
      <c r="DX146" s="11"/>
      <c r="DY146" s="13"/>
      <c r="DZ146" s="11"/>
      <c r="EA146" s="11"/>
      <c r="EB146" s="13"/>
      <c r="EC146" s="11"/>
      <c r="ED146" s="12"/>
      <c r="EE146" s="12"/>
      <c r="EF146" s="11"/>
      <c r="EG146" s="13"/>
      <c r="EH146" s="11"/>
      <c r="EI146" s="11"/>
      <c r="EJ146" s="13"/>
      <c r="EK146" s="11"/>
      <c r="EL146" s="12"/>
      <c r="EM146" s="12"/>
      <c r="EN146" s="11"/>
      <c r="EO146" s="13"/>
      <c r="EP146" s="11">
        <v>1</v>
      </c>
      <c r="EQ146" s="11"/>
      <c r="ER146" s="13"/>
      <c r="ES146" s="11"/>
      <c r="ET146" s="12"/>
      <c r="EU146" s="12"/>
      <c r="EV146" s="11"/>
      <c r="EW146" s="13"/>
      <c r="EX146" s="11"/>
      <c r="EY146" s="11"/>
      <c r="EZ146" s="13"/>
      <c r="FA146" s="11"/>
      <c r="FB146" s="12"/>
      <c r="FC146" s="12"/>
      <c r="FD146" s="11"/>
      <c r="FE146" s="13"/>
      <c r="FF146" s="11"/>
      <c r="FG146" s="11"/>
      <c r="FH146" s="13"/>
      <c r="FI146" s="11"/>
      <c r="FJ146" s="12"/>
      <c r="FK146" s="12"/>
      <c r="FL146" s="11"/>
      <c r="FM146" s="13"/>
      <c r="FN146" s="11"/>
      <c r="FO146" s="11"/>
      <c r="FP146" s="13"/>
      <c r="FQ146" s="11"/>
      <c r="FR146" s="12"/>
      <c r="FS146" s="12"/>
      <c r="FT146" s="11"/>
      <c r="FU146" s="13"/>
      <c r="FV146" s="11">
        <v>1</v>
      </c>
      <c r="FW146" s="11"/>
      <c r="FX146" s="13"/>
      <c r="FY146" s="11"/>
      <c r="FZ146" s="12"/>
      <c r="GA146" s="12"/>
      <c r="GB146" s="11">
        <v>3</v>
      </c>
      <c r="GC146" s="13">
        <v>133.59</v>
      </c>
      <c r="GD146" s="11">
        <v>1</v>
      </c>
      <c r="GE146" s="11"/>
      <c r="GF146" s="13"/>
      <c r="GG146" s="11"/>
      <c r="GH146" s="12"/>
      <c r="GI146" s="12"/>
      <c r="GJ146" s="11"/>
      <c r="GK146" s="13"/>
      <c r="GL146" s="11">
        <v>1</v>
      </c>
      <c r="GM146" s="11"/>
      <c r="GN146" s="13"/>
      <c r="GO146" s="11"/>
      <c r="GP146" s="12"/>
      <c r="GQ146" s="12"/>
      <c r="GR146" s="11"/>
      <c r="GS146" s="13"/>
      <c r="GT146" s="11"/>
      <c r="GU146" s="11"/>
      <c r="GV146" s="13"/>
      <c r="GW146" s="11"/>
      <c r="GX146" s="12"/>
      <c r="GY146" s="12"/>
      <c r="GZ146" s="11"/>
      <c r="HA146" s="13"/>
      <c r="HB146" s="11"/>
      <c r="HC146" s="11"/>
      <c r="HD146" s="13"/>
      <c r="HE146" s="11"/>
      <c r="HF146" s="12"/>
      <c r="HG146" s="12"/>
      <c r="HH146" s="11"/>
      <c r="HI146" s="13"/>
      <c r="HJ146" s="11"/>
      <c r="HK146" s="11"/>
      <c r="HL146" s="13"/>
      <c r="HM146" s="11"/>
      <c r="HN146" s="12"/>
      <c r="HO146" s="12"/>
      <c r="HP146" s="11"/>
      <c r="HQ146" s="13"/>
      <c r="HR146" s="11"/>
      <c r="HS146" s="11"/>
      <c r="HT146" s="13"/>
      <c r="HU146" s="11"/>
      <c r="HV146" s="12"/>
      <c r="HW146" s="12"/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>
        <v>1</v>
      </c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/>
      <c r="JP146" s="13"/>
      <c r="JQ146" s="11"/>
      <c r="JR146" s="12"/>
      <c r="JS146" s="12"/>
      <c r="JT146" s="11"/>
      <c r="JU146" s="13"/>
      <c r="JV146" s="11"/>
      <c r="JW146" s="11"/>
      <c r="JX146" s="13"/>
      <c r="JY146" s="11"/>
      <c r="JZ146" s="12"/>
      <c r="KA146" s="12"/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  <c r="LH146" s="11"/>
      <c r="LI146" s="13"/>
      <c r="LJ146" s="11"/>
      <c r="LK146" s="11"/>
      <c r="LL146" s="13"/>
      <c r="LM146" s="11"/>
      <c r="LN146" s="12"/>
      <c r="LO146" s="12"/>
      <c r="LP146" s="11"/>
      <c r="LQ146" s="13"/>
      <c r="LR146" s="11"/>
      <c r="LS146" s="11"/>
      <c r="LT146" s="13"/>
      <c r="LU146" s="11"/>
      <c r="LV146" s="12"/>
      <c r="LW146" s="12"/>
    </row>
    <row r="147">
      <c r="A147" s="10" t="s">
        <v>154</v>
      </c>
      <c r="B147" s="10" t="s">
        <v>112</v>
      </c>
      <c r="C147" s="10" t="s">
        <v>77</v>
      </c>
      <c r="D147" s="11">
        <v>153</v>
      </c>
      <c r="E147" s="11">
        <f>=ROUNDDOWN({0},0)</f>
      </c>
      <c r="F147" s="11"/>
      <c r="G147" s="12"/>
      <c r="H147" s="11"/>
      <c r="I147" s="11">
        <f>=ROUNDDOWN({0},0)</f>
      </c>
      <c r="J147" s="11"/>
      <c r="K147" s="12"/>
      <c r="L147" s="11">
        <v>155</v>
      </c>
      <c r="M147" s="13">
        <v>4048.45</v>
      </c>
      <c r="N147" s="11">
        <v>3</v>
      </c>
      <c r="O147" s="14">
        <v>1349.48</v>
      </c>
      <c r="P147" s="11"/>
      <c r="Q147" s="13"/>
      <c r="R147" s="11"/>
      <c r="S147" s="14"/>
      <c r="T147" s="12"/>
      <c r="U147" s="12"/>
      <c r="V147" s="12"/>
      <c r="W147" s="12"/>
      <c r="X147" s="11"/>
      <c r="Y147" s="13"/>
      <c r="Z147" s="11"/>
      <c r="AA147" s="11"/>
      <c r="AB147" s="13"/>
      <c r="AC147" s="11"/>
      <c r="AD147" s="12"/>
      <c r="AE147" s="12"/>
      <c r="AF147" s="11">
        <v>22</v>
      </c>
      <c r="AG147" s="13">
        <v>775.43</v>
      </c>
      <c r="AH147" s="11">
        <v>3</v>
      </c>
      <c r="AI147" s="11"/>
      <c r="AJ147" s="13"/>
      <c r="AK147" s="11"/>
      <c r="AL147" s="12"/>
      <c r="AM147" s="12"/>
      <c r="AN147" s="11">
        <v>50</v>
      </c>
      <c r="AO147" s="13">
        <v>1140.98</v>
      </c>
      <c r="AP147" s="11">
        <v>3</v>
      </c>
      <c r="AQ147" s="11"/>
      <c r="AR147" s="13"/>
      <c r="AS147" s="11"/>
      <c r="AT147" s="12"/>
      <c r="AU147" s="12"/>
      <c r="AV147" s="11">
        <v>12</v>
      </c>
      <c r="AW147" s="13">
        <v>174.21</v>
      </c>
      <c r="AX147" s="11">
        <v>3</v>
      </c>
      <c r="AY147" s="11"/>
      <c r="AZ147" s="13"/>
      <c r="BA147" s="11"/>
      <c r="BB147" s="12"/>
      <c r="BC147" s="12"/>
      <c r="BD147" s="11"/>
      <c r="BE147" s="13"/>
      <c r="BF147" s="11">
        <v>3</v>
      </c>
      <c r="BG147" s="11"/>
      <c r="BH147" s="13"/>
      <c r="BI147" s="11"/>
      <c r="BJ147" s="12"/>
      <c r="BK147" s="12"/>
      <c r="BL147" s="11">
        <v>3</v>
      </c>
      <c r="BM147" s="13">
        <v>113.93</v>
      </c>
      <c r="BN147" s="11">
        <v>3</v>
      </c>
      <c r="BO147" s="11"/>
      <c r="BP147" s="13"/>
      <c r="BQ147" s="11"/>
      <c r="BR147" s="12"/>
      <c r="BS147" s="12"/>
      <c r="BT147" s="11">
        <v>10</v>
      </c>
      <c r="BU147" s="13">
        <v>294.55</v>
      </c>
      <c r="BV147" s="11">
        <v>3</v>
      </c>
      <c r="BW147" s="11"/>
      <c r="BX147" s="13"/>
      <c r="BY147" s="11"/>
      <c r="BZ147" s="12"/>
      <c r="CA147" s="12"/>
      <c r="CB147" s="11"/>
      <c r="CC147" s="13"/>
      <c r="CD147" s="11"/>
      <c r="CE147" s="11"/>
      <c r="CF147" s="13"/>
      <c r="CG147" s="11"/>
      <c r="CH147" s="12"/>
      <c r="CI147" s="12"/>
      <c r="CJ147" s="11">
        <v>2</v>
      </c>
      <c r="CK147" s="13">
        <v>94.98</v>
      </c>
      <c r="CL147" s="11">
        <v>3</v>
      </c>
      <c r="CM147" s="11"/>
      <c r="CN147" s="13"/>
      <c r="CO147" s="11"/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>
        <v>40</v>
      </c>
      <c r="DA147" s="13">
        <v>1035.06</v>
      </c>
      <c r="DB147" s="11">
        <v>3</v>
      </c>
      <c r="DC147" s="11"/>
      <c r="DD147" s="13"/>
      <c r="DE147" s="11"/>
      <c r="DF147" s="12"/>
      <c r="DG147" s="12"/>
      <c r="DH147" s="11">
        <v>1</v>
      </c>
      <c r="DI147" s="13">
        <v>10.08</v>
      </c>
      <c r="DJ147" s="11">
        <v>3</v>
      </c>
      <c r="DK147" s="11"/>
      <c r="DL147" s="13"/>
      <c r="DM147" s="11"/>
      <c r="DN147" s="12"/>
      <c r="DO147" s="12"/>
      <c r="DP147" s="11">
        <v>1</v>
      </c>
      <c r="DQ147" s="13">
        <v>21.18</v>
      </c>
      <c r="DR147" s="11">
        <v>3</v>
      </c>
      <c r="DS147" s="11"/>
      <c r="DT147" s="13"/>
      <c r="DU147" s="11"/>
      <c r="DV147" s="12"/>
      <c r="DW147" s="12"/>
      <c r="DX147" s="11">
        <v>1</v>
      </c>
      <c r="DY147" s="13">
        <v>26.77</v>
      </c>
      <c r="DZ147" s="11">
        <v>1</v>
      </c>
      <c r="EA147" s="11"/>
      <c r="EB147" s="13"/>
      <c r="EC147" s="11"/>
      <c r="ED147" s="12"/>
      <c r="EE147" s="12"/>
      <c r="EF147" s="11"/>
      <c r="EG147" s="13"/>
      <c r="EH147" s="11"/>
      <c r="EI147" s="11"/>
      <c r="EJ147" s="13"/>
      <c r="EK147" s="11"/>
      <c r="EL147" s="12"/>
      <c r="EM147" s="12"/>
      <c r="EN147" s="11"/>
      <c r="EO147" s="13"/>
      <c r="EP147" s="11">
        <v>3</v>
      </c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>
        <v>2</v>
      </c>
      <c r="FU147" s="13">
        <v>41.97</v>
      </c>
      <c r="FV147" s="11">
        <v>3</v>
      </c>
      <c r="FW147" s="11"/>
      <c r="FX147" s="13"/>
      <c r="FY147" s="11"/>
      <c r="FZ147" s="12"/>
      <c r="GA147" s="12"/>
      <c r="GB147" s="11">
        <v>8</v>
      </c>
      <c r="GC147" s="13">
        <v>247.8</v>
      </c>
      <c r="GD147" s="11">
        <v>3</v>
      </c>
      <c r="GE147" s="11"/>
      <c r="GF147" s="13"/>
      <c r="GG147" s="11"/>
      <c r="GH147" s="12"/>
      <c r="GI147" s="12"/>
      <c r="GJ147" s="11">
        <v>1</v>
      </c>
      <c r="GK147" s="13">
        <v>23.55</v>
      </c>
      <c r="GL147" s="11">
        <v>3</v>
      </c>
      <c r="GM147" s="11"/>
      <c r="GN147" s="13"/>
      <c r="GO147" s="11"/>
      <c r="GP147" s="12"/>
      <c r="GQ147" s="12"/>
      <c r="GR147" s="11"/>
      <c r="GS147" s="13"/>
      <c r="GT147" s="11">
        <v>2</v>
      </c>
      <c r="GU147" s="11"/>
      <c r="GV147" s="13"/>
      <c r="GW147" s="11"/>
      <c r="GX147" s="12"/>
      <c r="GY147" s="12"/>
      <c r="GZ147" s="11"/>
      <c r="HA147" s="13"/>
      <c r="HB147" s="11"/>
      <c r="HC147" s="11"/>
      <c r="HD147" s="13"/>
      <c r="HE147" s="11"/>
      <c r="HF147" s="12"/>
      <c r="HG147" s="12"/>
      <c r="HH147" s="11">
        <v>2</v>
      </c>
      <c r="HI147" s="13">
        <v>47.96</v>
      </c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>
        <v>3</v>
      </c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/>
      <c r="JP147" s="13"/>
      <c r="JQ147" s="11"/>
      <c r="JR147" s="12"/>
      <c r="JS147" s="12"/>
      <c r="JT147" s="11"/>
      <c r="JU147" s="13"/>
      <c r="JV147" s="11"/>
      <c r="JW147" s="11"/>
      <c r="JX147" s="13"/>
      <c r="JY147" s="11"/>
      <c r="JZ147" s="12"/>
      <c r="KA147" s="12"/>
      <c r="KB147" s="11"/>
      <c r="KC147" s="13"/>
      <c r="KD147" s="11"/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  <c r="LH147" s="11"/>
      <c r="LI147" s="13"/>
      <c r="LJ147" s="11"/>
      <c r="LK147" s="11"/>
      <c r="LL147" s="13"/>
      <c r="LM147" s="11"/>
      <c r="LN147" s="12"/>
      <c r="LO147" s="12"/>
      <c r="LP147" s="11"/>
      <c r="LQ147" s="13"/>
      <c r="LR147" s="11"/>
      <c r="LS147" s="11"/>
      <c r="LT147" s="13"/>
      <c r="LU147" s="11"/>
      <c r="LV147" s="12"/>
      <c r="LW147" s="12"/>
    </row>
    <row r="148">
      <c r="A148" s="10" t="s">
        <v>154</v>
      </c>
      <c r="B148" s="10" t="s">
        <v>113</v>
      </c>
      <c r="C148" s="10" t="s">
        <v>159</v>
      </c>
      <c r="D148" s="11">
        <v>255</v>
      </c>
      <c r="E148" s="11">
        <f>=ROUNDDOWN(31.4814814814815,0)</f>
      </c>
      <c r="F148" s="11"/>
      <c r="G148" s="12">
        <v>1</v>
      </c>
      <c r="H148" s="11"/>
      <c r="I148" s="11">
        <f>=ROUNDDOWN({0},0)</f>
      </c>
      <c r="J148" s="11"/>
      <c r="K148" s="12"/>
      <c r="L148" s="11">
        <v>123</v>
      </c>
      <c r="M148" s="13">
        <v>6624.22</v>
      </c>
      <c r="N148" s="11">
        <v>2</v>
      </c>
      <c r="O148" s="14">
        <v>3312.11</v>
      </c>
      <c r="P148" s="11"/>
      <c r="Q148" s="13"/>
      <c r="R148" s="11"/>
      <c r="S148" s="14"/>
      <c r="T148" s="12"/>
      <c r="U148" s="12"/>
      <c r="V148" s="12"/>
      <c r="W148" s="12"/>
      <c r="X148" s="11">
        <v>23</v>
      </c>
      <c r="Y148" s="13">
        <v>1289.52</v>
      </c>
      <c r="Z148" s="11">
        <v>2</v>
      </c>
      <c r="AA148" s="11"/>
      <c r="AB148" s="13"/>
      <c r="AC148" s="11"/>
      <c r="AD148" s="12"/>
      <c r="AE148" s="12"/>
      <c r="AF148" s="11">
        <v>25</v>
      </c>
      <c r="AG148" s="13">
        <v>912.4</v>
      </c>
      <c r="AH148" s="11">
        <v>2</v>
      </c>
      <c r="AI148" s="11"/>
      <c r="AJ148" s="13"/>
      <c r="AK148" s="11"/>
      <c r="AL148" s="12"/>
      <c r="AM148" s="12"/>
      <c r="AN148" s="11">
        <v>14</v>
      </c>
      <c r="AO148" s="13">
        <v>798.1</v>
      </c>
      <c r="AP148" s="11">
        <v>2</v>
      </c>
      <c r="AQ148" s="11"/>
      <c r="AR148" s="13"/>
      <c r="AS148" s="11"/>
      <c r="AT148" s="12"/>
      <c r="AU148" s="12"/>
      <c r="AV148" s="11">
        <v>3</v>
      </c>
      <c r="AW148" s="13">
        <v>172.04</v>
      </c>
      <c r="AX148" s="11">
        <v>2</v>
      </c>
      <c r="AY148" s="11"/>
      <c r="AZ148" s="13"/>
      <c r="BA148" s="11"/>
      <c r="BB148" s="12"/>
      <c r="BC148" s="12"/>
      <c r="BD148" s="11"/>
      <c r="BE148" s="13"/>
      <c r="BF148" s="11">
        <v>2</v>
      </c>
      <c r="BG148" s="11"/>
      <c r="BH148" s="13"/>
      <c r="BI148" s="11"/>
      <c r="BJ148" s="12"/>
      <c r="BK148" s="12"/>
      <c r="BL148" s="11">
        <v>3</v>
      </c>
      <c r="BM148" s="13">
        <v>219.72</v>
      </c>
      <c r="BN148" s="11">
        <v>2</v>
      </c>
      <c r="BO148" s="11"/>
      <c r="BP148" s="13"/>
      <c r="BQ148" s="11"/>
      <c r="BR148" s="12"/>
      <c r="BS148" s="12"/>
      <c r="BT148" s="11">
        <v>21</v>
      </c>
      <c r="BU148" s="13">
        <v>1220.08</v>
      </c>
      <c r="BV148" s="11">
        <v>2</v>
      </c>
      <c r="BW148" s="11"/>
      <c r="BX148" s="13"/>
      <c r="BY148" s="11"/>
      <c r="BZ148" s="12"/>
      <c r="CA148" s="12"/>
      <c r="CB148" s="11"/>
      <c r="CC148" s="13"/>
      <c r="CD148" s="11"/>
      <c r="CE148" s="11"/>
      <c r="CF148" s="13"/>
      <c r="CG148" s="11"/>
      <c r="CH148" s="12"/>
      <c r="CI148" s="12"/>
      <c r="CJ148" s="11"/>
      <c r="CK148" s="13"/>
      <c r="CL148" s="11">
        <v>2</v>
      </c>
      <c r="CM148" s="11"/>
      <c r="CN148" s="13"/>
      <c r="CO148" s="11"/>
      <c r="CP148" s="12"/>
      <c r="CQ148" s="12"/>
      <c r="CR148" s="11"/>
      <c r="CS148" s="13"/>
      <c r="CT148" s="11"/>
      <c r="CU148" s="11"/>
      <c r="CV148" s="13"/>
      <c r="CW148" s="11"/>
      <c r="CX148" s="12"/>
      <c r="CY148" s="12"/>
      <c r="CZ148" s="11">
        <v>11</v>
      </c>
      <c r="DA148" s="13">
        <v>754.93</v>
      </c>
      <c r="DB148" s="11">
        <v>1</v>
      </c>
      <c r="DC148" s="11"/>
      <c r="DD148" s="13"/>
      <c r="DE148" s="11"/>
      <c r="DF148" s="12"/>
      <c r="DG148" s="12"/>
      <c r="DH148" s="11">
        <v>12</v>
      </c>
      <c r="DI148" s="13">
        <v>653.82</v>
      </c>
      <c r="DJ148" s="11">
        <v>2</v>
      </c>
      <c r="DK148" s="11"/>
      <c r="DL148" s="13"/>
      <c r="DM148" s="11"/>
      <c r="DN148" s="12"/>
      <c r="DO148" s="12"/>
      <c r="DP148" s="11">
        <v>1</v>
      </c>
      <c r="DQ148" s="13">
        <v>61.77</v>
      </c>
      <c r="DR148" s="11">
        <v>2</v>
      </c>
      <c r="DS148" s="11"/>
      <c r="DT148" s="13"/>
      <c r="DU148" s="11"/>
      <c r="DV148" s="12"/>
      <c r="DW148" s="12"/>
      <c r="DX148" s="11">
        <v>2</v>
      </c>
      <c r="DY148" s="13">
        <v>118.06</v>
      </c>
      <c r="DZ148" s="11">
        <v>2</v>
      </c>
      <c r="EA148" s="11"/>
      <c r="EB148" s="13"/>
      <c r="EC148" s="11"/>
      <c r="ED148" s="12"/>
      <c r="EE148" s="12"/>
      <c r="EF148" s="11"/>
      <c r="EG148" s="13"/>
      <c r="EH148" s="11"/>
      <c r="EI148" s="11"/>
      <c r="EJ148" s="13"/>
      <c r="EK148" s="11"/>
      <c r="EL148" s="12"/>
      <c r="EM148" s="12"/>
      <c r="EN148" s="11"/>
      <c r="EO148" s="13"/>
      <c r="EP148" s="11">
        <v>2</v>
      </c>
      <c r="EQ148" s="11"/>
      <c r="ER148" s="13"/>
      <c r="ES148" s="11"/>
      <c r="ET148" s="12"/>
      <c r="EU148" s="12"/>
      <c r="EV148" s="11"/>
      <c r="EW148" s="13"/>
      <c r="EX148" s="11"/>
      <c r="EY148" s="11"/>
      <c r="EZ148" s="13"/>
      <c r="FA148" s="11"/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>
        <v>1</v>
      </c>
      <c r="FM148" s="13">
        <v>63.54</v>
      </c>
      <c r="FN148" s="11">
        <v>1</v>
      </c>
      <c r="FO148" s="11"/>
      <c r="FP148" s="13"/>
      <c r="FQ148" s="11"/>
      <c r="FR148" s="12"/>
      <c r="FS148" s="12"/>
      <c r="FT148" s="11">
        <v>2</v>
      </c>
      <c r="FU148" s="13">
        <v>117.66</v>
      </c>
      <c r="FV148" s="11">
        <v>1</v>
      </c>
      <c r="FW148" s="11"/>
      <c r="FX148" s="13"/>
      <c r="FY148" s="11"/>
      <c r="FZ148" s="12"/>
      <c r="GA148" s="12"/>
      <c r="GB148" s="11">
        <v>4</v>
      </c>
      <c r="GC148" s="13">
        <v>179.04</v>
      </c>
      <c r="GD148" s="11">
        <v>2</v>
      </c>
      <c r="GE148" s="11"/>
      <c r="GF148" s="13"/>
      <c r="GG148" s="11"/>
      <c r="GH148" s="12"/>
      <c r="GI148" s="12"/>
      <c r="GJ148" s="11">
        <v>1</v>
      </c>
      <c r="GK148" s="13">
        <v>63.54</v>
      </c>
      <c r="GL148" s="11">
        <v>2</v>
      </c>
      <c r="GM148" s="11"/>
      <c r="GN148" s="13"/>
      <c r="GO148" s="11"/>
      <c r="GP148" s="12"/>
      <c r="GQ148" s="12"/>
      <c r="GR148" s="11"/>
      <c r="GS148" s="13"/>
      <c r="GT148" s="11">
        <v>1</v>
      </c>
      <c r="GU148" s="11"/>
      <c r="GV148" s="13"/>
      <c r="GW148" s="11"/>
      <c r="GX148" s="12"/>
      <c r="GY148" s="12"/>
      <c r="GZ148" s="11"/>
      <c r="HA148" s="13"/>
      <c r="HB148" s="11">
        <v>1</v>
      </c>
      <c r="HC148" s="11"/>
      <c r="HD148" s="13"/>
      <c r="HE148" s="11"/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>
        <v>2</v>
      </c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/>
      <c r="JO148" s="11"/>
      <c r="JP148" s="13"/>
      <c r="JQ148" s="11"/>
      <c r="JR148" s="12"/>
      <c r="JS148" s="12"/>
      <c r="JT148" s="11"/>
      <c r="JU148" s="13"/>
      <c r="JV148" s="11"/>
      <c r="JW148" s="11"/>
      <c r="JX148" s="13"/>
      <c r="JY148" s="11"/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/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  <c r="LH148" s="11"/>
      <c r="LI148" s="13"/>
      <c r="LJ148" s="11"/>
      <c r="LK148" s="11"/>
      <c r="LL148" s="13"/>
      <c r="LM148" s="11"/>
      <c r="LN148" s="12"/>
      <c r="LO148" s="12"/>
      <c r="LP148" s="11"/>
      <c r="LQ148" s="13"/>
      <c r="LR148" s="11"/>
      <c r="LS148" s="11"/>
      <c r="LT148" s="13"/>
      <c r="LU148" s="11"/>
      <c r="LV148" s="12"/>
      <c r="LW148" s="12"/>
    </row>
    <row r="149">
      <c r="A149" s="10" t="s">
        <v>154</v>
      </c>
      <c r="B149" s="10" t="s">
        <v>113</v>
      </c>
      <c r="C149" s="10" t="s">
        <v>155</v>
      </c>
      <c r="D149" s="11">
        <v>4633</v>
      </c>
      <c r="E149" s="11">
        <f>=ROUNDDOWN(11.8764419379646,0)</f>
      </c>
      <c r="F149" s="11">
        <v>6930</v>
      </c>
      <c r="G149" s="12">
        <v>0.9203</v>
      </c>
      <c r="H149" s="11"/>
      <c r="I149" s="11">
        <f>=ROUNDDOWN({0},0)</f>
      </c>
      <c r="J149" s="11"/>
      <c r="K149" s="12"/>
      <c r="L149" s="11">
        <v>5133</v>
      </c>
      <c r="M149" s="13">
        <v>234828.34</v>
      </c>
      <c r="N149" s="11">
        <v>32</v>
      </c>
      <c r="O149" s="14">
        <v>7338.39</v>
      </c>
      <c r="P149" s="11"/>
      <c r="Q149" s="13"/>
      <c r="R149" s="11"/>
      <c r="S149" s="14"/>
      <c r="T149" s="12"/>
      <c r="U149" s="12"/>
      <c r="V149" s="12"/>
      <c r="W149" s="12"/>
      <c r="X149" s="11">
        <v>753</v>
      </c>
      <c r="Y149" s="13">
        <v>32717.36</v>
      </c>
      <c r="Z149" s="11">
        <v>29</v>
      </c>
      <c r="AA149" s="11"/>
      <c r="AB149" s="13"/>
      <c r="AC149" s="11"/>
      <c r="AD149" s="12"/>
      <c r="AE149" s="12"/>
      <c r="AF149" s="11">
        <v>1738</v>
      </c>
      <c r="AG149" s="13">
        <v>72989.54</v>
      </c>
      <c r="AH149" s="11">
        <v>32</v>
      </c>
      <c r="AI149" s="11"/>
      <c r="AJ149" s="13"/>
      <c r="AK149" s="11"/>
      <c r="AL149" s="12"/>
      <c r="AM149" s="12"/>
      <c r="AN149" s="11">
        <v>528</v>
      </c>
      <c r="AO149" s="13">
        <v>20949.5</v>
      </c>
      <c r="AP149" s="11">
        <v>32</v>
      </c>
      <c r="AQ149" s="11"/>
      <c r="AR149" s="13"/>
      <c r="AS149" s="11"/>
      <c r="AT149" s="12"/>
      <c r="AU149" s="12"/>
      <c r="AV149" s="11">
        <v>246</v>
      </c>
      <c r="AW149" s="13">
        <v>14929.93</v>
      </c>
      <c r="AX149" s="11">
        <v>25</v>
      </c>
      <c r="AY149" s="11"/>
      <c r="AZ149" s="13"/>
      <c r="BA149" s="11"/>
      <c r="BB149" s="12"/>
      <c r="BC149" s="12"/>
      <c r="BD149" s="11">
        <v>27</v>
      </c>
      <c r="BE149" s="13">
        <v>1055.08</v>
      </c>
      <c r="BF149" s="11">
        <v>30</v>
      </c>
      <c r="BG149" s="11"/>
      <c r="BH149" s="13"/>
      <c r="BI149" s="11"/>
      <c r="BJ149" s="12"/>
      <c r="BK149" s="12"/>
      <c r="BL149" s="11">
        <v>248</v>
      </c>
      <c r="BM149" s="13">
        <v>13277.2</v>
      </c>
      <c r="BN149" s="11">
        <v>32</v>
      </c>
      <c r="BO149" s="11"/>
      <c r="BP149" s="13"/>
      <c r="BQ149" s="11"/>
      <c r="BR149" s="12"/>
      <c r="BS149" s="12"/>
      <c r="BT149" s="11">
        <v>453</v>
      </c>
      <c r="BU149" s="13">
        <v>23815.45</v>
      </c>
      <c r="BV149" s="11">
        <v>32</v>
      </c>
      <c r="BW149" s="11"/>
      <c r="BX149" s="13"/>
      <c r="BY149" s="11"/>
      <c r="BZ149" s="12"/>
      <c r="CA149" s="12"/>
      <c r="CB149" s="11">
        <v>167</v>
      </c>
      <c r="CC149" s="13">
        <v>7979.25</v>
      </c>
      <c r="CD149" s="11">
        <v>27</v>
      </c>
      <c r="CE149" s="11"/>
      <c r="CF149" s="13"/>
      <c r="CG149" s="11"/>
      <c r="CH149" s="12"/>
      <c r="CI149" s="12"/>
      <c r="CJ149" s="11">
        <v>32</v>
      </c>
      <c r="CK149" s="13">
        <v>2984.53</v>
      </c>
      <c r="CL149" s="11">
        <v>32</v>
      </c>
      <c r="CM149" s="11"/>
      <c r="CN149" s="13"/>
      <c r="CO149" s="11"/>
      <c r="CP149" s="12"/>
      <c r="CQ149" s="12"/>
      <c r="CR149" s="11"/>
      <c r="CS149" s="13"/>
      <c r="CT149" s="11"/>
      <c r="CU149" s="11"/>
      <c r="CV149" s="13"/>
      <c r="CW149" s="11"/>
      <c r="CX149" s="12"/>
      <c r="CY149" s="12"/>
      <c r="CZ149" s="11">
        <v>667</v>
      </c>
      <c r="DA149" s="13">
        <v>31443.43</v>
      </c>
      <c r="DB149" s="11">
        <v>28</v>
      </c>
      <c r="DC149" s="11"/>
      <c r="DD149" s="13"/>
      <c r="DE149" s="11"/>
      <c r="DF149" s="12"/>
      <c r="DG149" s="12"/>
      <c r="DH149" s="11">
        <v>24</v>
      </c>
      <c r="DI149" s="13">
        <v>908.61</v>
      </c>
      <c r="DJ149" s="11">
        <v>26</v>
      </c>
      <c r="DK149" s="11"/>
      <c r="DL149" s="13"/>
      <c r="DM149" s="11"/>
      <c r="DN149" s="12"/>
      <c r="DO149" s="12"/>
      <c r="DP149" s="11">
        <v>17</v>
      </c>
      <c r="DQ149" s="13">
        <v>841.27</v>
      </c>
      <c r="DR149" s="11">
        <v>30</v>
      </c>
      <c r="DS149" s="11"/>
      <c r="DT149" s="13"/>
      <c r="DU149" s="11"/>
      <c r="DV149" s="12"/>
      <c r="DW149" s="12"/>
      <c r="DX149" s="11">
        <v>5</v>
      </c>
      <c r="DY149" s="13">
        <v>221.43</v>
      </c>
      <c r="DZ149" s="11">
        <v>3</v>
      </c>
      <c r="EA149" s="11"/>
      <c r="EB149" s="13"/>
      <c r="EC149" s="11"/>
      <c r="ED149" s="12"/>
      <c r="EE149" s="12"/>
      <c r="EF149" s="11"/>
      <c r="EG149" s="13"/>
      <c r="EH149" s="11"/>
      <c r="EI149" s="11"/>
      <c r="EJ149" s="13"/>
      <c r="EK149" s="11"/>
      <c r="EL149" s="12"/>
      <c r="EM149" s="12"/>
      <c r="EN149" s="11">
        <v>55</v>
      </c>
      <c r="EO149" s="13">
        <v>3118.77</v>
      </c>
      <c r="EP149" s="11">
        <v>32</v>
      </c>
      <c r="EQ149" s="11"/>
      <c r="ER149" s="13"/>
      <c r="ES149" s="11"/>
      <c r="ET149" s="12"/>
      <c r="EU149" s="12"/>
      <c r="EV149" s="11"/>
      <c r="EW149" s="13"/>
      <c r="EX149" s="11"/>
      <c r="EY149" s="11"/>
      <c r="EZ149" s="13"/>
      <c r="FA149" s="11"/>
      <c r="FB149" s="12"/>
      <c r="FC149" s="12"/>
      <c r="FD149" s="11"/>
      <c r="FE149" s="13"/>
      <c r="FF149" s="11"/>
      <c r="FG149" s="11"/>
      <c r="FH149" s="13"/>
      <c r="FI149" s="11"/>
      <c r="FJ149" s="12"/>
      <c r="FK149" s="12"/>
      <c r="FL149" s="11">
        <v>42</v>
      </c>
      <c r="FM149" s="13">
        <v>1615.62</v>
      </c>
      <c r="FN149" s="11">
        <v>13</v>
      </c>
      <c r="FO149" s="11"/>
      <c r="FP149" s="13"/>
      <c r="FQ149" s="11"/>
      <c r="FR149" s="12"/>
      <c r="FS149" s="12"/>
      <c r="FT149" s="11">
        <v>18</v>
      </c>
      <c r="FU149" s="13">
        <v>768.72</v>
      </c>
      <c r="FV149" s="11">
        <v>26</v>
      </c>
      <c r="FW149" s="11"/>
      <c r="FX149" s="13"/>
      <c r="FY149" s="11"/>
      <c r="FZ149" s="12"/>
      <c r="GA149" s="12"/>
      <c r="GB149" s="11">
        <v>62</v>
      </c>
      <c r="GC149" s="13">
        <v>3084.62</v>
      </c>
      <c r="GD149" s="11">
        <v>29</v>
      </c>
      <c r="GE149" s="11"/>
      <c r="GF149" s="13"/>
      <c r="GG149" s="11"/>
      <c r="GH149" s="12"/>
      <c r="GI149" s="12"/>
      <c r="GJ149" s="11">
        <v>27</v>
      </c>
      <c r="GK149" s="13">
        <v>1187.9</v>
      </c>
      <c r="GL149" s="11">
        <v>32</v>
      </c>
      <c r="GM149" s="11"/>
      <c r="GN149" s="13"/>
      <c r="GO149" s="11"/>
      <c r="GP149" s="12"/>
      <c r="GQ149" s="12"/>
      <c r="GR149" s="11">
        <v>7</v>
      </c>
      <c r="GS149" s="13">
        <v>300.82</v>
      </c>
      <c r="GT149" s="11">
        <v>15</v>
      </c>
      <c r="GU149" s="11"/>
      <c r="GV149" s="13"/>
      <c r="GW149" s="11"/>
      <c r="GX149" s="12"/>
      <c r="GY149" s="12"/>
      <c r="GZ149" s="11"/>
      <c r="HA149" s="13"/>
      <c r="HB149" s="11"/>
      <c r="HC149" s="11"/>
      <c r="HD149" s="13"/>
      <c r="HE149" s="11"/>
      <c r="HF149" s="12"/>
      <c r="HG149" s="12"/>
      <c r="HH149" s="11">
        <v>10</v>
      </c>
      <c r="HI149" s="13">
        <v>222.78</v>
      </c>
      <c r="HJ149" s="11"/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>
        <v>2</v>
      </c>
      <c r="IY149" s="11"/>
      <c r="IZ149" s="13"/>
      <c r="JA149" s="11"/>
      <c r="JB149" s="12"/>
      <c r="JC149" s="12"/>
      <c r="JD149" s="11">
        <v>7</v>
      </c>
      <c r="JE149" s="13">
        <v>416.53</v>
      </c>
      <c r="JF149" s="11">
        <v>9</v>
      </c>
      <c r="JG149" s="11"/>
      <c r="JH149" s="13"/>
      <c r="JI149" s="11"/>
      <c r="JJ149" s="12"/>
      <c r="JK149" s="12"/>
      <c r="JL149" s="11"/>
      <c r="JM149" s="13"/>
      <c r="JN149" s="11"/>
      <c r="JO149" s="11"/>
      <c r="JP149" s="13"/>
      <c r="JQ149" s="11"/>
      <c r="JR149" s="12"/>
      <c r="JS149" s="12"/>
      <c r="JT149" s="11"/>
      <c r="JU149" s="13"/>
      <c r="JV149" s="11"/>
      <c r="JW149" s="11"/>
      <c r="JX149" s="13"/>
      <c r="JY149" s="11"/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  <c r="LH149" s="11"/>
      <c r="LI149" s="13"/>
      <c r="LJ149" s="11"/>
      <c r="LK149" s="11"/>
      <c r="LL149" s="13"/>
      <c r="LM149" s="11"/>
      <c r="LN149" s="12"/>
      <c r="LO149" s="12"/>
      <c r="LP149" s="11"/>
      <c r="LQ149" s="13"/>
      <c r="LR149" s="11"/>
      <c r="LS149" s="11"/>
      <c r="LT149" s="13"/>
      <c r="LU149" s="11"/>
      <c r="LV149" s="12"/>
      <c r="LW149" s="12"/>
    </row>
    <row r="150">
      <c r="A150" s="10" t="s">
        <v>154</v>
      </c>
      <c r="B150" s="10" t="s">
        <v>113</v>
      </c>
      <c r="C150" s="10" t="s">
        <v>156</v>
      </c>
      <c r="D150" s="11">
        <v>6409</v>
      </c>
      <c r="E150" s="11">
        <f>=ROUNDDOWN(23.3479052823315,0)</f>
      </c>
      <c r="F150" s="11">
        <v>2460</v>
      </c>
      <c r="G150" s="12">
        <v>0.9595</v>
      </c>
      <c r="H150" s="11"/>
      <c r="I150" s="11">
        <f>=ROUNDDOWN({0},0)</f>
      </c>
      <c r="J150" s="11"/>
      <c r="K150" s="12"/>
      <c r="L150" s="11">
        <v>3757</v>
      </c>
      <c r="M150" s="13">
        <v>183690.08</v>
      </c>
      <c r="N150" s="11">
        <v>60</v>
      </c>
      <c r="O150" s="14">
        <v>3061.5</v>
      </c>
      <c r="P150" s="11"/>
      <c r="Q150" s="13"/>
      <c r="R150" s="11"/>
      <c r="S150" s="14"/>
      <c r="T150" s="12"/>
      <c r="U150" s="12"/>
      <c r="V150" s="12"/>
      <c r="W150" s="12"/>
      <c r="X150" s="11">
        <v>1400</v>
      </c>
      <c r="Y150" s="13">
        <v>68076.63</v>
      </c>
      <c r="Z150" s="11">
        <v>56</v>
      </c>
      <c r="AA150" s="11"/>
      <c r="AB150" s="13"/>
      <c r="AC150" s="11"/>
      <c r="AD150" s="12"/>
      <c r="AE150" s="12"/>
      <c r="AF150" s="11">
        <v>242</v>
      </c>
      <c r="AG150" s="13">
        <v>12255.26</v>
      </c>
      <c r="AH150" s="11">
        <v>60</v>
      </c>
      <c r="AI150" s="11"/>
      <c r="AJ150" s="13"/>
      <c r="AK150" s="11"/>
      <c r="AL150" s="12"/>
      <c r="AM150" s="12"/>
      <c r="AN150" s="11">
        <v>669</v>
      </c>
      <c r="AO150" s="13">
        <v>26305.96</v>
      </c>
      <c r="AP150" s="11">
        <v>60</v>
      </c>
      <c r="AQ150" s="11"/>
      <c r="AR150" s="13"/>
      <c r="AS150" s="11"/>
      <c r="AT150" s="12"/>
      <c r="AU150" s="12"/>
      <c r="AV150" s="11">
        <v>194</v>
      </c>
      <c r="AW150" s="13">
        <v>9541.87</v>
      </c>
      <c r="AX150" s="11">
        <v>46</v>
      </c>
      <c r="AY150" s="11"/>
      <c r="AZ150" s="13"/>
      <c r="BA150" s="11"/>
      <c r="BB150" s="12"/>
      <c r="BC150" s="12"/>
      <c r="BD150" s="11">
        <v>104</v>
      </c>
      <c r="BE150" s="13">
        <v>2108.56</v>
      </c>
      <c r="BF150" s="11">
        <v>53</v>
      </c>
      <c r="BG150" s="11"/>
      <c r="BH150" s="13"/>
      <c r="BI150" s="11"/>
      <c r="BJ150" s="12"/>
      <c r="BK150" s="12"/>
      <c r="BL150" s="11">
        <v>56</v>
      </c>
      <c r="BM150" s="13">
        <v>4083.9</v>
      </c>
      <c r="BN150" s="11">
        <v>60</v>
      </c>
      <c r="BO150" s="11"/>
      <c r="BP150" s="13"/>
      <c r="BQ150" s="11"/>
      <c r="BR150" s="12"/>
      <c r="BS150" s="12"/>
      <c r="BT150" s="11">
        <v>309</v>
      </c>
      <c r="BU150" s="13">
        <v>14682.96</v>
      </c>
      <c r="BV150" s="11">
        <v>60</v>
      </c>
      <c r="BW150" s="11"/>
      <c r="BX150" s="13"/>
      <c r="BY150" s="11"/>
      <c r="BZ150" s="12"/>
      <c r="CA150" s="12"/>
      <c r="CB150" s="11">
        <v>58</v>
      </c>
      <c r="CC150" s="13">
        <v>2391.76</v>
      </c>
      <c r="CD150" s="11">
        <v>37</v>
      </c>
      <c r="CE150" s="11"/>
      <c r="CF150" s="13"/>
      <c r="CG150" s="11"/>
      <c r="CH150" s="12"/>
      <c r="CI150" s="12"/>
      <c r="CJ150" s="11">
        <v>6</v>
      </c>
      <c r="CK150" s="13">
        <v>612.94</v>
      </c>
      <c r="CL150" s="11">
        <v>60</v>
      </c>
      <c r="CM150" s="11"/>
      <c r="CN150" s="13"/>
      <c r="CO150" s="11"/>
      <c r="CP150" s="12"/>
      <c r="CQ150" s="12"/>
      <c r="CR150" s="11"/>
      <c r="CS150" s="13"/>
      <c r="CT150" s="11"/>
      <c r="CU150" s="11"/>
      <c r="CV150" s="13"/>
      <c r="CW150" s="11"/>
      <c r="CX150" s="12"/>
      <c r="CY150" s="12"/>
      <c r="CZ150" s="11">
        <v>417</v>
      </c>
      <c r="DA150" s="13">
        <v>26628.34</v>
      </c>
      <c r="DB150" s="11">
        <v>28</v>
      </c>
      <c r="DC150" s="11"/>
      <c r="DD150" s="13"/>
      <c r="DE150" s="11"/>
      <c r="DF150" s="12"/>
      <c r="DG150" s="12"/>
      <c r="DH150" s="11">
        <v>42</v>
      </c>
      <c r="DI150" s="13">
        <v>2024.48</v>
      </c>
      <c r="DJ150" s="11">
        <v>22</v>
      </c>
      <c r="DK150" s="11"/>
      <c r="DL150" s="13"/>
      <c r="DM150" s="11"/>
      <c r="DN150" s="12"/>
      <c r="DO150" s="12"/>
      <c r="DP150" s="11">
        <v>27</v>
      </c>
      <c r="DQ150" s="13">
        <v>1199.78</v>
      </c>
      <c r="DR150" s="11">
        <v>28</v>
      </c>
      <c r="DS150" s="11"/>
      <c r="DT150" s="13"/>
      <c r="DU150" s="11"/>
      <c r="DV150" s="12"/>
      <c r="DW150" s="12"/>
      <c r="DX150" s="11">
        <v>11</v>
      </c>
      <c r="DY150" s="13">
        <v>835.63</v>
      </c>
      <c r="DZ150" s="11">
        <v>32</v>
      </c>
      <c r="EA150" s="11"/>
      <c r="EB150" s="13"/>
      <c r="EC150" s="11"/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>
        <v>37</v>
      </c>
      <c r="EO150" s="13">
        <v>2486.47</v>
      </c>
      <c r="EP150" s="11">
        <v>60</v>
      </c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>
        <v>42</v>
      </c>
      <c r="FM150" s="13">
        <v>2349.13</v>
      </c>
      <c r="FN150" s="11">
        <v>5</v>
      </c>
      <c r="FO150" s="11"/>
      <c r="FP150" s="13"/>
      <c r="FQ150" s="11"/>
      <c r="FR150" s="12"/>
      <c r="FS150" s="12"/>
      <c r="FT150" s="11">
        <v>62</v>
      </c>
      <c r="FU150" s="13">
        <v>3500.49</v>
      </c>
      <c r="FV150" s="11">
        <v>45</v>
      </c>
      <c r="FW150" s="11"/>
      <c r="FX150" s="13"/>
      <c r="FY150" s="11"/>
      <c r="FZ150" s="12"/>
      <c r="GA150" s="12"/>
      <c r="GB150" s="11">
        <v>55</v>
      </c>
      <c r="GC150" s="13">
        <v>3246.92</v>
      </c>
      <c r="GD150" s="11">
        <v>26</v>
      </c>
      <c r="GE150" s="11"/>
      <c r="GF150" s="13"/>
      <c r="GG150" s="11"/>
      <c r="GH150" s="12"/>
      <c r="GI150" s="12"/>
      <c r="GJ150" s="11">
        <v>14</v>
      </c>
      <c r="GK150" s="13">
        <v>791.95</v>
      </c>
      <c r="GL150" s="11">
        <v>31</v>
      </c>
      <c r="GM150" s="11"/>
      <c r="GN150" s="13"/>
      <c r="GO150" s="11"/>
      <c r="GP150" s="12"/>
      <c r="GQ150" s="12"/>
      <c r="GR150" s="11">
        <v>3</v>
      </c>
      <c r="GS150" s="13">
        <v>157.57</v>
      </c>
      <c r="GT150" s="11">
        <v>23</v>
      </c>
      <c r="GU150" s="11"/>
      <c r="GV150" s="13"/>
      <c r="GW150" s="11"/>
      <c r="GX150" s="12"/>
      <c r="GY150" s="12"/>
      <c r="GZ150" s="11"/>
      <c r="HA150" s="13"/>
      <c r="HB150" s="11">
        <v>1</v>
      </c>
      <c r="HC150" s="11"/>
      <c r="HD150" s="13"/>
      <c r="HE150" s="11"/>
      <c r="HF150" s="12"/>
      <c r="HG150" s="12"/>
      <c r="HH150" s="11">
        <v>3</v>
      </c>
      <c r="HI150" s="13">
        <v>62.85</v>
      </c>
      <c r="HJ150" s="11"/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>
        <v>15</v>
      </c>
      <c r="IY150" s="11"/>
      <c r="IZ150" s="13"/>
      <c r="JA150" s="11"/>
      <c r="JB150" s="12"/>
      <c r="JC150" s="12"/>
      <c r="JD150" s="11">
        <v>6</v>
      </c>
      <c r="JE150" s="13">
        <v>346.63</v>
      </c>
      <c r="JF150" s="11">
        <v>8</v>
      </c>
      <c r="JG150" s="11"/>
      <c r="JH150" s="13"/>
      <c r="JI150" s="11"/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  <c r="LH150" s="11"/>
      <c r="LI150" s="13"/>
      <c r="LJ150" s="11"/>
      <c r="LK150" s="11"/>
      <c r="LL150" s="13"/>
      <c r="LM150" s="11"/>
      <c r="LN150" s="12"/>
      <c r="LO150" s="12"/>
      <c r="LP150" s="11"/>
      <c r="LQ150" s="13"/>
      <c r="LR150" s="11"/>
      <c r="LS150" s="11"/>
      <c r="LT150" s="13"/>
      <c r="LU150" s="11"/>
      <c r="LV150" s="12"/>
      <c r="LW150" s="12"/>
    </row>
    <row r="151">
      <c r="A151" s="10" t="s">
        <v>154</v>
      </c>
      <c r="B151" s="10" t="s">
        <v>113</v>
      </c>
      <c r="C151" s="10" t="s">
        <v>160</v>
      </c>
      <c r="D151" s="11">
        <v>265</v>
      </c>
      <c r="E151" s="11">
        <f>=ROUNDDOWN(17.2077922077922,0)</f>
      </c>
      <c r="F151" s="11">
        <v>100</v>
      </c>
      <c r="G151" s="12">
        <v>1</v>
      </c>
      <c r="H151" s="11"/>
      <c r="I151" s="11">
        <f>=ROUNDDOWN({0},0)</f>
      </c>
      <c r="J151" s="11"/>
      <c r="K151" s="12"/>
      <c r="L151" s="11">
        <v>209</v>
      </c>
      <c r="M151" s="13">
        <v>9295.47</v>
      </c>
      <c r="N151" s="11">
        <v>2</v>
      </c>
      <c r="O151" s="14">
        <v>4647.74</v>
      </c>
      <c r="P151" s="11"/>
      <c r="Q151" s="13"/>
      <c r="R151" s="11"/>
      <c r="S151" s="14"/>
      <c r="T151" s="12"/>
      <c r="U151" s="12"/>
      <c r="V151" s="12"/>
      <c r="W151" s="12"/>
      <c r="X151" s="11">
        <v>7</v>
      </c>
      <c r="Y151" s="13">
        <v>323.54</v>
      </c>
      <c r="Z151" s="11">
        <v>2</v>
      </c>
      <c r="AA151" s="11"/>
      <c r="AB151" s="13"/>
      <c r="AC151" s="11"/>
      <c r="AD151" s="12"/>
      <c r="AE151" s="12"/>
      <c r="AF151" s="11">
        <v>4</v>
      </c>
      <c r="AG151" s="13">
        <v>138.39</v>
      </c>
      <c r="AH151" s="11">
        <v>2</v>
      </c>
      <c r="AI151" s="11"/>
      <c r="AJ151" s="13"/>
      <c r="AK151" s="11"/>
      <c r="AL151" s="12"/>
      <c r="AM151" s="12"/>
      <c r="AN151" s="11">
        <v>83</v>
      </c>
      <c r="AO151" s="13">
        <v>3890.21</v>
      </c>
      <c r="AP151" s="11">
        <v>2</v>
      </c>
      <c r="AQ151" s="11"/>
      <c r="AR151" s="13"/>
      <c r="AS151" s="11"/>
      <c r="AT151" s="12"/>
      <c r="AU151" s="12"/>
      <c r="AV151" s="11"/>
      <c r="AW151" s="13"/>
      <c r="AX151" s="11">
        <v>1</v>
      </c>
      <c r="AY151" s="11"/>
      <c r="AZ151" s="13"/>
      <c r="BA151" s="11"/>
      <c r="BB151" s="12"/>
      <c r="BC151" s="12"/>
      <c r="BD151" s="11">
        <v>2</v>
      </c>
      <c r="BE151" s="13">
        <v>99.94</v>
      </c>
      <c r="BF151" s="11">
        <v>1</v>
      </c>
      <c r="BG151" s="11"/>
      <c r="BH151" s="13"/>
      <c r="BI151" s="11"/>
      <c r="BJ151" s="12"/>
      <c r="BK151" s="12"/>
      <c r="BL151" s="11">
        <v>2</v>
      </c>
      <c r="BM151" s="13">
        <v>101.28</v>
      </c>
      <c r="BN151" s="11">
        <v>2</v>
      </c>
      <c r="BO151" s="11"/>
      <c r="BP151" s="13"/>
      <c r="BQ151" s="11"/>
      <c r="BR151" s="12"/>
      <c r="BS151" s="12"/>
      <c r="BT151" s="11">
        <v>21</v>
      </c>
      <c r="BU151" s="13">
        <v>1037.05</v>
      </c>
      <c r="BV151" s="11">
        <v>2</v>
      </c>
      <c r="BW151" s="11"/>
      <c r="BX151" s="13"/>
      <c r="BY151" s="11"/>
      <c r="BZ151" s="12"/>
      <c r="CA151" s="12"/>
      <c r="CB151" s="11">
        <v>19</v>
      </c>
      <c r="CC151" s="13">
        <v>841.89</v>
      </c>
      <c r="CD151" s="11">
        <v>2</v>
      </c>
      <c r="CE151" s="11"/>
      <c r="CF151" s="13"/>
      <c r="CG151" s="11"/>
      <c r="CH151" s="12"/>
      <c r="CI151" s="12"/>
      <c r="CJ151" s="11"/>
      <c r="CK151" s="13"/>
      <c r="CL151" s="11">
        <v>2</v>
      </c>
      <c r="CM151" s="11"/>
      <c r="CN151" s="13"/>
      <c r="CO151" s="11"/>
      <c r="CP151" s="12"/>
      <c r="CQ151" s="12"/>
      <c r="CR151" s="11"/>
      <c r="CS151" s="13"/>
      <c r="CT151" s="11"/>
      <c r="CU151" s="11"/>
      <c r="CV151" s="13"/>
      <c r="CW151" s="11"/>
      <c r="CX151" s="12"/>
      <c r="CY151" s="12"/>
      <c r="CZ151" s="11">
        <v>38</v>
      </c>
      <c r="DA151" s="13">
        <v>1367.58</v>
      </c>
      <c r="DB151" s="11">
        <v>2</v>
      </c>
      <c r="DC151" s="11"/>
      <c r="DD151" s="13"/>
      <c r="DE151" s="11"/>
      <c r="DF151" s="12"/>
      <c r="DG151" s="12"/>
      <c r="DH151" s="11">
        <v>6</v>
      </c>
      <c r="DI151" s="13">
        <v>253.2</v>
      </c>
      <c r="DJ151" s="11">
        <v>1</v>
      </c>
      <c r="DK151" s="11"/>
      <c r="DL151" s="13"/>
      <c r="DM151" s="11"/>
      <c r="DN151" s="12"/>
      <c r="DO151" s="12"/>
      <c r="DP151" s="11"/>
      <c r="DQ151" s="13"/>
      <c r="DR151" s="11">
        <v>2</v>
      </c>
      <c r="DS151" s="11"/>
      <c r="DT151" s="13"/>
      <c r="DU151" s="11"/>
      <c r="DV151" s="12"/>
      <c r="DW151" s="12"/>
      <c r="DX151" s="11">
        <v>2</v>
      </c>
      <c r="DY151" s="13">
        <v>103.14</v>
      </c>
      <c r="DZ151" s="11">
        <v>2</v>
      </c>
      <c r="EA151" s="11"/>
      <c r="EB151" s="13"/>
      <c r="EC151" s="11"/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>
        <v>2</v>
      </c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>
        <v>12</v>
      </c>
      <c r="FM151" s="13">
        <v>546.84</v>
      </c>
      <c r="FN151" s="11">
        <v>2</v>
      </c>
      <c r="FO151" s="11"/>
      <c r="FP151" s="13"/>
      <c r="FQ151" s="11"/>
      <c r="FR151" s="12"/>
      <c r="FS151" s="12"/>
      <c r="FT151" s="11"/>
      <c r="FU151" s="13"/>
      <c r="FV151" s="11">
        <v>2</v>
      </c>
      <c r="FW151" s="11"/>
      <c r="FX151" s="13"/>
      <c r="FY151" s="11"/>
      <c r="FZ151" s="12"/>
      <c r="GA151" s="12"/>
      <c r="GB151" s="11">
        <v>11</v>
      </c>
      <c r="GC151" s="13">
        <v>501.27</v>
      </c>
      <c r="GD151" s="11">
        <v>2</v>
      </c>
      <c r="GE151" s="11"/>
      <c r="GF151" s="13"/>
      <c r="GG151" s="11"/>
      <c r="GH151" s="12"/>
      <c r="GI151" s="12"/>
      <c r="GJ151" s="11">
        <v>1</v>
      </c>
      <c r="GK151" s="13">
        <v>45.57</v>
      </c>
      <c r="GL151" s="11">
        <v>2</v>
      </c>
      <c r="GM151" s="11"/>
      <c r="GN151" s="13"/>
      <c r="GO151" s="11"/>
      <c r="GP151" s="12"/>
      <c r="GQ151" s="12"/>
      <c r="GR151" s="11">
        <v>1</v>
      </c>
      <c r="GS151" s="13">
        <v>45.57</v>
      </c>
      <c r="GT151" s="11">
        <v>2</v>
      </c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/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>
        <v>1</v>
      </c>
      <c r="JG151" s="11"/>
      <c r="JH151" s="13"/>
      <c r="JI151" s="11"/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  <c r="LH151" s="11"/>
      <c r="LI151" s="13"/>
      <c r="LJ151" s="11"/>
      <c r="LK151" s="11"/>
      <c r="LL151" s="13"/>
      <c r="LM151" s="11"/>
      <c r="LN151" s="12"/>
      <c r="LO151" s="12"/>
      <c r="LP151" s="11"/>
      <c r="LQ151" s="13"/>
      <c r="LR151" s="11"/>
      <c r="LS151" s="11"/>
      <c r="LT151" s="13"/>
      <c r="LU151" s="11"/>
      <c r="LV151" s="12"/>
      <c r="LW151" s="12"/>
    </row>
    <row r="152">
      <c r="A152" s="10" t="s">
        <v>154</v>
      </c>
      <c r="B152" s="10" t="s">
        <v>113</v>
      </c>
      <c r="C152" s="10" t="s">
        <v>157</v>
      </c>
      <c r="D152" s="11">
        <v>1005</v>
      </c>
      <c r="E152" s="11">
        <f>=ROUNDDOWN(12.0648259303721,0)</f>
      </c>
      <c r="F152" s="11">
        <v>1770</v>
      </c>
      <c r="G152" s="12">
        <v>0.9239</v>
      </c>
      <c r="H152" s="11"/>
      <c r="I152" s="11">
        <f>=ROUNDDOWN({0},0)</f>
      </c>
      <c r="J152" s="11"/>
      <c r="K152" s="12"/>
      <c r="L152" s="11">
        <v>1155</v>
      </c>
      <c r="M152" s="13">
        <v>58417.51</v>
      </c>
      <c r="N152" s="11">
        <v>10</v>
      </c>
      <c r="O152" s="14">
        <v>5841.75</v>
      </c>
      <c r="P152" s="11"/>
      <c r="Q152" s="13"/>
      <c r="R152" s="11"/>
      <c r="S152" s="14"/>
      <c r="T152" s="12"/>
      <c r="U152" s="12"/>
      <c r="V152" s="12"/>
      <c r="W152" s="12"/>
      <c r="X152" s="11">
        <v>193</v>
      </c>
      <c r="Y152" s="13">
        <v>9580.97</v>
      </c>
      <c r="Z152" s="11">
        <v>10</v>
      </c>
      <c r="AA152" s="11"/>
      <c r="AB152" s="13"/>
      <c r="AC152" s="11"/>
      <c r="AD152" s="12"/>
      <c r="AE152" s="12"/>
      <c r="AF152" s="11">
        <v>249</v>
      </c>
      <c r="AG152" s="13">
        <v>9911.65</v>
      </c>
      <c r="AH152" s="11">
        <v>9</v>
      </c>
      <c r="AI152" s="11"/>
      <c r="AJ152" s="13"/>
      <c r="AK152" s="11"/>
      <c r="AL152" s="12"/>
      <c r="AM152" s="12"/>
      <c r="AN152" s="11">
        <v>167</v>
      </c>
      <c r="AO152" s="13">
        <v>8184.96</v>
      </c>
      <c r="AP152" s="11">
        <v>10</v>
      </c>
      <c r="AQ152" s="11"/>
      <c r="AR152" s="13"/>
      <c r="AS152" s="11"/>
      <c r="AT152" s="12"/>
      <c r="AU152" s="12"/>
      <c r="AV152" s="11">
        <v>71</v>
      </c>
      <c r="AW152" s="13">
        <v>4637.9</v>
      </c>
      <c r="AX152" s="11">
        <v>9</v>
      </c>
      <c r="AY152" s="11"/>
      <c r="AZ152" s="13"/>
      <c r="BA152" s="11"/>
      <c r="BB152" s="12"/>
      <c r="BC152" s="12"/>
      <c r="BD152" s="11">
        <v>28</v>
      </c>
      <c r="BE152" s="13">
        <v>1697.57</v>
      </c>
      <c r="BF152" s="11">
        <v>7</v>
      </c>
      <c r="BG152" s="11"/>
      <c r="BH152" s="13"/>
      <c r="BI152" s="11"/>
      <c r="BJ152" s="12"/>
      <c r="BK152" s="12"/>
      <c r="BL152" s="11">
        <v>57</v>
      </c>
      <c r="BM152" s="13">
        <v>3924.88</v>
      </c>
      <c r="BN152" s="11">
        <v>10</v>
      </c>
      <c r="BO152" s="11"/>
      <c r="BP152" s="13"/>
      <c r="BQ152" s="11"/>
      <c r="BR152" s="12"/>
      <c r="BS152" s="12"/>
      <c r="BT152" s="11">
        <v>115</v>
      </c>
      <c r="BU152" s="13">
        <v>5521.66</v>
      </c>
      <c r="BV152" s="11">
        <v>10</v>
      </c>
      <c r="BW152" s="11"/>
      <c r="BX152" s="13"/>
      <c r="BY152" s="11"/>
      <c r="BZ152" s="12"/>
      <c r="CA152" s="12"/>
      <c r="CB152" s="11">
        <v>8</v>
      </c>
      <c r="CC152" s="13">
        <v>391.08</v>
      </c>
      <c r="CD152" s="11">
        <v>7</v>
      </c>
      <c r="CE152" s="11"/>
      <c r="CF152" s="13"/>
      <c r="CG152" s="11"/>
      <c r="CH152" s="12"/>
      <c r="CI152" s="12"/>
      <c r="CJ152" s="11">
        <v>4</v>
      </c>
      <c r="CK152" s="13">
        <v>248.96</v>
      </c>
      <c r="CL152" s="11">
        <v>10</v>
      </c>
      <c r="CM152" s="11"/>
      <c r="CN152" s="13"/>
      <c r="CO152" s="11"/>
      <c r="CP152" s="12"/>
      <c r="CQ152" s="12"/>
      <c r="CR152" s="11"/>
      <c r="CS152" s="13"/>
      <c r="CT152" s="11"/>
      <c r="CU152" s="11"/>
      <c r="CV152" s="13"/>
      <c r="CW152" s="11"/>
      <c r="CX152" s="12"/>
      <c r="CY152" s="12"/>
      <c r="CZ152" s="11">
        <v>54</v>
      </c>
      <c r="DA152" s="13">
        <v>2727.88</v>
      </c>
      <c r="DB152" s="11">
        <v>7</v>
      </c>
      <c r="DC152" s="11"/>
      <c r="DD152" s="13"/>
      <c r="DE152" s="11"/>
      <c r="DF152" s="12"/>
      <c r="DG152" s="12"/>
      <c r="DH152" s="11">
        <v>2</v>
      </c>
      <c r="DI152" s="13">
        <v>72.86</v>
      </c>
      <c r="DJ152" s="11">
        <v>3</v>
      </c>
      <c r="DK152" s="11"/>
      <c r="DL152" s="13"/>
      <c r="DM152" s="11"/>
      <c r="DN152" s="12"/>
      <c r="DO152" s="12"/>
      <c r="DP152" s="11">
        <v>2</v>
      </c>
      <c r="DQ152" s="13">
        <v>41.78</v>
      </c>
      <c r="DR152" s="11">
        <v>4</v>
      </c>
      <c r="DS152" s="11"/>
      <c r="DT152" s="13"/>
      <c r="DU152" s="11"/>
      <c r="DV152" s="12"/>
      <c r="DW152" s="12"/>
      <c r="DX152" s="11">
        <v>22</v>
      </c>
      <c r="DY152" s="13">
        <v>1207.67</v>
      </c>
      <c r="DZ152" s="11">
        <v>10</v>
      </c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>
        <v>26</v>
      </c>
      <c r="EO152" s="13">
        <v>2170.74</v>
      </c>
      <c r="EP152" s="11">
        <v>10</v>
      </c>
      <c r="EQ152" s="11"/>
      <c r="ER152" s="13"/>
      <c r="ES152" s="11"/>
      <c r="ET152" s="12"/>
      <c r="EU152" s="12"/>
      <c r="EV152" s="11"/>
      <c r="EW152" s="13"/>
      <c r="EX152" s="11"/>
      <c r="EY152" s="11"/>
      <c r="EZ152" s="13"/>
      <c r="FA152" s="11"/>
      <c r="FB152" s="12"/>
      <c r="FC152" s="12"/>
      <c r="FD152" s="11"/>
      <c r="FE152" s="13"/>
      <c r="FF152" s="11"/>
      <c r="FG152" s="11"/>
      <c r="FH152" s="13"/>
      <c r="FI152" s="11"/>
      <c r="FJ152" s="12"/>
      <c r="FK152" s="12"/>
      <c r="FL152" s="11">
        <v>6</v>
      </c>
      <c r="FM152" s="13">
        <v>399.27</v>
      </c>
      <c r="FN152" s="11">
        <v>2</v>
      </c>
      <c r="FO152" s="11"/>
      <c r="FP152" s="13"/>
      <c r="FQ152" s="11"/>
      <c r="FR152" s="12"/>
      <c r="FS152" s="12"/>
      <c r="FT152" s="11">
        <v>7</v>
      </c>
      <c r="FU152" s="13">
        <v>172.41</v>
      </c>
      <c r="FV152" s="11">
        <v>10</v>
      </c>
      <c r="FW152" s="11"/>
      <c r="FX152" s="13"/>
      <c r="FY152" s="11"/>
      <c r="FZ152" s="12"/>
      <c r="GA152" s="12"/>
      <c r="GB152" s="11">
        <v>5</v>
      </c>
      <c r="GC152" s="13">
        <v>182.8</v>
      </c>
      <c r="GD152" s="11">
        <v>3</v>
      </c>
      <c r="GE152" s="11"/>
      <c r="GF152" s="13"/>
      <c r="GG152" s="11"/>
      <c r="GH152" s="12"/>
      <c r="GI152" s="12"/>
      <c r="GJ152" s="11">
        <v>128</v>
      </c>
      <c r="GK152" s="13">
        <v>6931.41</v>
      </c>
      <c r="GL152" s="11">
        <v>9</v>
      </c>
      <c r="GM152" s="11"/>
      <c r="GN152" s="13"/>
      <c r="GO152" s="11"/>
      <c r="GP152" s="12"/>
      <c r="GQ152" s="12"/>
      <c r="GR152" s="11">
        <v>11</v>
      </c>
      <c r="GS152" s="13">
        <v>411.06</v>
      </c>
      <c r="GT152" s="11">
        <v>6</v>
      </c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/>
      <c r="HK152" s="11"/>
      <c r="HL152" s="13"/>
      <c r="HM152" s="11"/>
      <c r="HN152" s="12"/>
      <c r="HO152" s="12"/>
      <c r="HP152" s="11"/>
      <c r="HQ152" s="13"/>
      <c r="HR152" s="11"/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/>
      <c r="JE152" s="13"/>
      <c r="JF152" s="11"/>
      <c r="JG152" s="11"/>
      <c r="JH152" s="13"/>
      <c r="JI152" s="11"/>
      <c r="JJ152" s="12"/>
      <c r="JK152" s="12"/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  <c r="LH152" s="11"/>
      <c r="LI152" s="13"/>
      <c r="LJ152" s="11"/>
      <c r="LK152" s="11"/>
      <c r="LL152" s="13"/>
      <c r="LM152" s="11"/>
      <c r="LN152" s="12"/>
      <c r="LO152" s="12"/>
      <c r="LP152" s="11"/>
      <c r="LQ152" s="13"/>
      <c r="LR152" s="11"/>
      <c r="LS152" s="11"/>
      <c r="LT152" s="13"/>
      <c r="LU152" s="11"/>
      <c r="LV152" s="12"/>
      <c r="LW152" s="12"/>
    </row>
    <row r="153">
      <c r="A153" s="10" t="s">
        <v>154</v>
      </c>
      <c r="B153" s="10" t="s">
        <v>113</v>
      </c>
      <c r="C153" s="10" t="s">
        <v>161</v>
      </c>
      <c r="D153" s="11">
        <v>75</v>
      </c>
      <c r="E153" s="11">
        <f>=ROUNDDOWN(15,0)</f>
      </c>
      <c r="F153" s="11">
        <v>100</v>
      </c>
      <c r="G153" s="12">
        <v>1</v>
      </c>
      <c r="H153" s="11"/>
      <c r="I153" s="11">
        <f>=ROUNDDOWN({0},0)</f>
      </c>
      <c r="J153" s="11"/>
      <c r="K153" s="12"/>
      <c r="L153" s="11">
        <v>84</v>
      </c>
      <c r="M153" s="13">
        <v>2935.31</v>
      </c>
      <c r="N153" s="11">
        <v>1</v>
      </c>
      <c r="O153" s="14">
        <v>2935.31</v>
      </c>
      <c r="P153" s="11"/>
      <c r="Q153" s="13"/>
      <c r="R153" s="11"/>
      <c r="S153" s="14"/>
      <c r="T153" s="12"/>
      <c r="U153" s="12"/>
      <c r="V153" s="12"/>
      <c r="W153" s="12"/>
      <c r="X153" s="11">
        <v>29</v>
      </c>
      <c r="Y153" s="13">
        <v>1035.64</v>
      </c>
      <c r="Z153" s="11">
        <v>1</v>
      </c>
      <c r="AA153" s="11"/>
      <c r="AB153" s="13"/>
      <c r="AC153" s="11"/>
      <c r="AD153" s="12"/>
      <c r="AE153" s="12"/>
      <c r="AF153" s="11">
        <v>23</v>
      </c>
      <c r="AG153" s="13">
        <v>633.38</v>
      </c>
      <c r="AH153" s="11">
        <v>1</v>
      </c>
      <c r="AI153" s="11"/>
      <c r="AJ153" s="13"/>
      <c r="AK153" s="11"/>
      <c r="AL153" s="12"/>
      <c r="AM153" s="12"/>
      <c r="AN153" s="11"/>
      <c r="AO153" s="13"/>
      <c r="AP153" s="11">
        <v>1</v>
      </c>
      <c r="AQ153" s="11"/>
      <c r="AR153" s="13"/>
      <c r="AS153" s="11"/>
      <c r="AT153" s="12"/>
      <c r="AU153" s="12"/>
      <c r="AV153" s="11"/>
      <c r="AW153" s="13"/>
      <c r="AX153" s="11">
        <v>1</v>
      </c>
      <c r="AY153" s="11"/>
      <c r="AZ153" s="13"/>
      <c r="BA153" s="11"/>
      <c r="BB153" s="12"/>
      <c r="BC153" s="12"/>
      <c r="BD153" s="11"/>
      <c r="BE153" s="13"/>
      <c r="BF153" s="11"/>
      <c r="BG153" s="11"/>
      <c r="BH153" s="13"/>
      <c r="BI153" s="11"/>
      <c r="BJ153" s="12"/>
      <c r="BK153" s="12"/>
      <c r="BL153" s="11">
        <v>3</v>
      </c>
      <c r="BM153" s="13">
        <v>134.16</v>
      </c>
      <c r="BN153" s="11">
        <v>1</v>
      </c>
      <c r="BO153" s="11"/>
      <c r="BP153" s="13"/>
      <c r="BQ153" s="11"/>
      <c r="BR153" s="12"/>
      <c r="BS153" s="12"/>
      <c r="BT153" s="11">
        <v>11</v>
      </c>
      <c r="BU153" s="13">
        <v>400.12</v>
      </c>
      <c r="BV153" s="11">
        <v>1</v>
      </c>
      <c r="BW153" s="11"/>
      <c r="BX153" s="13"/>
      <c r="BY153" s="11"/>
      <c r="BZ153" s="12"/>
      <c r="CA153" s="12"/>
      <c r="CB153" s="11"/>
      <c r="CC153" s="13"/>
      <c r="CD153" s="11"/>
      <c r="CE153" s="11"/>
      <c r="CF153" s="13"/>
      <c r="CG153" s="11"/>
      <c r="CH153" s="12"/>
      <c r="CI153" s="12"/>
      <c r="CJ153" s="11"/>
      <c r="CK153" s="13"/>
      <c r="CL153" s="11">
        <v>1</v>
      </c>
      <c r="CM153" s="11"/>
      <c r="CN153" s="13"/>
      <c r="CO153" s="11"/>
      <c r="CP153" s="12"/>
      <c r="CQ153" s="12"/>
      <c r="CR153" s="11"/>
      <c r="CS153" s="13"/>
      <c r="CT153" s="11"/>
      <c r="CU153" s="11"/>
      <c r="CV153" s="13"/>
      <c r="CW153" s="11"/>
      <c r="CX153" s="12"/>
      <c r="CY153" s="12"/>
      <c r="CZ153" s="11">
        <v>8</v>
      </c>
      <c r="DA153" s="13">
        <v>355.28</v>
      </c>
      <c r="DB153" s="11">
        <v>1</v>
      </c>
      <c r="DC153" s="11"/>
      <c r="DD153" s="13"/>
      <c r="DE153" s="11"/>
      <c r="DF153" s="12"/>
      <c r="DG153" s="12"/>
      <c r="DH153" s="11"/>
      <c r="DI153" s="13"/>
      <c r="DJ153" s="11">
        <v>1</v>
      </c>
      <c r="DK153" s="11"/>
      <c r="DL153" s="13"/>
      <c r="DM153" s="11"/>
      <c r="DN153" s="12"/>
      <c r="DO153" s="12"/>
      <c r="DP153" s="11"/>
      <c r="DQ153" s="13"/>
      <c r="DR153" s="11">
        <v>1</v>
      </c>
      <c r="DS153" s="11"/>
      <c r="DT153" s="13"/>
      <c r="DU153" s="11"/>
      <c r="DV153" s="12"/>
      <c r="DW153" s="12"/>
      <c r="DX153" s="11"/>
      <c r="DY153" s="13"/>
      <c r="DZ153" s="11"/>
      <c r="EA153" s="11"/>
      <c r="EB153" s="13"/>
      <c r="EC153" s="11"/>
      <c r="ED153" s="12"/>
      <c r="EE153" s="12"/>
      <c r="EF153" s="11"/>
      <c r="EG153" s="13"/>
      <c r="EH153" s="11"/>
      <c r="EI153" s="11"/>
      <c r="EJ153" s="13"/>
      <c r="EK153" s="11"/>
      <c r="EL153" s="12"/>
      <c r="EM153" s="12"/>
      <c r="EN153" s="11"/>
      <c r="EO153" s="13"/>
      <c r="EP153" s="11">
        <v>1</v>
      </c>
      <c r="EQ153" s="11"/>
      <c r="ER153" s="13"/>
      <c r="ES153" s="11"/>
      <c r="ET153" s="12"/>
      <c r="EU153" s="12"/>
      <c r="EV153" s="11"/>
      <c r="EW153" s="13"/>
      <c r="EX153" s="11"/>
      <c r="EY153" s="11"/>
      <c r="EZ153" s="13"/>
      <c r="FA153" s="11"/>
      <c r="FB153" s="12"/>
      <c r="FC153" s="12"/>
      <c r="FD153" s="11"/>
      <c r="FE153" s="13"/>
      <c r="FF153" s="11"/>
      <c r="FG153" s="11"/>
      <c r="FH153" s="13"/>
      <c r="FI153" s="11"/>
      <c r="FJ153" s="12"/>
      <c r="FK153" s="12"/>
      <c r="FL153" s="11"/>
      <c r="FM153" s="13"/>
      <c r="FN153" s="11">
        <v>1</v>
      </c>
      <c r="FO153" s="11"/>
      <c r="FP153" s="13"/>
      <c r="FQ153" s="11"/>
      <c r="FR153" s="12"/>
      <c r="FS153" s="12"/>
      <c r="FT153" s="11">
        <v>4</v>
      </c>
      <c r="FU153" s="13">
        <v>143.8</v>
      </c>
      <c r="FV153" s="11">
        <v>1</v>
      </c>
      <c r="FW153" s="11"/>
      <c r="FX153" s="13"/>
      <c r="FY153" s="11"/>
      <c r="FZ153" s="12"/>
      <c r="GA153" s="12"/>
      <c r="GB153" s="11">
        <v>1</v>
      </c>
      <c r="GC153" s="13">
        <v>38.82</v>
      </c>
      <c r="GD153" s="11">
        <v>1</v>
      </c>
      <c r="GE153" s="11"/>
      <c r="GF153" s="13"/>
      <c r="GG153" s="11"/>
      <c r="GH153" s="12"/>
      <c r="GI153" s="12"/>
      <c r="GJ153" s="11">
        <v>1</v>
      </c>
      <c r="GK153" s="13">
        <v>38.83</v>
      </c>
      <c r="GL153" s="11">
        <v>1</v>
      </c>
      <c r="GM153" s="11"/>
      <c r="GN153" s="13"/>
      <c r="GO153" s="11"/>
      <c r="GP153" s="12"/>
      <c r="GQ153" s="12"/>
      <c r="GR153" s="11">
        <v>4</v>
      </c>
      <c r="GS153" s="13">
        <v>155.28</v>
      </c>
      <c r="GT153" s="11">
        <v>1</v>
      </c>
      <c r="GU153" s="11"/>
      <c r="GV153" s="13"/>
      <c r="GW153" s="11"/>
      <c r="GX153" s="12"/>
      <c r="GY153" s="12"/>
      <c r="GZ153" s="11"/>
      <c r="HA153" s="13"/>
      <c r="HB153" s="11"/>
      <c r="HC153" s="11"/>
      <c r="HD153" s="13"/>
      <c r="HE153" s="11"/>
      <c r="HF153" s="12"/>
      <c r="HG153" s="12"/>
      <c r="HH153" s="11"/>
      <c r="HI153" s="13"/>
      <c r="HJ153" s="11"/>
      <c r="HK153" s="11"/>
      <c r="HL153" s="13"/>
      <c r="HM153" s="11"/>
      <c r="HN153" s="12"/>
      <c r="HO153" s="12"/>
      <c r="HP153" s="11"/>
      <c r="HQ153" s="13"/>
      <c r="HR153" s="11"/>
      <c r="HS153" s="11"/>
      <c r="HT153" s="13"/>
      <c r="HU153" s="11"/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/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/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/>
      <c r="JP153" s="13"/>
      <c r="JQ153" s="11"/>
      <c r="JR153" s="12"/>
      <c r="JS153" s="12"/>
      <c r="JT153" s="11"/>
      <c r="JU153" s="13"/>
      <c r="JV153" s="11"/>
      <c r="JW153" s="11"/>
      <c r="JX153" s="13"/>
      <c r="JY153" s="11"/>
      <c r="JZ153" s="12"/>
      <c r="KA153" s="12"/>
      <c r="KB153" s="11"/>
      <c r="KC153" s="13"/>
      <c r="KD153" s="11"/>
      <c r="KE153" s="11"/>
      <c r="KF153" s="13"/>
      <c r="KG153" s="11"/>
      <c r="KH153" s="12"/>
      <c r="KI153" s="12"/>
      <c r="KJ153" s="11"/>
      <c r="KK153" s="13"/>
      <c r="KL153" s="11"/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  <c r="LH153" s="11"/>
      <c r="LI153" s="13"/>
      <c r="LJ153" s="11"/>
      <c r="LK153" s="11"/>
      <c r="LL153" s="13"/>
      <c r="LM153" s="11"/>
      <c r="LN153" s="12"/>
      <c r="LO153" s="12"/>
      <c r="LP153" s="11"/>
      <c r="LQ153" s="13"/>
      <c r="LR153" s="11"/>
      <c r="LS153" s="11"/>
      <c r="LT153" s="13"/>
      <c r="LU153" s="11"/>
      <c r="LV153" s="12"/>
      <c r="LW153" s="12"/>
    </row>
    <row r="154">
      <c r="A154" s="10" t="s">
        <v>154</v>
      </c>
      <c r="B154" s="10" t="s">
        <v>113</v>
      </c>
      <c r="C154" s="10" t="s">
        <v>158</v>
      </c>
      <c r="D154" s="11">
        <v>1259</v>
      </c>
      <c r="E154" s="11">
        <f>=ROUNDDOWN(14.6907817969662,0)</f>
      </c>
      <c r="F154" s="11">
        <v>770</v>
      </c>
      <c r="G154" s="12">
        <v>0.9723</v>
      </c>
      <c r="H154" s="11"/>
      <c r="I154" s="11">
        <f>=ROUNDDOWN({0},0)</f>
      </c>
      <c r="J154" s="11"/>
      <c r="K154" s="12"/>
      <c r="L154" s="11">
        <v>1194</v>
      </c>
      <c r="M154" s="13">
        <v>41406.4</v>
      </c>
      <c r="N154" s="11">
        <v>9</v>
      </c>
      <c r="O154" s="14">
        <v>4600.71</v>
      </c>
      <c r="P154" s="11"/>
      <c r="Q154" s="13"/>
      <c r="R154" s="11"/>
      <c r="S154" s="14"/>
      <c r="T154" s="12"/>
      <c r="U154" s="12"/>
      <c r="V154" s="12"/>
      <c r="W154" s="12"/>
      <c r="X154" s="11">
        <v>181</v>
      </c>
      <c r="Y154" s="13">
        <v>6860.64</v>
      </c>
      <c r="Z154" s="11">
        <v>9</v>
      </c>
      <c r="AA154" s="11"/>
      <c r="AB154" s="13"/>
      <c r="AC154" s="11"/>
      <c r="AD154" s="12"/>
      <c r="AE154" s="12"/>
      <c r="AF154" s="11">
        <v>195</v>
      </c>
      <c r="AG154" s="13">
        <v>4739.79</v>
      </c>
      <c r="AH154" s="11">
        <v>9</v>
      </c>
      <c r="AI154" s="11"/>
      <c r="AJ154" s="13"/>
      <c r="AK154" s="11"/>
      <c r="AL154" s="12"/>
      <c r="AM154" s="12"/>
      <c r="AN154" s="11">
        <v>130</v>
      </c>
      <c r="AO154" s="13">
        <v>4549.38</v>
      </c>
      <c r="AP154" s="11">
        <v>9</v>
      </c>
      <c r="AQ154" s="11"/>
      <c r="AR154" s="13"/>
      <c r="AS154" s="11"/>
      <c r="AT154" s="12"/>
      <c r="AU154" s="12"/>
      <c r="AV154" s="11">
        <v>211</v>
      </c>
      <c r="AW154" s="13">
        <v>7017.48</v>
      </c>
      <c r="AX154" s="11">
        <v>7</v>
      </c>
      <c r="AY154" s="11"/>
      <c r="AZ154" s="13"/>
      <c r="BA154" s="11"/>
      <c r="BB154" s="12"/>
      <c r="BC154" s="12"/>
      <c r="BD154" s="11">
        <v>16</v>
      </c>
      <c r="BE154" s="13">
        <v>473.77</v>
      </c>
      <c r="BF154" s="11">
        <v>9</v>
      </c>
      <c r="BG154" s="11"/>
      <c r="BH154" s="13"/>
      <c r="BI154" s="11"/>
      <c r="BJ154" s="12"/>
      <c r="BK154" s="12"/>
      <c r="BL154" s="11">
        <v>9</v>
      </c>
      <c r="BM154" s="13">
        <v>367.7</v>
      </c>
      <c r="BN154" s="11">
        <v>9</v>
      </c>
      <c r="BO154" s="11"/>
      <c r="BP154" s="13"/>
      <c r="BQ154" s="11"/>
      <c r="BR154" s="12"/>
      <c r="BS154" s="12"/>
      <c r="BT154" s="11">
        <v>145</v>
      </c>
      <c r="BU154" s="13">
        <v>6163.89</v>
      </c>
      <c r="BV154" s="11">
        <v>9</v>
      </c>
      <c r="BW154" s="11"/>
      <c r="BX154" s="13"/>
      <c r="BY154" s="11"/>
      <c r="BZ154" s="12"/>
      <c r="CA154" s="12"/>
      <c r="CB154" s="11">
        <v>37</v>
      </c>
      <c r="CC154" s="13">
        <v>1013.53</v>
      </c>
      <c r="CD154" s="11">
        <v>7</v>
      </c>
      <c r="CE154" s="11"/>
      <c r="CF154" s="13"/>
      <c r="CG154" s="11"/>
      <c r="CH154" s="12"/>
      <c r="CI154" s="12"/>
      <c r="CJ154" s="11">
        <v>3</v>
      </c>
      <c r="CK154" s="13">
        <v>250.72</v>
      </c>
      <c r="CL154" s="11">
        <v>9</v>
      </c>
      <c r="CM154" s="11"/>
      <c r="CN154" s="13"/>
      <c r="CO154" s="11"/>
      <c r="CP154" s="12"/>
      <c r="CQ154" s="12"/>
      <c r="CR154" s="11"/>
      <c r="CS154" s="13"/>
      <c r="CT154" s="11"/>
      <c r="CU154" s="11"/>
      <c r="CV154" s="13"/>
      <c r="CW154" s="11"/>
      <c r="CX154" s="12"/>
      <c r="CY154" s="12"/>
      <c r="CZ154" s="11">
        <v>136</v>
      </c>
      <c r="DA154" s="13">
        <v>4775.85</v>
      </c>
      <c r="DB154" s="11">
        <v>8</v>
      </c>
      <c r="DC154" s="11"/>
      <c r="DD154" s="13"/>
      <c r="DE154" s="11"/>
      <c r="DF154" s="12"/>
      <c r="DG154" s="12"/>
      <c r="DH154" s="11">
        <v>10</v>
      </c>
      <c r="DI154" s="13">
        <v>471.51</v>
      </c>
      <c r="DJ154" s="11">
        <v>6</v>
      </c>
      <c r="DK154" s="11"/>
      <c r="DL154" s="13"/>
      <c r="DM154" s="11"/>
      <c r="DN154" s="12"/>
      <c r="DO154" s="12"/>
      <c r="DP154" s="11">
        <v>34</v>
      </c>
      <c r="DQ154" s="13">
        <v>1178.27</v>
      </c>
      <c r="DR154" s="11">
        <v>6</v>
      </c>
      <c r="DS154" s="11"/>
      <c r="DT154" s="13"/>
      <c r="DU154" s="11"/>
      <c r="DV154" s="12"/>
      <c r="DW154" s="12"/>
      <c r="DX154" s="11">
        <v>16</v>
      </c>
      <c r="DY154" s="13">
        <v>811.46</v>
      </c>
      <c r="DZ154" s="11">
        <v>3</v>
      </c>
      <c r="EA154" s="11"/>
      <c r="EB154" s="13"/>
      <c r="EC154" s="11"/>
      <c r="ED154" s="12"/>
      <c r="EE154" s="12"/>
      <c r="EF154" s="11"/>
      <c r="EG154" s="13"/>
      <c r="EH154" s="11"/>
      <c r="EI154" s="11"/>
      <c r="EJ154" s="13"/>
      <c r="EK154" s="11"/>
      <c r="EL154" s="12"/>
      <c r="EM154" s="12"/>
      <c r="EN154" s="11">
        <v>18</v>
      </c>
      <c r="EO154" s="13">
        <v>995.62</v>
      </c>
      <c r="EP154" s="11">
        <v>9</v>
      </c>
      <c r="EQ154" s="11"/>
      <c r="ER154" s="13"/>
      <c r="ES154" s="11"/>
      <c r="ET154" s="12"/>
      <c r="EU154" s="12"/>
      <c r="EV154" s="11"/>
      <c r="EW154" s="13"/>
      <c r="EX154" s="11"/>
      <c r="EY154" s="11"/>
      <c r="EZ154" s="13"/>
      <c r="FA154" s="11"/>
      <c r="FB154" s="12"/>
      <c r="FC154" s="12"/>
      <c r="FD154" s="11"/>
      <c r="FE154" s="13"/>
      <c r="FF154" s="11"/>
      <c r="FG154" s="11"/>
      <c r="FH154" s="13"/>
      <c r="FI154" s="11"/>
      <c r="FJ154" s="12"/>
      <c r="FK154" s="12"/>
      <c r="FL154" s="11">
        <v>21</v>
      </c>
      <c r="FM154" s="13">
        <v>508.32</v>
      </c>
      <c r="FN154" s="11">
        <v>3</v>
      </c>
      <c r="FO154" s="11"/>
      <c r="FP154" s="13"/>
      <c r="FQ154" s="11"/>
      <c r="FR154" s="12"/>
      <c r="FS154" s="12"/>
      <c r="FT154" s="11">
        <v>7</v>
      </c>
      <c r="FU154" s="13">
        <v>210.73</v>
      </c>
      <c r="FV154" s="11">
        <v>8</v>
      </c>
      <c r="FW154" s="11"/>
      <c r="FX154" s="13"/>
      <c r="FY154" s="11"/>
      <c r="FZ154" s="12"/>
      <c r="GA154" s="12"/>
      <c r="GB154" s="11">
        <v>14</v>
      </c>
      <c r="GC154" s="13">
        <v>535.04</v>
      </c>
      <c r="GD154" s="11">
        <v>6</v>
      </c>
      <c r="GE154" s="11"/>
      <c r="GF154" s="13"/>
      <c r="GG154" s="11"/>
      <c r="GH154" s="12"/>
      <c r="GI154" s="12"/>
      <c r="GJ154" s="11">
        <v>3</v>
      </c>
      <c r="GK154" s="13">
        <v>126.96</v>
      </c>
      <c r="GL154" s="11">
        <v>9</v>
      </c>
      <c r="GM154" s="11"/>
      <c r="GN154" s="13"/>
      <c r="GO154" s="11"/>
      <c r="GP154" s="12"/>
      <c r="GQ154" s="12"/>
      <c r="GR154" s="11">
        <v>4</v>
      </c>
      <c r="GS154" s="13">
        <v>218.38</v>
      </c>
      <c r="GT154" s="11">
        <v>7</v>
      </c>
      <c r="GU154" s="11"/>
      <c r="GV154" s="13"/>
      <c r="GW154" s="11"/>
      <c r="GX154" s="12"/>
      <c r="GY154" s="12"/>
      <c r="GZ154" s="11"/>
      <c r="HA154" s="13"/>
      <c r="HB154" s="11"/>
      <c r="HC154" s="11"/>
      <c r="HD154" s="13"/>
      <c r="HE154" s="11"/>
      <c r="HF154" s="12"/>
      <c r="HG154" s="12"/>
      <c r="HH154" s="11"/>
      <c r="HI154" s="13"/>
      <c r="HJ154" s="11"/>
      <c r="HK154" s="11"/>
      <c r="HL154" s="13"/>
      <c r="HM154" s="11"/>
      <c r="HN154" s="12"/>
      <c r="HO154" s="12"/>
      <c r="HP154" s="11"/>
      <c r="HQ154" s="13"/>
      <c r="HR154" s="11"/>
      <c r="HS154" s="11"/>
      <c r="HT154" s="13"/>
      <c r="HU154" s="11"/>
      <c r="HV154" s="12"/>
      <c r="HW154" s="12"/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>
        <v>2</v>
      </c>
      <c r="IY154" s="11"/>
      <c r="IZ154" s="13"/>
      <c r="JA154" s="11"/>
      <c r="JB154" s="12"/>
      <c r="JC154" s="12"/>
      <c r="JD154" s="11">
        <v>4</v>
      </c>
      <c r="JE154" s="13">
        <v>137.36</v>
      </c>
      <c r="JF154" s="11">
        <v>4</v>
      </c>
      <c r="JG154" s="11"/>
      <c r="JH154" s="13"/>
      <c r="JI154" s="11"/>
      <c r="JJ154" s="12"/>
      <c r="JK154" s="12"/>
      <c r="JL154" s="11"/>
      <c r="JM154" s="13"/>
      <c r="JN154" s="11"/>
      <c r="JO154" s="11"/>
      <c r="JP154" s="13"/>
      <c r="JQ154" s="11"/>
      <c r="JR154" s="12"/>
      <c r="JS154" s="12"/>
      <c r="JT154" s="11"/>
      <c r="JU154" s="13"/>
      <c r="JV154" s="11"/>
      <c r="JW154" s="11"/>
      <c r="JX154" s="13"/>
      <c r="JY154" s="11"/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/>
      <c r="KM154" s="11"/>
      <c r="KN154" s="13"/>
      <c r="KO154" s="11"/>
      <c r="KP154" s="12"/>
      <c r="KQ154" s="12"/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  <c r="LH154" s="11"/>
      <c r="LI154" s="13"/>
      <c r="LJ154" s="11"/>
      <c r="LK154" s="11"/>
      <c r="LL154" s="13"/>
      <c r="LM154" s="11"/>
      <c r="LN154" s="12"/>
      <c r="LO154" s="12"/>
      <c r="LP154" s="11"/>
      <c r="LQ154" s="13"/>
      <c r="LR154" s="11"/>
      <c r="LS154" s="11"/>
      <c r="LT154" s="13"/>
      <c r="LU154" s="11"/>
      <c r="LV154" s="12"/>
      <c r="LW154" s="12"/>
    </row>
    <row r="155">
      <c r="A155" s="10" t="s">
        <v>154</v>
      </c>
      <c r="B155" s="10" t="s">
        <v>116</v>
      </c>
      <c r="C155" s="10" t="s">
        <v>77</v>
      </c>
      <c r="D155" s="11">
        <v>13901</v>
      </c>
      <c r="E155" s="11">
        <f>=ROUNDDOWN({0},0)</f>
      </c>
      <c r="F155" s="11">
        <v>12130</v>
      </c>
      <c r="G155" s="12"/>
      <c r="H155" s="11"/>
      <c r="I155" s="11">
        <f>=ROUNDDOWN({0},0)</f>
      </c>
      <c r="J155" s="11"/>
      <c r="K155" s="12"/>
      <c r="L155" s="11">
        <v>11655</v>
      </c>
      <c r="M155" s="13">
        <v>537197.33</v>
      </c>
      <c r="N155" s="11">
        <v>116</v>
      </c>
      <c r="O155" s="14">
        <v>4631.01</v>
      </c>
      <c r="P155" s="11"/>
      <c r="Q155" s="13"/>
      <c r="R155" s="11"/>
      <c r="S155" s="14"/>
      <c r="T155" s="12"/>
      <c r="U155" s="12"/>
      <c r="V155" s="12"/>
      <c r="W155" s="12"/>
      <c r="X155" s="11">
        <v>2586</v>
      </c>
      <c r="Y155" s="13">
        <v>119884.3</v>
      </c>
      <c r="Z155" s="11">
        <v>109</v>
      </c>
      <c r="AA155" s="11"/>
      <c r="AB155" s="13"/>
      <c r="AC155" s="11"/>
      <c r="AD155" s="12"/>
      <c r="AE155" s="12"/>
      <c r="AF155" s="11">
        <v>2476</v>
      </c>
      <c r="AG155" s="13">
        <v>101580.41</v>
      </c>
      <c r="AH155" s="11">
        <v>115</v>
      </c>
      <c r="AI155" s="11"/>
      <c r="AJ155" s="13"/>
      <c r="AK155" s="11"/>
      <c r="AL155" s="12"/>
      <c r="AM155" s="12"/>
      <c r="AN155" s="11">
        <v>1591</v>
      </c>
      <c r="AO155" s="13">
        <v>64678.11</v>
      </c>
      <c r="AP155" s="11">
        <v>116</v>
      </c>
      <c r="AQ155" s="11"/>
      <c r="AR155" s="13"/>
      <c r="AS155" s="11"/>
      <c r="AT155" s="12"/>
      <c r="AU155" s="12"/>
      <c r="AV155" s="11">
        <v>725</v>
      </c>
      <c r="AW155" s="13">
        <v>36299.22</v>
      </c>
      <c r="AX155" s="11">
        <v>91</v>
      </c>
      <c r="AY155" s="11"/>
      <c r="AZ155" s="13"/>
      <c r="BA155" s="11"/>
      <c r="BB155" s="12"/>
      <c r="BC155" s="12"/>
      <c r="BD155" s="11">
        <v>177</v>
      </c>
      <c r="BE155" s="13">
        <v>5434.92</v>
      </c>
      <c r="BF155" s="11">
        <v>102</v>
      </c>
      <c r="BG155" s="11"/>
      <c r="BH155" s="13"/>
      <c r="BI155" s="11"/>
      <c r="BJ155" s="12"/>
      <c r="BK155" s="12"/>
      <c r="BL155" s="11">
        <v>378</v>
      </c>
      <c r="BM155" s="13">
        <v>22108.84</v>
      </c>
      <c r="BN155" s="11">
        <v>116</v>
      </c>
      <c r="BO155" s="11"/>
      <c r="BP155" s="13"/>
      <c r="BQ155" s="11"/>
      <c r="BR155" s="12"/>
      <c r="BS155" s="12"/>
      <c r="BT155" s="11">
        <v>1075</v>
      </c>
      <c r="BU155" s="13">
        <v>52841.21</v>
      </c>
      <c r="BV155" s="11">
        <v>116</v>
      </c>
      <c r="BW155" s="11"/>
      <c r="BX155" s="13"/>
      <c r="BY155" s="11"/>
      <c r="BZ155" s="12"/>
      <c r="CA155" s="12"/>
      <c r="CB155" s="11">
        <v>289</v>
      </c>
      <c r="CC155" s="13">
        <v>12617.51</v>
      </c>
      <c r="CD155" s="11">
        <v>80</v>
      </c>
      <c r="CE155" s="11"/>
      <c r="CF155" s="13"/>
      <c r="CG155" s="11"/>
      <c r="CH155" s="12"/>
      <c r="CI155" s="12"/>
      <c r="CJ155" s="11">
        <v>45</v>
      </c>
      <c r="CK155" s="13">
        <v>4097.15</v>
      </c>
      <c r="CL155" s="11">
        <v>116</v>
      </c>
      <c r="CM155" s="11"/>
      <c r="CN155" s="13"/>
      <c r="CO155" s="11"/>
      <c r="CP155" s="12"/>
      <c r="CQ155" s="12"/>
      <c r="CR155" s="11"/>
      <c r="CS155" s="13"/>
      <c r="CT155" s="11"/>
      <c r="CU155" s="11"/>
      <c r="CV155" s="13"/>
      <c r="CW155" s="11"/>
      <c r="CX155" s="12"/>
      <c r="CY155" s="12"/>
      <c r="CZ155" s="11">
        <v>1331</v>
      </c>
      <c r="DA155" s="13">
        <v>68053.29</v>
      </c>
      <c r="DB155" s="11">
        <v>75</v>
      </c>
      <c r="DC155" s="11"/>
      <c r="DD155" s="13"/>
      <c r="DE155" s="11"/>
      <c r="DF155" s="12"/>
      <c r="DG155" s="12"/>
      <c r="DH155" s="11">
        <v>96</v>
      </c>
      <c r="DI155" s="13">
        <v>4384.48</v>
      </c>
      <c r="DJ155" s="11">
        <v>61</v>
      </c>
      <c r="DK155" s="11"/>
      <c r="DL155" s="13"/>
      <c r="DM155" s="11"/>
      <c r="DN155" s="12"/>
      <c r="DO155" s="12"/>
      <c r="DP155" s="11">
        <v>81</v>
      </c>
      <c r="DQ155" s="13">
        <v>3322.87</v>
      </c>
      <c r="DR155" s="11">
        <v>73</v>
      </c>
      <c r="DS155" s="11"/>
      <c r="DT155" s="13"/>
      <c r="DU155" s="11"/>
      <c r="DV155" s="12"/>
      <c r="DW155" s="12"/>
      <c r="DX155" s="11">
        <v>58</v>
      </c>
      <c r="DY155" s="13">
        <v>3297.39</v>
      </c>
      <c r="DZ155" s="11">
        <v>52</v>
      </c>
      <c r="EA155" s="11"/>
      <c r="EB155" s="13"/>
      <c r="EC155" s="11"/>
      <c r="ED155" s="12"/>
      <c r="EE155" s="12"/>
      <c r="EF155" s="11"/>
      <c r="EG155" s="13"/>
      <c r="EH155" s="11"/>
      <c r="EI155" s="11"/>
      <c r="EJ155" s="13"/>
      <c r="EK155" s="11"/>
      <c r="EL155" s="12"/>
      <c r="EM155" s="12"/>
      <c r="EN155" s="11">
        <v>136</v>
      </c>
      <c r="EO155" s="13">
        <v>8771.6</v>
      </c>
      <c r="EP155" s="11">
        <v>116</v>
      </c>
      <c r="EQ155" s="11"/>
      <c r="ER155" s="13"/>
      <c r="ES155" s="11"/>
      <c r="ET155" s="12"/>
      <c r="EU155" s="12"/>
      <c r="EV155" s="11"/>
      <c r="EW155" s="13"/>
      <c r="EX155" s="11"/>
      <c r="EY155" s="11"/>
      <c r="EZ155" s="13"/>
      <c r="FA155" s="11"/>
      <c r="FB155" s="12"/>
      <c r="FC155" s="12"/>
      <c r="FD155" s="11"/>
      <c r="FE155" s="13"/>
      <c r="FF155" s="11"/>
      <c r="FG155" s="11"/>
      <c r="FH155" s="13"/>
      <c r="FI155" s="11"/>
      <c r="FJ155" s="12"/>
      <c r="FK155" s="12"/>
      <c r="FL155" s="11">
        <v>124</v>
      </c>
      <c r="FM155" s="13">
        <v>5482.72</v>
      </c>
      <c r="FN155" s="11">
        <v>27</v>
      </c>
      <c r="FO155" s="11"/>
      <c r="FP155" s="13"/>
      <c r="FQ155" s="11"/>
      <c r="FR155" s="12"/>
      <c r="FS155" s="12"/>
      <c r="FT155" s="11">
        <v>100</v>
      </c>
      <c r="FU155" s="13">
        <v>4913.81</v>
      </c>
      <c r="FV155" s="11">
        <v>93</v>
      </c>
      <c r="FW155" s="11"/>
      <c r="FX155" s="13"/>
      <c r="FY155" s="11"/>
      <c r="FZ155" s="12"/>
      <c r="GA155" s="12"/>
      <c r="GB155" s="11">
        <v>152</v>
      </c>
      <c r="GC155" s="13">
        <v>7768.51</v>
      </c>
      <c r="GD155" s="11">
        <v>69</v>
      </c>
      <c r="GE155" s="11"/>
      <c r="GF155" s="13"/>
      <c r="GG155" s="11"/>
      <c r="GH155" s="12"/>
      <c r="GI155" s="12"/>
      <c r="GJ155" s="11">
        <v>175</v>
      </c>
      <c r="GK155" s="13">
        <v>9186.16</v>
      </c>
      <c r="GL155" s="11">
        <v>86</v>
      </c>
      <c r="GM155" s="11"/>
      <c r="GN155" s="13"/>
      <c r="GO155" s="11"/>
      <c r="GP155" s="12"/>
      <c r="GQ155" s="12"/>
      <c r="GR155" s="11">
        <v>30</v>
      </c>
      <c r="GS155" s="13">
        <v>1288.68</v>
      </c>
      <c r="GT155" s="11">
        <v>55</v>
      </c>
      <c r="GU155" s="11"/>
      <c r="GV155" s="13"/>
      <c r="GW155" s="11"/>
      <c r="GX155" s="12"/>
      <c r="GY155" s="12"/>
      <c r="GZ155" s="11"/>
      <c r="HA155" s="13"/>
      <c r="HB155" s="11">
        <v>2</v>
      </c>
      <c r="HC155" s="11"/>
      <c r="HD155" s="13"/>
      <c r="HE155" s="11"/>
      <c r="HF155" s="12"/>
      <c r="HG155" s="12"/>
      <c r="HH155" s="11">
        <v>13</v>
      </c>
      <c r="HI155" s="13">
        <v>285.63</v>
      </c>
      <c r="HJ155" s="11"/>
      <c r="HK155" s="11"/>
      <c r="HL155" s="13"/>
      <c r="HM155" s="11"/>
      <c r="HN155" s="12"/>
      <c r="HO155" s="12"/>
      <c r="HP155" s="11"/>
      <c r="HQ155" s="13"/>
      <c r="HR155" s="11"/>
      <c r="HS155" s="11"/>
      <c r="HT155" s="13"/>
      <c r="HU155" s="11"/>
      <c r="HV155" s="12"/>
      <c r="HW155" s="12"/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/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>
        <v>21</v>
      </c>
      <c r="IY155" s="11"/>
      <c r="IZ155" s="13"/>
      <c r="JA155" s="11"/>
      <c r="JB155" s="12"/>
      <c r="JC155" s="12"/>
      <c r="JD155" s="11">
        <v>17</v>
      </c>
      <c r="JE155" s="13">
        <v>900.52</v>
      </c>
      <c r="JF155" s="11">
        <v>22</v>
      </c>
      <c r="JG155" s="11"/>
      <c r="JH155" s="13"/>
      <c r="JI155" s="11"/>
      <c r="JJ155" s="12"/>
      <c r="JK155" s="12"/>
      <c r="JL155" s="11"/>
      <c r="JM155" s="13"/>
      <c r="JN155" s="11"/>
      <c r="JO155" s="11"/>
      <c r="JP155" s="13"/>
      <c r="JQ155" s="11"/>
      <c r="JR155" s="12"/>
      <c r="JS155" s="12"/>
      <c r="JT155" s="11"/>
      <c r="JU155" s="13"/>
      <c r="JV155" s="11"/>
      <c r="JW155" s="11"/>
      <c r="JX155" s="13"/>
      <c r="JY155" s="11"/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/>
      <c r="KM155" s="11"/>
      <c r="KN155" s="13"/>
      <c r="KO155" s="11"/>
      <c r="KP155" s="12"/>
      <c r="KQ155" s="12"/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  <c r="LH155" s="11"/>
      <c r="LI155" s="13"/>
      <c r="LJ155" s="11"/>
      <c r="LK155" s="11"/>
      <c r="LL155" s="13"/>
      <c r="LM155" s="11"/>
      <c r="LN155" s="12"/>
      <c r="LO155" s="12"/>
      <c r="LP155" s="11"/>
      <c r="LQ155" s="13"/>
      <c r="LR155" s="11"/>
      <c r="LS155" s="11"/>
      <c r="LT155" s="13"/>
      <c r="LU155" s="11"/>
      <c r="LV155" s="12"/>
      <c r="LW155" s="12"/>
    </row>
    <row r="156">
      <c r="A156" s="10" t="s">
        <v>154</v>
      </c>
      <c r="B156" s="10" t="s">
        <v>122</v>
      </c>
      <c r="C156" s="10" t="s">
        <v>155</v>
      </c>
      <c r="D156" s="11">
        <v>597</v>
      </c>
      <c r="E156" s="11">
        <f>=ROUNDDOWN(15.92,0)</f>
      </c>
      <c r="F156" s="11">
        <v>570</v>
      </c>
      <c r="G156" s="12">
        <v>1</v>
      </c>
      <c r="H156" s="11"/>
      <c r="I156" s="11">
        <f>=ROUNDDOWN({0},0)</f>
      </c>
      <c r="J156" s="11"/>
      <c r="K156" s="12"/>
      <c r="L156" s="11">
        <v>525</v>
      </c>
      <c r="M156" s="13">
        <v>32627.15</v>
      </c>
      <c r="N156" s="11">
        <v>6</v>
      </c>
      <c r="O156" s="14">
        <v>5437.86</v>
      </c>
      <c r="P156" s="11"/>
      <c r="Q156" s="13"/>
      <c r="R156" s="11"/>
      <c r="S156" s="14"/>
      <c r="T156" s="12"/>
      <c r="U156" s="12"/>
      <c r="V156" s="12"/>
      <c r="W156" s="12"/>
      <c r="X156" s="11">
        <v>246</v>
      </c>
      <c r="Y156" s="13">
        <v>14541.97</v>
      </c>
      <c r="Z156" s="11">
        <v>6</v>
      </c>
      <c r="AA156" s="11"/>
      <c r="AB156" s="13"/>
      <c r="AC156" s="11"/>
      <c r="AD156" s="12"/>
      <c r="AE156" s="12"/>
      <c r="AF156" s="11">
        <v>115</v>
      </c>
      <c r="AG156" s="13">
        <v>5620.37</v>
      </c>
      <c r="AH156" s="11">
        <v>6</v>
      </c>
      <c r="AI156" s="11"/>
      <c r="AJ156" s="13"/>
      <c r="AK156" s="11"/>
      <c r="AL156" s="12"/>
      <c r="AM156" s="12"/>
      <c r="AN156" s="11">
        <v>32</v>
      </c>
      <c r="AO156" s="13">
        <v>2009.8</v>
      </c>
      <c r="AP156" s="11">
        <v>6</v>
      </c>
      <c r="AQ156" s="11"/>
      <c r="AR156" s="13"/>
      <c r="AS156" s="11"/>
      <c r="AT156" s="12"/>
      <c r="AU156" s="12"/>
      <c r="AV156" s="11">
        <v>11</v>
      </c>
      <c r="AW156" s="13">
        <v>995.76</v>
      </c>
      <c r="AX156" s="11">
        <v>2</v>
      </c>
      <c r="AY156" s="11"/>
      <c r="AZ156" s="13"/>
      <c r="BA156" s="11"/>
      <c r="BB156" s="12"/>
      <c r="BC156" s="12"/>
      <c r="BD156" s="11"/>
      <c r="BE156" s="13"/>
      <c r="BF156" s="11">
        <v>6</v>
      </c>
      <c r="BG156" s="11"/>
      <c r="BH156" s="13"/>
      <c r="BI156" s="11"/>
      <c r="BJ156" s="12"/>
      <c r="BK156" s="12"/>
      <c r="BL156" s="11">
        <v>11</v>
      </c>
      <c r="BM156" s="13">
        <v>1393.92</v>
      </c>
      <c r="BN156" s="11">
        <v>6</v>
      </c>
      <c r="BO156" s="11"/>
      <c r="BP156" s="13"/>
      <c r="BQ156" s="11"/>
      <c r="BR156" s="12"/>
      <c r="BS156" s="12"/>
      <c r="BT156" s="11">
        <v>18</v>
      </c>
      <c r="BU156" s="13">
        <v>1186.08</v>
      </c>
      <c r="BV156" s="11">
        <v>6</v>
      </c>
      <c r="BW156" s="11"/>
      <c r="BX156" s="13"/>
      <c r="BY156" s="11"/>
      <c r="BZ156" s="12"/>
      <c r="CA156" s="12"/>
      <c r="CB156" s="11">
        <v>4</v>
      </c>
      <c r="CC156" s="13">
        <v>483.84</v>
      </c>
      <c r="CD156" s="11">
        <v>2</v>
      </c>
      <c r="CE156" s="11"/>
      <c r="CF156" s="13"/>
      <c r="CG156" s="11"/>
      <c r="CH156" s="12"/>
      <c r="CI156" s="12"/>
      <c r="CJ156" s="11"/>
      <c r="CK156" s="13"/>
      <c r="CL156" s="11">
        <v>6</v>
      </c>
      <c r="CM156" s="11"/>
      <c r="CN156" s="13"/>
      <c r="CO156" s="11"/>
      <c r="CP156" s="12"/>
      <c r="CQ156" s="12"/>
      <c r="CR156" s="11"/>
      <c r="CS156" s="13"/>
      <c r="CT156" s="11"/>
      <c r="CU156" s="11"/>
      <c r="CV156" s="13"/>
      <c r="CW156" s="11"/>
      <c r="CX156" s="12"/>
      <c r="CY156" s="12"/>
      <c r="CZ156" s="11">
        <v>47</v>
      </c>
      <c r="DA156" s="13">
        <v>3940.13</v>
      </c>
      <c r="DB156" s="11">
        <v>4</v>
      </c>
      <c r="DC156" s="11"/>
      <c r="DD156" s="13"/>
      <c r="DE156" s="11"/>
      <c r="DF156" s="12"/>
      <c r="DG156" s="12"/>
      <c r="DH156" s="11">
        <v>15</v>
      </c>
      <c r="DI156" s="13">
        <v>716.9</v>
      </c>
      <c r="DJ156" s="11">
        <v>4</v>
      </c>
      <c r="DK156" s="11"/>
      <c r="DL156" s="13"/>
      <c r="DM156" s="11"/>
      <c r="DN156" s="12"/>
      <c r="DO156" s="12"/>
      <c r="DP156" s="11">
        <v>1</v>
      </c>
      <c r="DQ156" s="13">
        <v>120.96</v>
      </c>
      <c r="DR156" s="11">
        <v>4</v>
      </c>
      <c r="DS156" s="11"/>
      <c r="DT156" s="13"/>
      <c r="DU156" s="11"/>
      <c r="DV156" s="12"/>
      <c r="DW156" s="12"/>
      <c r="DX156" s="11">
        <v>3</v>
      </c>
      <c r="DY156" s="13">
        <v>173.04</v>
      </c>
      <c r="DZ156" s="11">
        <v>2</v>
      </c>
      <c r="EA156" s="11"/>
      <c r="EB156" s="13"/>
      <c r="EC156" s="11"/>
      <c r="ED156" s="12"/>
      <c r="EE156" s="12"/>
      <c r="EF156" s="11"/>
      <c r="EG156" s="13"/>
      <c r="EH156" s="11"/>
      <c r="EI156" s="11"/>
      <c r="EJ156" s="13"/>
      <c r="EK156" s="11"/>
      <c r="EL156" s="12"/>
      <c r="EM156" s="12"/>
      <c r="EN156" s="11">
        <v>1</v>
      </c>
      <c r="EO156" s="13">
        <v>84.99</v>
      </c>
      <c r="EP156" s="11">
        <v>6</v>
      </c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>
        <v>3</v>
      </c>
      <c r="FM156" s="13">
        <v>317.25</v>
      </c>
      <c r="FN156" s="11">
        <v>2</v>
      </c>
      <c r="FO156" s="11"/>
      <c r="FP156" s="13"/>
      <c r="FQ156" s="11"/>
      <c r="FR156" s="12"/>
      <c r="FS156" s="12"/>
      <c r="FT156" s="11">
        <v>6</v>
      </c>
      <c r="FU156" s="13">
        <v>296.64</v>
      </c>
      <c r="FV156" s="11">
        <v>6</v>
      </c>
      <c r="FW156" s="11"/>
      <c r="FX156" s="13"/>
      <c r="FY156" s="11"/>
      <c r="FZ156" s="12"/>
      <c r="GA156" s="12"/>
      <c r="GB156" s="11">
        <v>7</v>
      </c>
      <c r="GC156" s="13">
        <v>478.5</v>
      </c>
      <c r="GD156" s="11">
        <v>4</v>
      </c>
      <c r="GE156" s="11"/>
      <c r="GF156" s="13"/>
      <c r="GG156" s="11"/>
      <c r="GH156" s="12"/>
      <c r="GI156" s="12"/>
      <c r="GJ156" s="11">
        <v>3</v>
      </c>
      <c r="GK156" s="13">
        <v>160.2</v>
      </c>
      <c r="GL156" s="11">
        <v>6</v>
      </c>
      <c r="GM156" s="11"/>
      <c r="GN156" s="13"/>
      <c r="GO156" s="11"/>
      <c r="GP156" s="12"/>
      <c r="GQ156" s="12"/>
      <c r="GR156" s="11">
        <v>2</v>
      </c>
      <c r="GS156" s="13">
        <v>106.8</v>
      </c>
      <c r="GT156" s="11">
        <v>6</v>
      </c>
      <c r="GU156" s="11"/>
      <c r="GV156" s="13"/>
      <c r="GW156" s="11"/>
      <c r="GX156" s="12"/>
      <c r="GY156" s="12"/>
      <c r="GZ156" s="11"/>
      <c r="HA156" s="13"/>
      <c r="HB156" s="11"/>
      <c r="HC156" s="11"/>
      <c r="HD156" s="13"/>
      <c r="HE156" s="11"/>
      <c r="HF156" s="12"/>
      <c r="HG156" s="12"/>
      <c r="HH156" s="11"/>
      <c r="HI156" s="13"/>
      <c r="HJ156" s="11"/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>
        <v>1</v>
      </c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/>
      <c r="JU156" s="13"/>
      <c r="JV156" s="11"/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  <c r="LH156" s="11"/>
      <c r="LI156" s="13"/>
      <c r="LJ156" s="11"/>
      <c r="LK156" s="11"/>
      <c r="LL156" s="13"/>
      <c r="LM156" s="11"/>
      <c r="LN156" s="12"/>
      <c r="LO156" s="12"/>
      <c r="LP156" s="11"/>
      <c r="LQ156" s="13"/>
      <c r="LR156" s="11"/>
      <c r="LS156" s="11"/>
      <c r="LT156" s="13"/>
      <c r="LU156" s="11"/>
      <c r="LV156" s="12"/>
      <c r="LW156" s="12"/>
    </row>
    <row r="157">
      <c r="A157" s="10" t="s">
        <v>154</v>
      </c>
      <c r="B157" s="10" t="s">
        <v>122</v>
      </c>
      <c r="C157" s="10" t="s">
        <v>156</v>
      </c>
      <c r="D157" s="11">
        <v>1</v>
      </c>
      <c r="E157" s="11">
        <f>=ROUNDDOWN(0.5,0)</f>
      </c>
      <c r="F157" s="11"/>
      <c r="G157" s="12"/>
      <c r="H157" s="11"/>
      <c r="I157" s="11">
        <f>=ROUNDDOWN({0},0)</f>
      </c>
      <c r="J157" s="11"/>
      <c r="K157" s="12"/>
      <c r="L157" s="11">
        <v>31</v>
      </c>
      <c r="M157" s="13">
        <v>1385.73</v>
      </c>
      <c r="N157" s="11"/>
      <c r="O157" s="14"/>
      <c r="P157" s="11"/>
      <c r="Q157" s="13"/>
      <c r="R157" s="11"/>
      <c r="S157" s="14"/>
      <c r="T157" s="12"/>
      <c r="U157" s="12"/>
      <c r="V157" s="12"/>
      <c r="W157" s="12"/>
      <c r="X157" s="11"/>
      <c r="Y157" s="13"/>
      <c r="Z157" s="11"/>
      <c r="AA157" s="11"/>
      <c r="AB157" s="13"/>
      <c r="AC157" s="11"/>
      <c r="AD157" s="12"/>
      <c r="AE157" s="12"/>
      <c r="AF157" s="11"/>
      <c r="AG157" s="13"/>
      <c r="AH157" s="11"/>
      <c r="AI157" s="11"/>
      <c r="AJ157" s="13"/>
      <c r="AK157" s="11"/>
      <c r="AL157" s="12"/>
      <c r="AM157" s="12"/>
      <c r="AN157" s="11">
        <v>7</v>
      </c>
      <c r="AO157" s="13">
        <v>322</v>
      </c>
      <c r="AP157" s="11"/>
      <c r="AQ157" s="11"/>
      <c r="AR157" s="13"/>
      <c r="AS157" s="11"/>
      <c r="AT157" s="12"/>
      <c r="AU157" s="12"/>
      <c r="AV157" s="11">
        <v>1</v>
      </c>
      <c r="AW157" s="13">
        <v>25.5</v>
      </c>
      <c r="AX157" s="11"/>
      <c r="AY157" s="11"/>
      <c r="AZ157" s="13"/>
      <c r="BA157" s="11"/>
      <c r="BB157" s="12"/>
      <c r="BC157" s="12"/>
      <c r="BD157" s="11"/>
      <c r="BE157" s="13"/>
      <c r="BF157" s="11"/>
      <c r="BG157" s="11"/>
      <c r="BH157" s="13"/>
      <c r="BI157" s="11"/>
      <c r="BJ157" s="12"/>
      <c r="BK157" s="12"/>
      <c r="BL157" s="11"/>
      <c r="BM157" s="13"/>
      <c r="BN157" s="11"/>
      <c r="BO157" s="11"/>
      <c r="BP157" s="13"/>
      <c r="BQ157" s="11"/>
      <c r="BR157" s="12"/>
      <c r="BS157" s="12"/>
      <c r="BT157" s="11">
        <v>22</v>
      </c>
      <c r="BU157" s="13">
        <v>994.44</v>
      </c>
      <c r="BV157" s="11"/>
      <c r="BW157" s="11"/>
      <c r="BX157" s="13"/>
      <c r="BY157" s="11"/>
      <c r="BZ157" s="12"/>
      <c r="CA157" s="12"/>
      <c r="CB157" s="11"/>
      <c r="CC157" s="13"/>
      <c r="CD157" s="11"/>
      <c r="CE157" s="11"/>
      <c r="CF157" s="13"/>
      <c r="CG157" s="11"/>
      <c r="CH157" s="12"/>
      <c r="CI157" s="12"/>
      <c r="CJ157" s="11"/>
      <c r="CK157" s="13"/>
      <c r="CL157" s="11"/>
      <c r="CM157" s="11"/>
      <c r="CN157" s="13"/>
      <c r="CO157" s="11"/>
      <c r="CP157" s="12"/>
      <c r="CQ157" s="12"/>
      <c r="CR157" s="11"/>
      <c r="CS157" s="13"/>
      <c r="CT157" s="11"/>
      <c r="CU157" s="11"/>
      <c r="CV157" s="13"/>
      <c r="CW157" s="11"/>
      <c r="CX157" s="12"/>
      <c r="CY157" s="12"/>
      <c r="CZ157" s="11"/>
      <c r="DA157" s="13"/>
      <c r="DB157" s="11"/>
      <c r="DC157" s="11"/>
      <c r="DD157" s="13"/>
      <c r="DE157" s="11"/>
      <c r="DF157" s="12"/>
      <c r="DG157" s="12"/>
      <c r="DH157" s="11"/>
      <c r="DI157" s="13"/>
      <c r="DJ157" s="11"/>
      <c r="DK157" s="11"/>
      <c r="DL157" s="13"/>
      <c r="DM157" s="11"/>
      <c r="DN157" s="12"/>
      <c r="DO157" s="12"/>
      <c r="DP157" s="11"/>
      <c r="DQ157" s="13"/>
      <c r="DR157" s="11"/>
      <c r="DS157" s="11"/>
      <c r="DT157" s="13"/>
      <c r="DU157" s="11"/>
      <c r="DV157" s="12"/>
      <c r="DW157" s="12"/>
      <c r="DX157" s="11"/>
      <c r="DY157" s="13"/>
      <c r="DZ157" s="11"/>
      <c r="EA157" s="11"/>
      <c r="EB157" s="13"/>
      <c r="EC157" s="11"/>
      <c r="ED157" s="12"/>
      <c r="EE157" s="12"/>
      <c r="EF157" s="11"/>
      <c r="EG157" s="13"/>
      <c r="EH157" s="11"/>
      <c r="EI157" s="11"/>
      <c r="EJ157" s="13"/>
      <c r="EK157" s="11"/>
      <c r="EL157" s="12"/>
      <c r="EM157" s="12"/>
      <c r="EN157" s="11"/>
      <c r="EO157" s="13"/>
      <c r="EP157" s="11"/>
      <c r="EQ157" s="11"/>
      <c r="ER157" s="13"/>
      <c r="ES157" s="11"/>
      <c r="ET157" s="12"/>
      <c r="EU157" s="12"/>
      <c r="EV157" s="11"/>
      <c r="EW157" s="13"/>
      <c r="EX157" s="11"/>
      <c r="EY157" s="11"/>
      <c r="EZ157" s="13"/>
      <c r="FA157" s="11"/>
      <c r="FB157" s="12"/>
      <c r="FC157" s="12"/>
      <c r="FD157" s="11"/>
      <c r="FE157" s="13"/>
      <c r="FF157" s="11"/>
      <c r="FG157" s="11"/>
      <c r="FH157" s="13"/>
      <c r="FI157" s="11"/>
      <c r="FJ157" s="12"/>
      <c r="FK157" s="12"/>
      <c r="FL157" s="11"/>
      <c r="FM157" s="13"/>
      <c r="FN157" s="11"/>
      <c r="FO157" s="11"/>
      <c r="FP157" s="13"/>
      <c r="FQ157" s="11"/>
      <c r="FR157" s="12"/>
      <c r="FS157" s="12"/>
      <c r="FT157" s="11">
        <v>1</v>
      </c>
      <c r="FU157" s="13">
        <v>43.79</v>
      </c>
      <c r="FV157" s="11"/>
      <c r="FW157" s="11"/>
      <c r="FX157" s="13"/>
      <c r="FY157" s="11"/>
      <c r="FZ157" s="12"/>
      <c r="GA157" s="12"/>
      <c r="GB157" s="11"/>
      <c r="GC157" s="13"/>
      <c r="GD157" s="11"/>
      <c r="GE157" s="11"/>
      <c r="GF157" s="13"/>
      <c r="GG157" s="11"/>
      <c r="GH157" s="12"/>
      <c r="GI157" s="12"/>
      <c r="GJ157" s="11"/>
      <c r="GK157" s="13"/>
      <c r="GL157" s="11"/>
      <c r="GM157" s="11"/>
      <c r="GN157" s="13"/>
      <c r="GO157" s="11"/>
      <c r="GP157" s="12"/>
      <c r="GQ157" s="12"/>
      <c r="GR157" s="11"/>
      <c r="GS157" s="13"/>
      <c r="GT157" s="11"/>
      <c r="GU157" s="11"/>
      <c r="GV157" s="13"/>
      <c r="GW157" s="11"/>
      <c r="GX157" s="12"/>
      <c r="GY157" s="12"/>
      <c r="GZ157" s="11"/>
      <c r="HA157" s="13"/>
      <c r="HB157" s="11"/>
      <c r="HC157" s="11"/>
      <c r="HD157" s="13"/>
      <c r="HE157" s="11"/>
      <c r="HF157" s="12"/>
      <c r="HG157" s="12"/>
      <c r="HH157" s="11"/>
      <c r="HI157" s="13"/>
      <c r="HJ157" s="11"/>
      <c r="HK157" s="11"/>
      <c r="HL157" s="13"/>
      <c r="HM157" s="11"/>
      <c r="HN157" s="12"/>
      <c r="HO157" s="12"/>
      <c r="HP157" s="11"/>
      <c r="HQ157" s="13"/>
      <c r="HR157" s="11"/>
      <c r="HS157" s="11"/>
      <c r="HT157" s="13"/>
      <c r="HU157" s="11"/>
      <c r="HV157" s="12"/>
      <c r="HW157" s="12"/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/>
      <c r="JP157" s="13"/>
      <c r="JQ157" s="11"/>
      <c r="JR157" s="12"/>
      <c r="JS157" s="12"/>
      <c r="JT157" s="11"/>
      <c r="JU157" s="13"/>
      <c r="JV157" s="11"/>
      <c r="JW157" s="11"/>
      <c r="JX157" s="13"/>
      <c r="JY157" s="11"/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/>
      <c r="KM157" s="11"/>
      <c r="KN157" s="13"/>
      <c r="KO157" s="11"/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  <c r="LH157" s="11"/>
      <c r="LI157" s="13"/>
      <c r="LJ157" s="11"/>
      <c r="LK157" s="11"/>
      <c r="LL157" s="13"/>
      <c r="LM157" s="11"/>
      <c r="LN157" s="12"/>
      <c r="LO157" s="12"/>
      <c r="LP157" s="11"/>
      <c r="LQ157" s="13"/>
      <c r="LR157" s="11"/>
      <c r="LS157" s="11"/>
      <c r="LT157" s="13"/>
      <c r="LU157" s="11"/>
      <c r="LV157" s="12"/>
      <c r="LW157" s="12"/>
    </row>
    <row r="158">
      <c r="A158" s="10" t="s">
        <v>154</v>
      </c>
      <c r="B158" s="10" t="s">
        <v>122</v>
      </c>
      <c r="C158" s="10" t="s">
        <v>157</v>
      </c>
      <c r="D158" s="11">
        <v>2193</v>
      </c>
      <c r="E158" s="11">
        <f>=ROUNDDOWN(12.8546307151231,0)</f>
      </c>
      <c r="F158" s="11">
        <v>2970</v>
      </c>
      <c r="G158" s="12">
        <v>0.9915</v>
      </c>
      <c r="H158" s="11"/>
      <c r="I158" s="11">
        <f>=ROUNDDOWN({0},0)</f>
      </c>
      <c r="J158" s="11"/>
      <c r="K158" s="12"/>
      <c r="L158" s="11">
        <v>1967</v>
      </c>
      <c r="M158" s="13">
        <v>194565.7</v>
      </c>
      <c r="N158" s="11">
        <v>10</v>
      </c>
      <c r="O158" s="14">
        <v>19456.57</v>
      </c>
      <c r="P158" s="11"/>
      <c r="Q158" s="13"/>
      <c r="R158" s="11"/>
      <c r="S158" s="14"/>
      <c r="T158" s="12"/>
      <c r="U158" s="12"/>
      <c r="V158" s="12"/>
      <c r="W158" s="12"/>
      <c r="X158" s="11">
        <v>744</v>
      </c>
      <c r="Y158" s="13">
        <v>81652.97</v>
      </c>
      <c r="Z158" s="11">
        <v>10</v>
      </c>
      <c r="AA158" s="11"/>
      <c r="AB158" s="13"/>
      <c r="AC158" s="11"/>
      <c r="AD158" s="12"/>
      <c r="AE158" s="12"/>
      <c r="AF158" s="11">
        <v>884</v>
      </c>
      <c r="AG158" s="13">
        <v>72897.28</v>
      </c>
      <c r="AH158" s="11">
        <v>10</v>
      </c>
      <c r="AI158" s="11"/>
      <c r="AJ158" s="13"/>
      <c r="AK158" s="11"/>
      <c r="AL158" s="12"/>
      <c r="AM158" s="12"/>
      <c r="AN158" s="11">
        <v>87</v>
      </c>
      <c r="AO158" s="13">
        <v>9261.05</v>
      </c>
      <c r="AP158" s="11">
        <v>10</v>
      </c>
      <c r="AQ158" s="11"/>
      <c r="AR158" s="13"/>
      <c r="AS158" s="11"/>
      <c r="AT158" s="12"/>
      <c r="AU158" s="12"/>
      <c r="AV158" s="11">
        <v>53</v>
      </c>
      <c r="AW158" s="13">
        <v>6551.61</v>
      </c>
      <c r="AX158" s="11">
        <v>8</v>
      </c>
      <c r="AY158" s="11"/>
      <c r="AZ158" s="13"/>
      <c r="BA158" s="11"/>
      <c r="BB158" s="12"/>
      <c r="BC158" s="12"/>
      <c r="BD158" s="11">
        <v>1</v>
      </c>
      <c r="BE158" s="13">
        <v>146.19</v>
      </c>
      <c r="BF158" s="11">
        <v>6</v>
      </c>
      <c r="BG158" s="11"/>
      <c r="BH158" s="13"/>
      <c r="BI158" s="11"/>
      <c r="BJ158" s="12"/>
      <c r="BK158" s="12"/>
      <c r="BL158" s="11">
        <v>19</v>
      </c>
      <c r="BM158" s="13">
        <v>2347.12</v>
      </c>
      <c r="BN158" s="11">
        <v>10</v>
      </c>
      <c r="BO158" s="11"/>
      <c r="BP158" s="13"/>
      <c r="BQ158" s="11"/>
      <c r="BR158" s="12"/>
      <c r="BS158" s="12"/>
      <c r="BT158" s="11">
        <v>55</v>
      </c>
      <c r="BU158" s="13">
        <v>6617.75</v>
      </c>
      <c r="BV158" s="11">
        <v>10</v>
      </c>
      <c r="BW158" s="11"/>
      <c r="BX158" s="13"/>
      <c r="BY158" s="11"/>
      <c r="BZ158" s="12"/>
      <c r="CA158" s="12"/>
      <c r="CB158" s="11">
        <v>7</v>
      </c>
      <c r="CC158" s="13">
        <v>773.03</v>
      </c>
      <c r="CD158" s="11">
        <v>5</v>
      </c>
      <c r="CE158" s="11"/>
      <c r="CF158" s="13"/>
      <c r="CG158" s="11"/>
      <c r="CH158" s="12"/>
      <c r="CI158" s="12"/>
      <c r="CJ158" s="11"/>
      <c r="CK158" s="13"/>
      <c r="CL158" s="11">
        <v>9</v>
      </c>
      <c r="CM158" s="11"/>
      <c r="CN158" s="13"/>
      <c r="CO158" s="11"/>
      <c r="CP158" s="12"/>
      <c r="CQ158" s="12"/>
      <c r="CR158" s="11"/>
      <c r="CS158" s="13"/>
      <c r="CT158" s="11"/>
      <c r="CU158" s="11"/>
      <c r="CV158" s="13"/>
      <c r="CW158" s="11"/>
      <c r="CX158" s="12"/>
      <c r="CY158" s="12"/>
      <c r="CZ158" s="11">
        <v>36</v>
      </c>
      <c r="DA158" s="13">
        <v>4464.18</v>
      </c>
      <c r="DB158" s="11">
        <v>7</v>
      </c>
      <c r="DC158" s="11"/>
      <c r="DD158" s="13"/>
      <c r="DE158" s="11"/>
      <c r="DF158" s="12"/>
      <c r="DG158" s="12"/>
      <c r="DH158" s="11">
        <v>3</v>
      </c>
      <c r="DI158" s="13">
        <v>350.43</v>
      </c>
      <c r="DJ158" s="11">
        <v>8</v>
      </c>
      <c r="DK158" s="11"/>
      <c r="DL158" s="13"/>
      <c r="DM158" s="11"/>
      <c r="DN158" s="12"/>
      <c r="DO158" s="12"/>
      <c r="DP158" s="11">
        <v>1</v>
      </c>
      <c r="DQ158" s="13">
        <v>81.71</v>
      </c>
      <c r="DR158" s="11">
        <v>10</v>
      </c>
      <c r="DS158" s="11"/>
      <c r="DT158" s="13"/>
      <c r="DU158" s="11"/>
      <c r="DV158" s="12"/>
      <c r="DW158" s="12"/>
      <c r="DX158" s="11">
        <v>11</v>
      </c>
      <c r="DY158" s="13">
        <v>1473.66</v>
      </c>
      <c r="DZ158" s="11">
        <v>10</v>
      </c>
      <c r="EA158" s="11"/>
      <c r="EB158" s="13"/>
      <c r="EC158" s="11"/>
      <c r="ED158" s="12"/>
      <c r="EE158" s="12"/>
      <c r="EF158" s="11"/>
      <c r="EG158" s="13"/>
      <c r="EH158" s="11"/>
      <c r="EI158" s="11"/>
      <c r="EJ158" s="13"/>
      <c r="EK158" s="11"/>
      <c r="EL158" s="12"/>
      <c r="EM158" s="12"/>
      <c r="EN158" s="11">
        <v>19</v>
      </c>
      <c r="EO158" s="13">
        <v>2632.31</v>
      </c>
      <c r="EP158" s="11">
        <v>10</v>
      </c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/>
      <c r="FM158" s="13"/>
      <c r="FN158" s="11">
        <v>2</v>
      </c>
      <c r="FO158" s="11"/>
      <c r="FP158" s="13"/>
      <c r="FQ158" s="11"/>
      <c r="FR158" s="12"/>
      <c r="FS158" s="12"/>
      <c r="FT158" s="11">
        <v>2</v>
      </c>
      <c r="FU158" s="13">
        <v>233.62</v>
      </c>
      <c r="FV158" s="11">
        <v>10</v>
      </c>
      <c r="FW158" s="11"/>
      <c r="FX158" s="13"/>
      <c r="FY158" s="11"/>
      <c r="FZ158" s="12"/>
      <c r="GA158" s="12"/>
      <c r="GB158" s="11">
        <v>22</v>
      </c>
      <c r="GC158" s="13">
        <v>2532.66</v>
      </c>
      <c r="GD158" s="11">
        <v>10</v>
      </c>
      <c r="GE158" s="11"/>
      <c r="GF158" s="13"/>
      <c r="GG158" s="11"/>
      <c r="GH158" s="12"/>
      <c r="GI158" s="12"/>
      <c r="GJ158" s="11">
        <v>15</v>
      </c>
      <c r="GK158" s="13">
        <v>1723.71</v>
      </c>
      <c r="GL158" s="11">
        <v>10</v>
      </c>
      <c r="GM158" s="11"/>
      <c r="GN158" s="13"/>
      <c r="GO158" s="11"/>
      <c r="GP158" s="12"/>
      <c r="GQ158" s="12"/>
      <c r="GR158" s="11">
        <v>8</v>
      </c>
      <c r="GS158" s="13">
        <v>826.42</v>
      </c>
      <c r="GT158" s="11">
        <v>10</v>
      </c>
      <c r="GU158" s="11"/>
      <c r="GV158" s="13"/>
      <c r="GW158" s="11"/>
      <c r="GX158" s="12"/>
      <c r="GY158" s="12"/>
      <c r="GZ158" s="11"/>
      <c r="HA158" s="13"/>
      <c r="HB158" s="11"/>
      <c r="HC158" s="11"/>
      <c r="HD158" s="13"/>
      <c r="HE158" s="11"/>
      <c r="HF158" s="12"/>
      <c r="HG158" s="12"/>
      <c r="HH158" s="11"/>
      <c r="HI158" s="13"/>
      <c r="HJ158" s="11"/>
      <c r="HK158" s="11"/>
      <c r="HL158" s="13"/>
      <c r="HM158" s="11"/>
      <c r="HN158" s="12"/>
      <c r="HO158" s="12"/>
      <c r="HP158" s="11"/>
      <c r="HQ158" s="13"/>
      <c r="HR158" s="11"/>
      <c r="HS158" s="11"/>
      <c r="HT158" s="13"/>
      <c r="HU158" s="11"/>
      <c r="HV158" s="12"/>
      <c r="HW158" s="12"/>
      <c r="HX158" s="11"/>
      <c r="HY158" s="13"/>
      <c r="HZ158" s="11"/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/>
      <c r="JO158" s="11"/>
      <c r="JP158" s="13"/>
      <c r="JQ158" s="11"/>
      <c r="JR158" s="12"/>
      <c r="JS158" s="12"/>
      <c r="JT158" s="11"/>
      <c r="JU158" s="13"/>
      <c r="JV158" s="11"/>
      <c r="JW158" s="11"/>
      <c r="JX158" s="13"/>
      <c r="JY158" s="11"/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/>
      <c r="KM158" s="11"/>
      <c r="KN158" s="13"/>
      <c r="KO158" s="11"/>
      <c r="KP158" s="12"/>
      <c r="KQ158" s="12"/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  <c r="LH158" s="11"/>
      <c r="LI158" s="13"/>
      <c r="LJ158" s="11"/>
      <c r="LK158" s="11"/>
      <c r="LL158" s="13"/>
      <c r="LM158" s="11"/>
      <c r="LN158" s="12"/>
      <c r="LO158" s="12"/>
      <c r="LP158" s="11"/>
      <c r="LQ158" s="13"/>
      <c r="LR158" s="11"/>
      <c r="LS158" s="11"/>
      <c r="LT158" s="13"/>
      <c r="LU158" s="11"/>
      <c r="LV158" s="12"/>
      <c r="LW158" s="12"/>
    </row>
    <row r="159">
      <c r="A159" s="10" t="s">
        <v>154</v>
      </c>
      <c r="B159" s="10" t="s">
        <v>122</v>
      </c>
      <c r="C159" s="10" t="s">
        <v>162</v>
      </c>
      <c r="D159" s="11">
        <v>458</v>
      </c>
      <c r="E159" s="11">
        <f>=ROUNDDOWN(4.55721393034826,0)</f>
      </c>
      <c r="F159" s="11">
        <v>2290</v>
      </c>
      <c r="G159" s="12">
        <v>1</v>
      </c>
      <c r="H159" s="11"/>
      <c r="I159" s="11">
        <f>=ROUNDDOWN({0},0)</f>
      </c>
      <c r="J159" s="11"/>
      <c r="K159" s="12"/>
      <c r="L159" s="11">
        <v>1214</v>
      </c>
      <c r="M159" s="13">
        <v>45258.61</v>
      </c>
      <c r="N159" s="11">
        <v>3</v>
      </c>
      <c r="O159" s="14">
        <v>15086.2</v>
      </c>
      <c r="P159" s="11"/>
      <c r="Q159" s="13"/>
      <c r="R159" s="11"/>
      <c r="S159" s="14"/>
      <c r="T159" s="12"/>
      <c r="U159" s="12"/>
      <c r="V159" s="12"/>
      <c r="W159" s="12"/>
      <c r="X159" s="11">
        <v>342</v>
      </c>
      <c r="Y159" s="13">
        <v>11950.02</v>
      </c>
      <c r="Z159" s="11">
        <v>3</v>
      </c>
      <c r="AA159" s="11"/>
      <c r="AB159" s="13"/>
      <c r="AC159" s="11"/>
      <c r="AD159" s="12"/>
      <c r="AE159" s="12"/>
      <c r="AF159" s="11">
        <v>672</v>
      </c>
      <c r="AG159" s="13">
        <v>23580.04</v>
      </c>
      <c r="AH159" s="11">
        <v>3</v>
      </c>
      <c r="AI159" s="11"/>
      <c r="AJ159" s="13"/>
      <c r="AK159" s="11"/>
      <c r="AL159" s="12"/>
      <c r="AM159" s="12"/>
      <c r="AN159" s="11">
        <v>59</v>
      </c>
      <c r="AO159" s="13">
        <v>2131.56</v>
      </c>
      <c r="AP159" s="11">
        <v>3</v>
      </c>
      <c r="AQ159" s="11"/>
      <c r="AR159" s="13"/>
      <c r="AS159" s="11"/>
      <c r="AT159" s="12"/>
      <c r="AU159" s="12"/>
      <c r="AV159" s="11"/>
      <c r="AW159" s="13"/>
      <c r="AX159" s="11"/>
      <c r="AY159" s="11"/>
      <c r="AZ159" s="13"/>
      <c r="BA159" s="11"/>
      <c r="BB159" s="12"/>
      <c r="BC159" s="12"/>
      <c r="BD159" s="11">
        <v>6</v>
      </c>
      <c r="BE159" s="13">
        <v>309.43</v>
      </c>
      <c r="BF159" s="11">
        <v>3</v>
      </c>
      <c r="BG159" s="11"/>
      <c r="BH159" s="13"/>
      <c r="BI159" s="11"/>
      <c r="BJ159" s="12"/>
      <c r="BK159" s="12"/>
      <c r="BL159" s="11">
        <v>45</v>
      </c>
      <c r="BM159" s="13">
        <v>2836.96</v>
      </c>
      <c r="BN159" s="11">
        <v>3</v>
      </c>
      <c r="BO159" s="11"/>
      <c r="BP159" s="13"/>
      <c r="BQ159" s="11"/>
      <c r="BR159" s="12"/>
      <c r="BS159" s="12"/>
      <c r="BT159" s="11">
        <v>24</v>
      </c>
      <c r="BU159" s="13">
        <v>1431.06</v>
      </c>
      <c r="BV159" s="11">
        <v>3</v>
      </c>
      <c r="BW159" s="11"/>
      <c r="BX159" s="13"/>
      <c r="BY159" s="11"/>
      <c r="BZ159" s="12"/>
      <c r="CA159" s="12"/>
      <c r="CB159" s="11"/>
      <c r="CC159" s="13"/>
      <c r="CD159" s="11"/>
      <c r="CE159" s="11"/>
      <c r="CF159" s="13"/>
      <c r="CG159" s="11"/>
      <c r="CH159" s="12"/>
      <c r="CI159" s="12"/>
      <c r="CJ159" s="11">
        <v>7</v>
      </c>
      <c r="CK159" s="13">
        <v>308.13</v>
      </c>
      <c r="CL159" s="11">
        <v>3</v>
      </c>
      <c r="CM159" s="11"/>
      <c r="CN159" s="13"/>
      <c r="CO159" s="11"/>
      <c r="CP159" s="12"/>
      <c r="CQ159" s="12"/>
      <c r="CR159" s="11"/>
      <c r="CS159" s="13"/>
      <c r="CT159" s="11"/>
      <c r="CU159" s="11"/>
      <c r="CV159" s="13"/>
      <c r="CW159" s="11"/>
      <c r="CX159" s="12"/>
      <c r="CY159" s="12"/>
      <c r="CZ159" s="11"/>
      <c r="DA159" s="13"/>
      <c r="DB159" s="11"/>
      <c r="DC159" s="11"/>
      <c r="DD159" s="13"/>
      <c r="DE159" s="11"/>
      <c r="DF159" s="12"/>
      <c r="DG159" s="12"/>
      <c r="DH159" s="11"/>
      <c r="DI159" s="13"/>
      <c r="DJ159" s="11">
        <v>3</v>
      </c>
      <c r="DK159" s="11"/>
      <c r="DL159" s="13"/>
      <c r="DM159" s="11"/>
      <c r="DN159" s="12"/>
      <c r="DO159" s="12"/>
      <c r="DP159" s="11"/>
      <c r="DQ159" s="13"/>
      <c r="DR159" s="11">
        <v>3</v>
      </c>
      <c r="DS159" s="11"/>
      <c r="DT159" s="13"/>
      <c r="DU159" s="11"/>
      <c r="DV159" s="12"/>
      <c r="DW159" s="12"/>
      <c r="DX159" s="11">
        <v>8</v>
      </c>
      <c r="DY159" s="13">
        <v>299.12</v>
      </c>
      <c r="DZ159" s="11">
        <v>3</v>
      </c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>
        <v>1</v>
      </c>
      <c r="EO159" s="13">
        <v>169.99</v>
      </c>
      <c r="EP159" s="11">
        <v>3</v>
      </c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>
        <v>3</v>
      </c>
      <c r="FO159" s="11"/>
      <c r="FP159" s="13"/>
      <c r="FQ159" s="11"/>
      <c r="FR159" s="12"/>
      <c r="FS159" s="12"/>
      <c r="FT159" s="11">
        <v>9</v>
      </c>
      <c r="FU159" s="13">
        <v>414.29</v>
      </c>
      <c r="FV159" s="11">
        <v>2</v>
      </c>
      <c r="FW159" s="11"/>
      <c r="FX159" s="13"/>
      <c r="FY159" s="11"/>
      <c r="FZ159" s="12"/>
      <c r="GA159" s="12"/>
      <c r="GB159" s="11">
        <v>33</v>
      </c>
      <c r="GC159" s="13">
        <v>1245.17</v>
      </c>
      <c r="GD159" s="11">
        <v>3</v>
      </c>
      <c r="GE159" s="11"/>
      <c r="GF159" s="13"/>
      <c r="GG159" s="11"/>
      <c r="GH159" s="12"/>
      <c r="GI159" s="12"/>
      <c r="GJ159" s="11">
        <v>6</v>
      </c>
      <c r="GK159" s="13">
        <v>437.13</v>
      </c>
      <c r="GL159" s="11">
        <v>3</v>
      </c>
      <c r="GM159" s="11"/>
      <c r="GN159" s="13"/>
      <c r="GO159" s="11"/>
      <c r="GP159" s="12"/>
      <c r="GQ159" s="12"/>
      <c r="GR159" s="11">
        <v>2</v>
      </c>
      <c r="GS159" s="13">
        <v>145.71</v>
      </c>
      <c r="GT159" s="11">
        <v>3</v>
      </c>
      <c r="GU159" s="11"/>
      <c r="GV159" s="13"/>
      <c r="GW159" s="11"/>
      <c r="GX159" s="12"/>
      <c r="GY159" s="12"/>
      <c r="GZ159" s="11"/>
      <c r="HA159" s="13"/>
      <c r="HB159" s="11"/>
      <c r="HC159" s="11"/>
      <c r="HD159" s="13"/>
      <c r="HE159" s="11"/>
      <c r="HF159" s="12"/>
      <c r="HG159" s="12"/>
      <c r="HH159" s="11"/>
      <c r="HI159" s="13"/>
      <c r="HJ159" s="11"/>
      <c r="HK159" s="11"/>
      <c r="HL159" s="13"/>
      <c r="HM159" s="11"/>
      <c r="HN159" s="12"/>
      <c r="HO159" s="12"/>
      <c r="HP159" s="11"/>
      <c r="HQ159" s="13"/>
      <c r="HR159" s="11"/>
      <c r="HS159" s="11"/>
      <c r="HT159" s="13"/>
      <c r="HU159" s="11"/>
      <c r="HV159" s="12"/>
      <c r="HW159" s="12"/>
      <c r="HX159" s="11"/>
      <c r="HY159" s="13"/>
      <c r="HZ159" s="11"/>
      <c r="IA159" s="11"/>
      <c r="IB159" s="13"/>
      <c r="IC159" s="11"/>
      <c r="ID159" s="12"/>
      <c r="IE159" s="12"/>
      <c r="IF159" s="11"/>
      <c r="IG159" s="13"/>
      <c r="IH159" s="11"/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/>
      <c r="JO159" s="11"/>
      <c r="JP159" s="13"/>
      <c r="JQ159" s="11"/>
      <c r="JR159" s="12"/>
      <c r="JS159" s="12"/>
      <c r="JT159" s="11"/>
      <c r="JU159" s="13"/>
      <c r="JV159" s="11"/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/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  <c r="LH159" s="11"/>
      <c r="LI159" s="13"/>
      <c r="LJ159" s="11"/>
      <c r="LK159" s="11"/>
      <c r="LL159" s="13"/>
      <c r="LM159" s="11"/>
      <c r="LN159" s="12"/>
      <c r="LO159" s="12"/>
      <c r="LP159" s="11"/>
      <c r="LQ159" s="13"/>
      <c r="LR159" s="11"/>
      <c r="LS159" s="11"/>
      <c r="LT159" s="13"/>
      <c r="LU159" s="11"/>
      <c r="LV159" s="12"/>
      <c r="LW159" s="12"/>
    </row>
    <row r="160">
      <c r="A160" s="10" t="s">
        <v>154</v>
      </c>
      <c r="B160" s="10" t="s">
        <v>123</v>
      </c>
      <c r="C160" s="10" t="s">
        <v>77</v>
      </c>
      <c r="D160" s="11">
        <v>3249</v>
      </c>
      <c r="E160" s="11">
        <f>=ROUNDDOWN({0},0)</f>
      </c>
      <c r="F160" s="11">
        <v>5830</v>
      </c>
      <c r="G160" s="12"/>
      <c r="H160" s="11"/>
      <c r="I160" s="11">
        <f>=ROUNDDOWN({0},0)</f>
      </c>
      <c r="J160" s="11"/>
      <c r="K160" s="12"/>
      <c r="L160" s="11">
        <v>3737</v>
      </c>
      <c r="M160" s="13">
        <v>273837.19</v>
      </c>
      <c r="N160" s="11">
        <v>19</v>
      </c>
      <c r="O160" s="14">
        <v>14412.48</v>
      </c>
      <c r="P160" s="11"/>
      <c r="Q160" s="13"/>
      <c r="R160" s="11"/>
      <c r="S160" s="14"/>
      <c r="T160" s="12"/>
      <c r="U160" s="12"/>
      <c r="V160" s="12"/>
      <c r="W160" s="12"/>
      <c r="X160" s="11">
        <v>1332</v>
      </c>
      <c r="Y160" s="13">
        <v>108144.96</v>
      </c>
      <c r="Z160" s="11">
        <v>19</v>
      </c>
      <c r="AA160" s="11"/>
      <c r="AB160" s="13"/>
      <c r="AC160" s="11"/>
      <c r="AD160" s="12"/>
      <c r="AE160" s="12"/>
      <c r="AF160" s="11">
        <v>1671</v>
      </c>
      <c r="AG160" s="13">
        <v>102097.69</v>
      </c>
      <c r="AH160" s="11">
        <v>19</v>
      </c>
      <c r="AI160" s="11"/>
      <c r="AJ160" s="13"/>
      <c r="AK160" s="11"/>
      <c r="AL160" s="12"/>
      <c r="AM160" s="12"/>
      <c r="AN160" s="11">
        <v>185</v>
      </c>
      <c r="AO160" s="13">
        <v>13724.41</v>
      </c>
      <c r="AP160" s="11">
        <v>19</v>
      </c>
      <c r="AQ160" s="11"/>
      <c r="AR160" s="13"/>
      <c r="AS160" s="11"/>
      <c r="AT160" s="12"/>
      <c r="AU160" s="12"/>
      <c r="AV160" s="11">
        <v>65</v>
      </c>
      <c r="AW160" s="13">
        <v>7572.87</v>
      </c>
      <c r="AX160" s="11">
        <v>10</v>
      </c>
      <c r="AY160" s="11"/>
      <c r="AZ160" s="13"/>
      <c r="BA160" s="11"/>
      <c r="BB160" s="12"/>
      <c r="BC160" s="12"/>
      <c r="BD160" s="11">
        <v>7</v>
      </c>
      <c r="BE160" s="13">
        <v>455.62</v>
      </c>
      <c r="BF160" s="11">
        <v>15</v>
      </c>
      <c r="BG160" s="11"/>
      <c r="BH160" s="13"/>
      <c r="BI160" s="11"/>
      <c r="BJ160" s="12"/>
      <c r="BK160" s="12"/>
      <c r="BL160" s="11">
        <v>75</v>
      </c>
      <c r="BM160" s="13">
        <v>6578</v>
      </c>
      <c r="BN160" s="11">
        <v>19</v>
      </c>
      <c r="BO160" s="11"/>
      <c r="BP160" s="13"/>
      <c r="BQ160" s="11"/>
      <c r="BR160" s="12"/>
      <c r="BS160" s="12"/>
      <c r="BT160" s="11">
        <v>119</v>
      </c>
      <c r="BU160" s="13">
        <v>10229.33</v>
      </c>
      <c r="BV160" s="11">
        <v>19</v>
      </c>
      <c r="BW160" s="11"/>
      <c r="BX160" s="13"/>
      <c r="BY160" s="11"/>
      <c r="BZ160" s="12"/>
      <c r="CA160" s="12"/>
      <c r="CB160" s="11">
        <v>11</v>
      </c>
      <c r="CC160" s="13">
        <v>1256.87</v>
      </c>
      <c r="CD160" s="11">
        <v>7</v>
      </c>
      <c r="CE160" s="11"/>
      <c r="CF160" s="13"/>
      <c r="CG160" s="11"/>
      <c r="CH160" s="12"/>
      <c r="CI160" s="12"/>
      <c r="CJ160" s="11">
        <v>7</v>
      </c>
      <c r="CK160" s="13">
        <v>308.13</v>
      </c>
      <c r="CL160" s="11">
        <v>18</v>
      </c>
      <c r="CM160" s="11"/>
      <c r="CN160" s="13"/>
      <c r="CO160" s="11"/>
      <c r="CP160" s="12"/>
      <c r="CQ160" s="12"/>
      <c r="CR160" s="11"/>
      <c r="CS160" s="13"/>
      <c r="CT160" s="11"/>
      <c r="CU160" s="11"/>
      <c r="CV160" s="13"/>
      <c r="CW160" s="11"/>
      <c r="CX160" s="12"/>
      <c r="CY160" s="12"/>
      <c r="CZ160" s="11">
        <v>83</v>
      </c>
      <c r="DA160" s="13">
        <v>8404.31</v>
      </c>
      <c r="DB160" s="11">
        <v>11</v>
      </c>
      <c r="DC160" s="11"/>
      <c r="DD160" s="13"/>
      <c r="DE160" s="11"/>
      <c r="DF160" s="12"/>
      <c r="DG160" s="12"/>
      <c r="DH160" s="11">
        <v>18</v>
      </c>
      <c r="DI160" s="13">
        <v>1067.33</v>
      </c>
      <c r="DJ160" s="11">
        <v>15</v>
      </c>
      <c r="DK160" s="11"/>
      <c r="DL160" s="13"/>
      <c r="DM160" s="11"/>
      <c r="DN160" s="12"/>
      <c r="DO160" s="12"/>
      <c r="DP160" s="11">
        <v>2</v>
      </c>
      <c r="DQ160" s="13">
        <v>202.67</v>
      </c>
      <c r="DR160" s="11">
        <v>17</v>
      </c>
      <c r="DS160" s="11"/>
      <c r="DT160" s="13"/>
      <c r="DU160" s="11"/>
      <c r="DV160" s="12"/>
      <c r="DW160" s="12"/>
      <c r="DX160" s="11">
        <v>22</v>
      </c>
      <c r="DY160" s="13">
        <v>1945.82</v>
      </c>
      <c r="DZ160" s="11">
        <v>15</v>
      </c>
      <c r="EA160" s="11"/>
      <c r="EB160" s="13"/>
      <c r="EC160" s="11"/>
      <c r="ED160" s="12"/>
      <c r="EE160" s="12"/>
      <c r="EF160" s="11"/>
      <c r="EG160" s="13"/>
      <c r="EH160" s="11"/>
      <c r="EI160" s="11"/>
      <c r="EJ160" s="13"/>
      <c r="EK160" s="11"/>
      <c r="EL160" s="12"/>
      <c r="EM160" s="12"/>
      <c r="EN160" s="11">
        <v>21</v>
      </c>
      <c r="EO160" s="13">
        <v>2887.29</v>
      </c>
      <c r="EP160" s="11">
        <v>19</v>
      </c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>
        <v>3</v>
      </c>
      <c r="FM160" s="13">
        <v>317.25</v>
      </c>
      <c r="FN160" s="11">
        <v>7</v>
      </c>
      <c r="FO160" s="11"/>
      <c r="FP160" s="13"/>
      <c r="FQ160" s="11"/>
      <c r="FR160" s="12"/>
      <c r="FS160" s="12"/>
      <c r="FT160" s="11">
        <v>18</v>
      </c>
      <c r="FU160" s="13">
        <v>988.34</v>
      </c>
      <c r="FV160" s="11">
        <v>18</v>
      </c>
      <c r="FW160" s="11"/>
      <c r="FX160" s="13"/>
      <c r="FY160" s="11"/>
      <c r="FZ160" s="12"/>
      <c r="GA160" s="12"/>
      <c r="GB160" s="11">
        <v>62</v>
      </c>
      <c r="GC160" s="13">
        <v>4256.33</v>
      </c>
      <c r="GD160" s="11">
        <v>17</v>
      </c>
      <c r="GE160" s="11"/>
      <c r="GF160" s="13"/>
      <c r="GG160" s="11"/>
      <c r="GH160" s="12"/>
      <c r="GI160" s="12"/>
      <c r="GJ160" s="11">
        <v>24</v>
      </c>
      <c r="GK160" s="13">
        <v>2321.04</v>
      </c>
      <c r="GL160" s="11">
        <v>19</v>
      </c>
      <c r="GM160" s="11"/>
      <c r="GN160" s="13"/>
      <c r="GO160" s="11"/>
      <c r="GP160" s="12"/>
      <c r="GQ160" s="12"/>
      <c r="GR160" s="11">
        <v>12</v>
      </c>
      <c r="GS160" s="13">
        <v>1078.93</v>
      </c>
      <c r="GT160" s="11">
        <v>19</v>
      </c>
      <c r="GU160" s="11"/>
      <c r="GV160" s="13"/>
      <c r="GW160" s="11"/>
      <c r="GX160" s="12"/>
      <c r="GY160" s="12"/>
      <c r="GZ160" s="11"/>
      <c r="HA160" s="13"/>
      <c r="HB160" s="11"/>
      <c r="HC160" s="11"/>
      <c r="HD160" s="13"/>
      <c r="HE160" s="11"/>
      <c r="HF160" s="12"/>
      <c r="HG160" s="12"/>
      <c r="HH160" s="11"/>
      <c r="HI160" s="13"/>
      <c r="HJ160" s="11"/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/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>
        <v>1</v>
      </c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/>
      <c r="JO160" s="11"/>
      <c r="JP160" s="13"/>
      <c r="JQ160" s="11"/>
      <c r="JR160" s="12"/>
      <c r="JS160" s="12"/>
      <c r="JT160" s="11"/>
      <c r="JU160" s="13"/>
      <c r="JV160" s="11"/>
      <c r="JW160" s="11"/>
      <c r="JX160" s="13"/>
      <c r="JY160" s="11"/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  <c r="LH160" s="11"/>
      <c r="LI160" s="13"/>
      <c r="LJ160" s="11"/>
      <c r="LK160" s="11"/>
      <c r="LL160" s="13"/>
      <c r="LM160" s="11"/>
      <c r="LN160" s="12"/>
      <c r="LO160" s="12"/>
      <c r="LP160" s="11"/>
      <c r="LQ160" s="13"/>
      <c r="LR160" s="11"/>
      <c r="LS160" s="11"/>
      <c r="LT160" s="13"/>
      <c r="LU160" s="11"/>
      <c r="LV160" s="12"/>
      <c r="LW160" s="12"/>
    </row>
    <row r="161">
      <c r="A161" s="10" t="s">
        <v>154</v>
      </c>
      <c r="B161" s="10" t="s">
        <v>163</v>
      </c>
      <c r="C161" s="10" t="s">
        <v>155</v>
      </c>
      <c r="D161" s="11">
        <v>81</v>
      </c>
      <c r="E161" s="11">
        <f>=ROUNDDOWN(18,0)</f>
      </c>
      <c r="F161" s="11"/>
      <c r="G161" s="12"/>
      <c r="H161" s="11"/>
      <c r="I161" s="11">
        <f>=ROUNDDOWN({0},0)</f>
      </c>
      <c r="J161" s="11"/>
      <c r="K161" s="12"/>
      <c r="L161" s="11">
        <v>61</v>
      </c>
      <c r="M161" s="13">
        <v>3873.52</v>
      </c>
      <c r="N161" s="11">
        <v>7</v>
      </c>
      <c r="O161" s="14">
        <v>553.36</v>
      </c>
      <c r="P161" s="11"/>
      <c r="Q161" s="13"/>
      <c r="R161" s="11"/>
      <c r="S161" s="14"/>
      <c r="T161" s="12"/>
      <c r="U161" s="12"/>
      <c r="V161" s="12"/>
      <c r="W161" s="12"/>
      <c r="X161" s="11">
        <v>13</v>
      </c>
      <c r="Y161" s="13">
        <v>805.78</v>
      </c>
      <c r="Z161" s="11">
        <v>7</v>
      </c>
      <c r="AA161" s="11"/>
      <c r="AB161" s="13"/>
      <c r="AC161" s="11"/>
      <c r="AD161" s="12"/>
      <c r="AE161" s="12"/>
      <c r="AF161" s="11">
        <v>11</v>
      </c>
      <c r="AG161" s="13">
        <v>545.56</v>
      </c>
      <c r="AH161" s="11">
        <v>7</v>
      </c>
      <c r="AI161" s="11"/>
      <c r="AJ161" s="13"/>
      <c r="AK161" s="11"/>
      <c r="AL161" s="12"/>
      <c r="AM161" s="12"/>
      <c r="AN161" s="11"/>
      <c r="AO161" s="13"/>
      <c r="AP161" s="11">
        <v>7</v>
      </c>
      <c r="AQ161" s="11"/>
      <c r="AR161" s="13"/>
      <c r="AS161" s="11"/>
      <c r="AT161" s="12"/>
      <c r="AU161" s="12"/>
      <c r="AV161" s="11">
        <v>2</v>
      </c>
      <c r="AW161" s="13">
        <v>194.06</v>
      </c>
      <c r="AX161" s="11">
        <v>5</v>
      </c>
      <c r="AY161" s="11"/>
      <c r="AZ161" s="13"/>
      <c r="BA161" s="11"/>
      <c r="BB161" s="12"/>
      <c r="BC161" s="12"/>
      <c r="BD161" s="11">
        <v>2</v>
      </c>
      <c r="BE161" s="13">
        <v>89.24</v>
      </c>
      <c r="BF161" s="11">
        <v>4</v>
      </c>
      <c r="BG161" s="11"/>
      <c r="BH161" s="13"/>
      <c r="BI161" s="11"/>
      <c r="BJ161" s="12"/>
      <c r="BK161" s="12"/>
      <c r="BL161" s="11">
        <v>4</v>
      </c>
      <c r="BM161" s="13">
        <v>401.24</v>
      </c>
      <c r="BN161" s="11">
        <v>7</v>
      </c>
      <c r="BO161" s="11"/>
      <c r="BP161" s="13"/>
      <c r="BQ161" s="11"/>
      <c r="BR161" s="12"/>
      <c r="BS161" s="12"/>
      <c r="BT161" s="11">
        <v>19</v>
      </c>
      <c r="BU161" s="13">
        <v>1090.52</v>
      </c>
      <c r="BV161" s="11">
        <v>7</v>
      </c>
      <c r="BW161" s="11"/>
      <c r="BX161" s="13"/>
      <c r="BY161" s="11"/>
      <c r="BZ161" s="12"/>
      <c r="CA161" s="12"/>
      <c r="CB161" s="11">
        <v>4</v>
      </c>
      <c r="CC161" s="13">
        <v>363.88</v>
      </c>
      <c r="CD161" s="11">
        <v>5</v>
      </c>
      <c r="CE161" s="11"/>
      <c r="CF161" s="13"/>
      <c r="CG161" s="11"/>
      <c r="CH161" s="12"/>
      <c r="CI161" s="12"/>
      <c r="CJ161" s="11"/>
      <c r="CK161" s="13"/>
      <c r="CL161" s="11">
        <v>2</v>
      </c>
      <c r="CM161" s="11"/>
      <c r="CN161" s="13"/>
      <c r="CO161" s="11"/>
      <c r="CP161" s="12"/>
      <c r="CQ161" s="12"/>
      <c r="CR161" s="11"/>
      <c r="CS161" s="13"/>
      <c r="CT161" s="11"/>
      <c r="CU161" s="11"/>
      <c r="CV161" s="13"/>
      <c r="CW161" s="11"/>
      <c r="CX161" s="12"/>
      <c r="CY161" s="12"/>
      <c r="CZ161" s="11">
        <v>4</v>
      </c>
      <c r="DA161" s="13">
        <v>209.96</v>
      </c>
      <c r="DB161" s="11">
        <v>4</v>
      </c>
      <c r="DC161" s="11"/>
      <c r="DD161" s="13"/>
      <c r="DE161" s="11"/>
      <c r="DF161" s="12"/>
      <c r="DG161" s="12"/>
      <c r="DH161" s="11">
        <v>2</v>
      </c>
      <c r="DI161" s="13">
        <v>173.28</v>
      </c>
      <c r="DJ161" s="11">
        <v>3</v>
      </c>
      <c r="DK161" s="11"/>
      <c r="DL161" s="13"/>
      <c r="DM161" s="11"/>
      <c r="DN161" s="12"/>
      <c r="DO161" s="12"/>
      <c r="DP161" s="11"/>
      <c r="DQ161" s="13"/>
      <c r="DR161" s="11">
        <v>4</v>
      </c>
      <c r="DS161" s="11"/>
      <c r="DT161" s="13"/>
      <c r="DU161" s="11"/>
      <c r="DV161" s="12"/>
      <c r="DW161" s="12"/>
      <c r="DX161" s="11"/>
      <c r="DY161" s="13"/>
      <c r="DZ161" s="11">
        <v>1</v>
      </c>
      <c r="EA161" s="11"/>
      <c r="EB161" s="13"/>
      <c r="EC161" s="11"/>
      <c r="ED161" s="12"/>
      <c r="EE161" s="12"/>
      <c r="EF161" s="11"/>
      <c r="EG161" s="13"/>
      <c r="EH161" s="11"/>
      <c r="EI161" s="11"/>
      <c r="EJ161" s="13"/>
      <c r="EK161" s="11"/>
      <c r="EL161" s="12"/>
      <c r="EM161" s="12"/>
      <c r="EN161" s="11"/>
      <c r="EO161" s="13"/>
      <c r="EP161" s="11">
        <v>7</v>
      </c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/>
      <c r="FM161" s="13"/>
      <c r="FN161" s="11">
        <v>2</v>
      </c>
      <c r="FO161" s="11"/>
      <c r="FP161" s="13"/>
      <c r="FQ161" s="11"/>
      <c r="FR161" s="12"/>
      <c r="FS161" s="12"/>
      <c r="FT161" s="11"/>
      <c r="FU161" s="13"/>
      <c r="FV161" s="11">
        <v>6</v>
      </c>
      <c r="FW161" s="11"/>
      <c r="FX161" s="13"/>
      <c r="FY161" s="11"/>
      <c r="FZ161" s="12"/>
      <c r="GA161" s="12"/>
      <c r="GB161" s="11"/>
      <c r="GC161" s="13"/>
      <c r="GD161" s="11"/>
      <c r="GE161" s="11"/>
      <c r="GF161" s="13"/>
      <c r="GG161" s="11"/>
      <c r="GH161" s="12"/>
      <c r="GI161" s="12"/>
      <c r="GJ161" s="11"/>
      <c r="GK161" s="13"/>
      <c r="GL161" s="11">
        <v>7</v>
      </c>
      <c r="GM161" s="11"/>
      <c r="GN161" s="13"/>
      <c r="GO161" s="11"/>
      <c r="GP161" s="12"/>
      <c r="GQ161" s="12"/>
      <c r="GR161" s="11"/>
      <c r="GS161" s="13"/>
      <c r="GT161" s="11">
        <v>4</v>
      </c>
      <c r="GU161" s="11"/>
      <c r="GV161" s="13"/>
      <c r="GW161" s="11"/>
      <c r="GX161" s="12"/>
      <c r="GY161" s="12"/>
      <c r="GZ161" s="11"/>
      <c r="HA161" s="13"/>
      <c r="HB161" s="11"/>
      <c r="HC161" s="11"/>
      <c r="HD161" s="13"/>
      <c r="HE161" s="11"/>
      <c r="HF161" s="12"/>
      <c r="HG161" s="12"/>
      <c r="HH161" s="11"/>
      <c r="HI161" s="13"/>
      <c r="HJ161" s="11"/>
      <c r="HK161" s="11"/>
      <c r="HL161" s="13"/>
      <c r="HM161" s="11"/>
      <c r="HN161" s="12"/>
      <c r="HO161" s="12"/>
      <c r="HP161" s="11"/>
      <c r="HQ161" s="13"/>
      <c r="HR161" s="11"/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/>
      <c r="JO161" s="11"/>
      <c r="JP161" s="13"/>
      <c r="JQ161" s="11"/>
      <c r="JR161" s="12"/>
      <c r="JS161" s="12"/>
      <c r="JT161" s="11"/>
      <c r="JU161" s="13"/>
      <c r="JV161" s="11"/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  <c r="LH161" s="11"/>
      <c r="LI161" s="13"/>
      <c r="LJ161" s="11"/>
      <c r="LK161" s="11"/>
      <c r="LL161" s="13"/>
      <c r="LM161" s="11"/>
      <c r="LN161" s="12"/>
      <c r="LO161" s="12"/>
      <c r="LP161" s="11"/>
      <c r="LQ161" s="13"/>
      <c r="LR161" s="11"/>
      <c r="LS161" s="11"/>
      <c r="LT161" s="13"/>
      <c r="LU161" s="11"/>
      <c r="LV161" s="12"/>
      <c r="LW161" s="12"/>
    </row>
    <row r="162">
      <c r="A162" s="10" t="s">
        <v>154</v>
      </c>
      <c r="B162" s="10" t="s">
        <v>163</v>
      </c>
      <c r="C162" s="10" t="s">
        <v>156</v>
      </c>
      <c r="D162" s="11">
        <v>18</v>
      </c>
      <c r="E162" s="11">
        <f>=ROUNDDOWN(4.5,0)</f>
      </c>
      <c r="F162" s="11"/>
      <c r="G162" s="12"/>
      <c r="H162" s="11"/>
      <c r="I162" s="11">
        <f>=ROUNDDOWN({0},0)</f>
      </c>
      <c r="J162" s="11"/>
      <c r="K162" s="12"/>
      <c r="L162" s="11">
        <v>56</v>
      </c>
      <c r="M162" s="13">
        <v>1321.39</v>
      </c>
      <c r="N162" s="11">
        <v>7</v>
      </c>
      <c r="O162" s="14">
        <v>188.77</v>
      </c>
      <c r="P162" s="11"/>
      <c r="Q162" s="13"/>
      <c r="R162" s="11"/>
      <c r="S162" s="14"/>
      <c r="T162" s="12"/>
      <c r="U162" s="12"/>
      <c r="V162" s="12"/>
      <c r="W162" s="12"/>
      <c r="X162" s="11">
        <v>15</v>
      </c>
      <c r="Y162" s="13">
        <v>301.05</v>
      </c>
      <c r="Z162" s="11">
        <v>7</v>
      </c>
      <c r="AA162" s="11"/>
      <c r="AB162" s="13"/>
      <c r="AC162" s="11"/>
      <c r="AD162" s="12"/>
      <c r="AE162" s="12"/>
      <c r="AF162" s="11">
        <v>7</v>
      </c>
      <c r="AG162" s="13">
        <v>141.1</v>
      </c>
      <c r="AH162" s="11">
        <v>7</v>
      </c>
      <c r="AI162" s="11"/>
      <c r="AJ162" s="13"/>
      <c r="AK162" s="11"/>
      <c r="AL162" s="12"/>
      <c r="AM162" s="12"/>
      <c r="AN162" s="11">
        <v>2</v>
      </c>
      <c r="AO162" s="13">
        <v>52.44</v>
      </c>
      <c r="AP162" s="11">
        <v>7</v>
      </c>
      <c r="AQ162" s="11"/>
      <c r="AR162" s="13"/>
      <c r="AS162" s="11"/>
      <c r="AT162" s="12"/>
      <c r="AU162" s="12"/>
      <c r="AV162" s="11">
        <v>12</v>
      </c>
      <c r="AW162" s="13">
        <v>318.44</v>
      </c>
      <c r="AX162" s="11">
        <v>6</v>
      </c>
      <c r="AY162" s="11"/>
      <c r="AZ162" s="13"/>
      <c r="BA162" s="11"/>
      <c r="BB162" s="12"/>
      <c r="BC162" s="12"/>
      <c r="BD162" s="11"/>
      <c r="BE162" s="13"/>
      <c r="BF162" s="11">
        <v>7</v>
      </c>
      <c r="BG162" s="11"/>
      <c r="BH162" s="13"/>
      <c r="BI162" s="11"/>
      <c r="BJ162" s="12"/>
      <c r="BK162" s="12"/>
      <c r="BL162" s="11"/>
      <c r="BM162" s="13"/>
      <c r="BN162" s="11">
        <v>7</v>
      </c>
      <c r="BO162" s="11"/>
      <c r="BP162" s="13"/>
      <c r="BQ162" s="11"/>
      <c r="BR162" s="12"/>
      <c r="BS162" s="12"/>
      <c r="BT162" s="11">
        <v>9</v>
      </c>
      <c r="BU162" s="13">
        <v>241.79</v>
      </c>
      <c r="BV162" s="11">
        <v>7</v>
      </c>
      <c r="BW162" s="11"/>
      <c r="BX162" s="13"/>
      <c r="BY162" s="11"/>
      <c r="BZ162" s="12"/>
      <c r="CA162" s="12"/>
      <c r="CB162" s="11">
        <v>1</v>
      </c>
      <c r="CC162" s="13">
        <v>35.53</v>
      </c>
      <c r="CD162" s="11">
        <v>7</v>
      </c>
      <c r="CE162" s="11"/>
      <c r="CF162" s="13"/>
      <c r="CG162" s="11"/>
      <c r="CH162" s="12"/>
      <c r="CI162" s="12"/>
      <c r="CJ162" s="11"/>
      <c r="CK162" s="13"/>
      <c r="CL162" s="11"/>
      <c r="CM162" s="11"/>
      <c r="CN162" s="13"/>
      <c r="CO162" s="11"/>
      <c r="CP162" s="12"/>
      <c r="CQ162" s="12"/>
      <c r="CR162" s="11"/>
      <c r="CS162" s="13"/>
      <c r="CT162" s="11"/>
      <c r="CU162" s="11"/>
      <c r="CV162" s="13"/>
      <c r="CW162" s="11"/>
      <c r="CX162" s="12"/>
      <c r="CY162" s="12"/>
      <c r="CZ162" s="11"/>
      <c r="DA162" s="13"/>
      <c r="DB162" s="11">
        <v>5</v>
      </c>
      <c r="DC162" s="11"/>
      <c r="DD162" s="13"/>
      <c r="DE162" s="11"/>
      <c r="DF162" s="12"/>
      <c r="DG162" s="12"/>
      <c r="DH162" s="11"/>
      <c r="DI162" s="13"/>
      <c r="DJ162" s="11">
        <v>7</v>
      </c>
      <c r="DK162" s="11"/>
      <c r="DL162" s="13"/>
      <c r="DM162" s="11"/>
      <c r="DN162" s="12"/>
      <c r="DO162" s="12"/>
      <c r="DP162" s="11">
        <v>3</v>
      </c>
      <c r="DQ162" s="13">
        <v>52.65</v>
      </c>
      <c r="DR162" s="11">
        <v>7</v>
      </c>
      <c r="DS162" s="11"/>
      <c r="DT162" s="13"/>
      <c r="DU162" s="11"/>
      <c r="DV162" s="12"/>
      <c r="DW162" s="12"/>
      <c r="DX162" s="11"/>
      <c r="DY162" s="13"/>
      <c r="DZ162" s="11">
        <v>4</v>
      </c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/>
      <c r="EO162" s="13"/>
      <c r="EP162" s="11">
        <v>7</v>
      </c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>
        <v>7</v>
      </c>
      <c r="FM162" s="13">
        <v>178.39</v>
      </c>
      <c r="FN162" s="11">
        <v>7</v>
      </c>
      <c r="FO162" s="11"/>
      <c r="FP162" s="13"/>
      <c r="FQ162" s="11"/>
      <c r="FR162" s="12"/>
      <c r="FS162" s="12"/>
      <c r="FT162" s="11"/>
      <c r="FU162" s="13"/>
      <c r="FV162" s="11">
        <v>7</v>
      </c>
      <c r="FW162" s="11"/>
      <c r="FX162" s="13"/>
      <c r="FY162" s="11"/>
      <c r="FZ162" s="12"/>
      <c r="GA162" s="12"/>
      <c r="GB162" s="11"/>
      <c r="GC162" s="13"/>
      <c r="GD162" s="11">
        <v>1</v>
      </c>
      <c r="GE162" s="11"/>
      <c r="GF162" s="13"/>
      <c r="GG162" s="11"/>
      <c r="GH162" s="12"/>
      <c r="GI162" s="12"/>
      <c r="GJ162" s="11"/>
      <c r="GK162" s="13"/>
      <c r="GL162" s="11">
        <v>7</v>
      </c>
      <c r="GM162" s="11"/>
      <c r="GN162" s="13"/>
      <c r="GO162" s="11"/>
      <c r="GP162" s="12"/>
      <c r="GQ162" s="12"/>
      <c r="GR162" s="11"/>
      <c r="GS162" s="13"/>
      <c r="GT162" s="11">
        <v>6</v>
      </c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/>
      <c r="HK162" s="11"/>
      <c r="HL162" s="13"/>
      <c r="HM162" s="11"/>
      <c r="HN162" s="12"/>
      <c r="HO162" s="12"/>
      <c r="HP162" s="11"/>
      <c r="HQ162" s="13"/>
      <c r="HR162" s="11"/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/>
      <c r="JO162" s="11"/>
      <c r="JP162" s="13"/>
      <c r="JQ162" s="11"/>
      <c r="JR162" s="12"/>
      <c r="JS162" s="12"/>
      <c r="JT162" s="11"/>
      <c r="JU162" s="13"/>
      <c r="JV162" s="11"/>
      <c r="JW162" s="11"/>
      <c r="JX162" s="13"/>
      <c r="JY162" s="11"/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  <c r="LH162" s="11"/>
      <c r="LI162" s="13"/>
      <c r="LJ162" s="11"/>
      <c r="LK162" s="11"/>
      <c r="LL162" s="13"/>
      <c r="LM162" s="11"/>
      <c r="LN162" s="12"/>
      <c r="LO162" s="12"/>
      <c r="LP162" s="11"/>
      <c r="LQ162" s="13"/>
      <c r="LR162" s="11"/>
      <c r="LS162" s="11"/>
      <c r="LT162" s="13"/>
      <c r="LU162" s="11"/>
      <c r="LV162" s="12"/>
      <c r="LW162" s="12"/>
    </row>
    <row r="163">
      <c r="A163" s="10" t="s">
        <v>154</v>
      </c>
      <c r="B163" s="10" t="s">
        <v>163</v>
      </c>
      <c r="C163" s="10" t="s">
        <v>157</v>
      </c>
      <c r="D163" s="11">
        <v>922</v>
      </c>
      <c r="E163" s="11">
        <f>=ROUNDDOWN(18.5513078470825,0)</f>
      </c>
      <c r="F163" s="11">
        <v>1000</v>
      </c>
      <c r="G163" s="12">
        <v>0.9964</v>
      </c>
      <c r="H163" s="11"/>
      <c r="I163" s="11">
        <f>=ROUNDDOWN({0},0)</f>
      </c>
      <c r="J163" s="11"/>
      <c r="K163" s="12"/>
      <c r="L163" s="11">
        <v>715</v>
      </c>
      <c r="M163" s="13">
        <v>51858.83</v>
      </c>
      <c r="N163" s="11">
        <v>6</v>
      </c>
      <c r="O163" s="14">
        <v>8643.14</v>
      </c>
      <c r="P163" s="11"/>
      <c r="Q163" s="13"/>
      <c r="R163" s="11"/>
      <c r="S163" s="14"/>
      <c r="T163" s="12"/>
      <c r="U163" s="12"/>
      <c r="V163" s="12"/>
      <c r="W163" s="12"/>
      <c r="X163" s="11">
        <v>323</v>
      </c>
      <c r="Y163" s="13">
        <v>24113.61</v>
      </c>
      <c r="Z163" s="11">
        <v>6</v>
      </c>
      <c r="AA163" s="11"/>
      <c r="AB163" s="13"/>
      <c r="AC163" s="11"/>
      <c r="AD163" s="12"/>
      <c r="AE163" s="12"/>
      <c r="AF163" s="11">
        <v>225</v>
      </c>
      <c r="AG163" s="13">
        <v>14476.69</v>
      </c>
      <c r="AH163" s="11">
        <v>6</v>
      </c>
      <c r="AI163" s="11"/>
      <c r="AJ163" s="13"/>
      <c r="AK163" s="11"/>
      <c r="AL163" s="12"/>
      <c r="AM163" s="12"/>
      <c r="AN163" s="11">
        <v>14</v>
      </c>
      <c r="AO163" s="13">
        <v>1272.15</v>
      </c>
      <c r="AP163" s="11">
        <v>6</v>
      </c>
      <c r="AQ163" s="11"/>
      <c r="AR163" s="13"/>
      <c r="AS163" s="11"/>
      <c r="AT163" s="12"/>
      <c r="AU163" s="12"/>
      <c r="AV163" s="11">
        <v>31</v>
      </c>
      <c r="AW163" s="13">
        <v>2127.58</v>
      </c>
      <c r="AX163" s="11">
        <v>4</v>
      </c>
      <c r="AY163" s="11"/>
      <c r="AZ163" s="13"/>
      <c r="BA163" s="11"/>
      <c r="BB163" s="12"/>
      <c r="BC163" s="12"/>
      <c r="BD163" s="11">
        <v>10</v>
      </c>
      <c r="BE163" s="13">
        <v>542.19</v>
      </c>
      <c r="BF163" s="11">
        <v>4</v>
      </c>
      <c r="BG163" s="11"/>
      <c r="BH163" s="13"/>
      <c r="BI163" s="11"/>
      <c r="BJ163" s="12"/>
      <c r="BK163" s="12"/>
      <c r="BL163" s="11">
        <v>16</v>
      </c>
      <c r="BM163" s="13">
        <v>1147.55</v>
      </c>
      <c r="BN163" s="11">
        <v>6</v>
      </c>
      <c r="BO163" s="11"/>
      <c r="BP163" s="13"/>
      <c r="BQ163" s="11"/>
      <c r="BR163" s="12"/>
      <c r="BS163" s="12"/>
      <c r="BT163" s="11">
        <v>34</v>
      </c>
      <c r="BU163" s="13">
        <v>3445.2</v>
      </c>
      <c r="BV163" s="11">
        <v>6</v>
      </c>
      <c r="BW163" s="11"/>
      <c r="BX163" s="13"/>
      <c r="BY163" s="11"/>
      <c r="BZ163" s="12"/>
      <c r="CA163" s="12"/>
      <c r="CB163" s="11">
        <v>7</v>
      </c>
      <c r="CC163" s="13">
        <v>644.37</v>
      </c>
      <c r="CD163" s="11">
        <v>5</v>
      </c>
      <c r="CE163" s="11"/>
      <c r="CF163" s="13"/>
      <c r="CG163" s="11"/>
      <c r="CH163" s="12"/>
      <c r="CI163" s="12"/>
      <c r="CJ163" s="11"/>
      <c r="CK163" s="13"/>
      <c r="CL163" s="11">
        <v>2</v>
      </c>
      <c r="CM163" s="11"/>
      <c r="CN163" s="13"/>
      <c r="CO163" s="11"/>
      <c r="CP163" s="12"/>
      <c r="CQ163" s="12"/>
      <c r="CR163" s="11"/>
      <c r="CS163" s="13"/>
      <c r="CT163" s="11"/>
      <c r="CU163" s="11"/>
      <c r="CV163" s="13"/>
      <c r="CW163" s="11"/>
      <c r="CX163" s="12"/>
      <c r="CY163" s="12"/>
      <c r="CZ163" s="11">
        <v>26</v>
      </c>
      <c r="DA163" s="13">
        <v>2048.7</v>
      </c>
      <c r="DB163" s="11">
        <v>5</v>
      </c>
      <c r="DC163" s="11"/>
      <c r="DD163" s="13"/>
      <c r="DE163" s="11"/>
      <c r="DF163" s="12"/>
      <c r="DG163" s="12"/>
      <c r="DH163" s="11"/>
      <c r="DI163" s="13"/>
      <c r="DJ163" s="11">
        <v>2</v>
      </c>
      <c r="DK163" s="11"/>
      <c r="DL163" s="13"/>
      <c r="DM163" s="11"/>
      <c r="DN163" s="12"/>
      <c r="DO163" s="12"/>
      <c r="DP163" s="11">
        <v>1</v>
      </c>
      <c r="DQ163" s="13">
        <v>135.84</v>
      </c>
      <c r="DR163" s="11">
        <v>2</v>
      </c>
      <c r="DS163" s="11"/>
      <c r="DT163" s="13"/>
      <c r="DU163" s="11"/>
      <c r="DV163" s="12"/>
      <c r="DW163" s="12"/>
      <c r="DX163" s="11">
        <v>4</v>
      </c>
      <c r="DY163" s="13">
        <v>241.32</v>
      </c>
      <c r="DZ163" s="11">
        <v>6</v>
      </c>
      <c r="EA163" s="11"/>
      <c r="EB163" s="13"/>
      <c r="EC163" s="11"/>
      <c r="ED163" s="12"/>
      <c r="EE163" s="12"/>
      <c r="EF163" s="11"/>
      <c r="EG163" s="13"/>
      <c r="EH163" s="11"/>
      <c r="EI163" s="11"/>
      <c r="EJ163" s="13"/>
      <c r="EK163" s="11"/>
      <c r="EL163" s="12"/>
      <c r="EM163" s="12"/>
      <c r="EN163" s="11">
        <v>5</v>
      </c>
      <c r="EO163" s="13">
        <v>433.95</v>
      </c>
      <c r="EP163" s="11">
        <v>6</v>
      </c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>
        <v>1</v>
      </c>
      <c r="FM163" s="13">
        <v>70.61</v>
      </c>
      <c r="FN163" s="11">
        <v>3</v>
      </c>
      <c r="FO163" s="11"/>
      <c r="FP163" s="13"/>
      <c r="FQ163" s="11"/>
      <c r="FR163" s="12"/>
      <c r="FS163" s="12"/>
      <c r="FT163" s="11">
        <v>5</v>
      </c>
      <c r="FU163" s="13">
        <v>326.9</v>
      </c>
      <c r="FV163" s="11">
        <v>4</v>
      </c>
      <c r="FW163" s="11"/>
      <c r="FX163" s="13"/>
      <c r="FY163" s="11"/>
      <c r="FZ163" s="12"/>
      <c r="GA163" s="12"/>
      <c r="GB163" s="11">
        <v>2</v>
      </c>
      <c r="GC163" s="13">
        <v>139.1</v>
      </c>
      <c r="GD163" s="11">
        <v>1</v>
      </c>
      <c r="GE163" s="11"/>
      <c r="GF163" s="13"/>
      <c r="GG163" s="11"/>
      <c r="GH163" s="12"/>
      <c r="GI163" s="12"/>
      <c r="GJ163" s="11">
        <v>10</v>
      </c>
      <c r="GK163" s="13">
        <v>641.78</v>
      </c>
      <c r="GL163" s="11">
        <v>6</v>
      </c>
      <c r="GM163" s="11"/>
      <c r="GN163" s="13"/>
      <c r="GO163" s="11"/>
      <c r="GP163" s="12"/>
      <c r="GQ163" s="12"/>
      <c r="GR163" s="11">
        <v>1</v>
      </c>
      <c r="GS163" s="13">
        <v>51.29</v>
      </c>
      <c r="GT163" s="11">
        <v>3</v>
      </c>
      <c r="GU163" s="11"/>
      <c r="GV163" s="13"/>
      <c r="GW163" s="11"/>
      <c r="GX163" s="12"/>
      <c r="GY163" s="12"/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/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/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/>
      <c r="JO163" s="11"/>
      <c r="JP163" s="13"/>
      <c r="JQ163" s="11"/>
      <c r="JR163" s="12"/>
      <c r="JS163" s="12"/>
      <c r="JT163" s="11"/>
      <c r="JU163" s="13"/>
      <c r="JV163" s="11"/>
      <c r="JW163" s="11"/>
      <c r="JX163" s="13"/>
      <c r="JY163" s="11"/>
      <c r="JZ163" s="12"/>
      <c r="KA163" s="12"/>
      <c r="KB163" s="11"/>
      <c r="KC163" s="13"/>
      <c r="KD163" s="11"/>
      <c r="KE163" s="11"/>
      <c r="KF163" s="13"/>
      <c r="KG163" s="11"/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  <c r="LH163" s="11"/>
      <c r="LI163" s="13"/>
      <c r="LJ163" s="11"/>
      <c r="LK163" s="11"/>
      <c r="LL163" s="13"/>
      <c r="LM163" s="11"/>
      <c r="LN163" s="12"/>
      <c r="LO163" s="12"/>
      <c r="LP163" s="11"/>
      <c r="LQ163" s="13"/>
      <c r="LR163" s="11"/>
      <c r="LS163" s="11"/>
      <c r="LT163" s="13"/>
      <c r="LU163" s="11"/>
      <c r="LV163" s="12"/>
      <c r="LW163" s="12"/>
    </row>
    <row r="164">
      <c r="A164" s="10" t="s">
        <v>154</v>
      </c>
      <c r="B164" s="10" t="s">
        <v>163</v>
      </c>
      <c r="C164" s="10" t="s">
        <v>158</v>
      </c>
      <c r="D164" s="11">
        <v>106</v>
      </c>
      <c r="E164" s="11">
        <f>=ROUNDDOWN(26.5,0)</f>
      </c>
      <c r="F164" s="11"/>
      <c r="G164" s="12"/>
      <c r="H164" s="11"/>
      <c r="I164" s="11">
        <f>=ROUNDDOWN({0},0)</f>
      </c>
      <c r="J164" s="11"/>
      <c r="K164" s="12"/>
      <c r="L164" s="11">
        <v>45</v>
      </c>
      <c r="M164" s="13">
        <v>1887.17</v>
      </c>
      <c r="N164" s="11">
        <v>6</v>
      </c>
      <c r="O164" s="14">
        <v>314.53</v>
      </c>
      <c r="P164" s="11"/>
      <c r="Q164" s="13"/>
      <c r="R164" s="11"/>
      <c r="S164" s="14"/>
      <c r="T164" s="12"/>
      <c r="U164" s="12"/>
      <c r="V164" s="12"/>
      <c r="W164" s="12"/>
      <c r="X164" s="11">
        <v>2</v>
      </c>
      <c r="Y164" s="13">
        <v>59.14</v>
      </c>
      <c r="Z164" s="11">
        <v>6</v>
      </c>
      <c r="AA164" s="11"/>
      <c r="AB164" s="13"/>
      <c r="AC164" s="11"/>
      <c r="AD164" s="12"/>
      <c r="AE164" s="12"/>
      <c r="AF164" s="11">
        <v>3</v>
      </c>
      <c r="AG164" s="13">
        <v>132</v>
      </c>
      <c r="AH164" s="11">
        <v>6</v>
      </c>
      <c r="AI164" s="11"/>
      <c r="AJ164" s="13"/>
      <c r="AK164" s="11"/>
      <c r="AL164" s="12"/>
      <c r="AM164" s="12"/>
      <c r="AN164" s="11">
        <v>2</v>
      </c>
      <c r="AO164" s="13">
        <v>60.46</v>
      </c>
      <c r="AP164" s="11">
        <v>6</v>
      </c>
      <c r="AQ164" s="11"/>
      <c r="AR164" s="13"/>
      <c r="AS164" s="11"/>
      <c r="AT164" s="12"/>
      <c r="AU164" s="12"/>
      <c r="AV164" s="11">
        <v>8</v>
      </c>
      <c r="AW164" s="13">
        <v>356.08</v>
      </c>
      <c r="AX164" s="11">
        <v>4</v>
      </c>
      <c r="AY164" s="11"/>
      <c r="AZ164" s="13"/>
      <c r="BA164" s="11"/>
      <c r="BB164" s="12"/>
      <c r="BC164" s="12"/>
      <c r="BD164" s="11"/>
      <c r="BE164" s="13"/>
      <c r="BF164" s="11">
        <v>3</v>
      </c>
      <c r="BG164" s="11"/>
      <c r="BH164" s="13"/>
      <c r="BI164" s="11"/>
      <c r="BJ164" s="12"/>
      <c r="BK164" s="12"/>
      <c r="BL164" s="11">
        <v>2</v>
      </c>
      <c r="BM164" s="13">
        <v>96.78</v>
      </c>
      <c r="BN164" s="11">
        <v>6</v>
      </c>
      <c r="BO164" s="11"/>
      <c r="BP164" s="13"/>
      <c r="BQ164" s="11"/>
      <c r="BR164" s="12"/>
      <c r="BS164" s="12"/>
      <c r="BT164" s="11">
        <v>2</v>
      </c>
      <c r="BU164" s="13">
        <v>88</v>
      </c>
      <c r="BV164" s="11">
        <v>6</v>
      </c>
      <c r="BW164" s="11"/>
      <c r="BX164" s="13"/>
      <c r="BY164" s="11"/>
      <c r="BZ164" s="12"/>
      <c r="CA164" s="12"/>
      <c r="CB164" s="11"/>
      <c r="CC164" s="13"/>
      <c r="CD164" s="11">
        <v>3</v>
      </c>
      <c r="CE164" s="11"/>
      <c r="CF164" s="13"/>
      <c r="CG164" s="11"/>
      <c r="CH164" s="12"/>
      <c r="CI164" s="12"/>
      <c r="CJ164" s="11"/>
      <c r="CK164" s="13"/>
      <c r="CL164" s="11">
        <v>3</v>
      </c>
      <c r="CM164" s="11"/>
      <c r="CN164" s="13"/>
      <c r="CO164" s="11"/>
      <c r="CP164" s="12"/>
      <c r="CQ164" s="12"/>
      <c r="CR164" s="11"/>
      <c r="CS164" s="13"/>
      <c r="CT164" s="11"/>
      <c r="CU164" s="11"/>
      <c r="CV164" s="13"/>
      <c r="CW164" s="11"/>
      <c r="CX164" s="12"/>
      <c r="CY164" s="12"/>
      <c r="CZ164" s="11">
        <v>25</v>
      </c>
      <c r="DA164" s="13">
        <v>1065.55</v>
      </c>
      <c r="DB164" s="11">
        <v>6</v>
      </c>
      <c r="DC164" s="11"/>
      <c r="DD164" s="13"/>
      <c r="DE164" s="11"/>
      <c r="DF164" s="12"/>
      <c r="DG164" s="12"/>
      <c r="DH164" s="11"/>
      <c r="DI164" s="13"/>
      <c r="DJ164" s="11">
        <v>3</v>
      </c>
      <c r="DK164" s="11"/>
      <c r="DL164" s="13"/>
      <c r="DM164" s="11"/>
      <c r="DN164" s="12"/>
      <c r="DO164" s="12"/>
      <c r="DP164" s="11"/>
      <c r="DQ164" s="13"/>
      <c r="DR164" s="11">
        <v>3</v>
      </c>
      <c r="DS164" s="11"/>
      <c r="DT164" s="13"/>
      <c r="DU164" s="11"/>
      <c r="DV164" s="12"/>
      <c r="DW164" s="12"/>
      <c r="DX164" s="11"/>
      <c r="DY164" s="13"/>
      <c r="DZ164" s="11">
        <v>2</v>
      </c>
      <c r="EA164" s="11"/>
      <c r="EB164" s="13"/>
      <c r="EC164" s="11"/>
      <c r="ED164" s="12"/>
      <c r="EE164" s="12"/>
      <c r="EF164" s="11"/>
      <c r="EG164" s="13"/>
      <c r="EH164" s="11"/>
      <c r="EI164" s="11"/>
      <c r="EJ164" s="13"/>
      <c r="EK164" s="11"/>
      <c r="EL164" s="12"/>
      <c r="EM164" s="12"/>
      <c r="EN164" s="11"/>
      <c r="EO164" s="13"/>
      <c r="EP164" s="11">
        <v>6</v>
      </c>
      <c r="EQ164" s="11"/>
      <c r="ER164" s="13"/>
      <c r="ES164" s="11"/>
      <c r="ET164" s="12"/>
      <c r="EU164" s="12"/>
      <c r="EV164" s="11"/>
      <c r="EW164" s="13"/>
      <c r="EX164" s="11"/>
      <c r="EY164" s="11"/>
      <c r="EZ164" s="13"/>
      <c r="FA164" s="11"/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/>
      <c r="FM164" s="13"/>
      <c r="FN164" s="11">
        <v>3</v>
      </c>
      <c r="FO164" s="11"/>
      <c r="FP164" s="13"/>
      <c r="FQ164" s="11"/>
      <c r="FR164" s="12"/>
      <c r="FS164" s="12"/>
      <c r="FT164" s="11"/>
      <c r="FU164" s="13"/>
      <c r="FV164" s="11">
        <v>2</v>
      </c>
      <c r="FW164" s="11"/>
      <c r="FX164" s="13"/>
      <c r="FY164" s="11"/>
      <c r="FZ164" s="12"/>
      <c r="GA164" s="12"/>
      <c r="GB164" s="11"/>
      <c r="GC164" s="13"/>
      <c r="GD164" s="11"/>
      <c r="GE164" s="11"/>
      <c r="GF164" s="13"/>
      <c r="GG164" s="11"/>
      <c r="GH164" s="12"/>
      <c r="GI164" s="12"/>
      <c r="GJ164" s="11">
        <v>1</v>
      </c>
      <c r="GK164" s="13">
        <v>29.16</v>
      </c>
      <c r="GL164" s="11">
        <v>6</v>
      </c>
      <c r="GM164" s="11"/>
      <c r="GN164" s="13"/>
      <c r="GO164" s="11"/>
      <c r="GP164" s="12"/>
      <c r="GQ164" s="12"/>
      <c r="GR164" s="11"/>
      <c r="GS164" s="13"/>
      <c r="GT164" s="11">
        <v>1</v>
      </c>
      <c r="GU164" s="11"/>
      <c r="GV164" s="13"/>
      <c r="GW164" s="11"/>
      <c r="GX164" s="12"/>
      <c r="GY164" s="12"/>
      <c r="GZ164" s="11"/>
      <c r="HA164" s="13"/>
      <c r="HB164" s="11"/>
      <c r="HC164" s="11"/>
      <c r="HD164" s="13"/>
      <c r="HE164" s="11"/>
      <c r="HF164" s="12"/>
      <c r="HG164" s="12"/>
      <c r="HH164" s="11"/>
      <c r="HI164" s="13"/>
      <c r="HJ164" s="11"/>
      <c r="HK164" s="11"/>
      <c r="HL164" s="13"/>
      <c r="HM164" s="11"/>
      <c r="HN164" s="12"/>
      <c r="HO164" s="12"/>
      <c r="HP164" s="11"/>
      <c r="HQ164" s="13"/>
      <c r="HR164" s="11"/>
      <c r="HS164" s="11"/>
      <c r="HT164" s="13"/>
      <c r="HU164" s="11"/>
      <c r="HV164" s="12"/>
      <c r="HW164" s="12"/>
      <c r="HX164" s="11"/>
      <c r="HY164" s="13"/>
      <c r="HZ164" s="11"/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/>
      <c r="JU164" s="13"/>
      <c r="JV164" s="11"/>
      <c r="JW164" s="11"/>
      <c r="JX164" s="13"/>
      <c r="JY164" s="11"/>
      <c r="JZ164" s="12"/>
      <c r="KA164" s="12"/>
      <c r="KB164" s="11"/>
      <c r="KC164" s="13"/>
      <c r="KD164" s="11"/>
      <c r="KE164" s="11"/>
      <c r="KF164" s="13"/>
      <c r="KG164" s="11"/>
      <c r="KH164" s="12"/>
      <c r="KI164" s="12"/>
      <c r="KJ164" s="11"/>
      <c r="KK164" s="13"/>
      <c r="KL164" s="11"/>
      <c r="KM164" s="11"/>
      <c r="KN164" s="13"/>
      <c r="KO164" s="11"/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  <c r="LH164" s="11"/>
      <c r="LI164" s="13"/>
      <c r="LJ164" s="11"/>
      <c r="LK164" s="11"/>
      <c r="LL164" s="13"/>
      <c r="LM164" s="11"/>
      <c r="LN164" s="12"/>
      <c r="LO164" s="12"/>
      <c r="LP164" s="11"/>
      <c r="LQ164" s="13"/>
      <c r="LR164" s="11"/>
      <c r="LS164" s="11"/>
      <c r="LT164" s="13"/>
      <c r="LU164" s="11"/>
      <c r="LV164" s="12"/>
      <c r="LW164" s="12"/>
    </row>
    <row r="165">
      <c r="A165" s="10" t="s">
        <v>154</v>
      </c>
      <c r="B165" s="10" t="s">
        <v>164</v>
      </c>
      <c r="C165" s="10" t="s">
        <v>77</v>
      </c>
      <c r="D165" s="11">
        <v>1127</v>
      </c>
      <c r="E165" s="11">
        <f>=ROUNDDOWN({0},0)</f>
      </c>
      <c r="F165" s="11">
        <v>1000</v>
      </c>
      <c r="G165" s="12"/>
      <c r="H165" s="11"/>
      <c r="I165" s="11">
        <f>=ROUNDDOWN({0},0)</f>
      </c>
      <c r="J165" s="11"/>
      <c r="K165" s="12"/>
      <c r="L165" s="11">
        <v>877</v>
      </c>
      <c r="M165" s="13">
        <v>58940.91</v>
      </c>
      <c r="N165" s="11">
        <v>26</v>
      </c>
      <c r="O165" s="14">
        <v>2266.96</v>
      </c>
      <c r="P165" s="11"/>
      <c r="Q165" s="13"/>
      <c r="R165" s="11"/>
      <c r="S165" s="14"/>
      <c r="T165" s="12"/>
      <c r="U165" s="12"/>
      <c r="V165" s="12"/>
      <c r="W165" s="12"/>
      <c r="X165" s="11">
        <v>353</v>
      </c>
      <c r="Y165" s="13">
        <v>25279.58</v>
      </c>
      <c r="Z165" s="11">
        <v>26</v>
      </c>
      <c r="AA165" s="11"/>
      <c r="AB165" s="13"/>
      <c r="AC165" s="11"/>
      <c r="AD165" s="12"/>
      <c r="AE165" s="12"/>
      <c r="AF165" s="11">
        <v>246</v>
      </c>
      <c r="AG165" s="13">
        <v>15295.35</v>
      </c>
      <c r="AH165" s="11">
        <v>26</v>
      </c>
      <c r="AI165" s="11"/>
      <c r="AJ165" s="13"/>
      <c r="AK165" s="11"/>
      <c r="AL165" s="12"/>
      <c r="AM165" s="12"/>
      <c r="AN165" s="11">
        <v>18</v>
      </c>
      <c r="AO165" s="13">
        <v>1385.05</v>
      </c>
      <c r="AP165" s="11">
        <v>26</v>
      </c>
      <c r="AQ165" s="11"/>
      <c r="AR165" s="13"/>
      <c r="AS165" s="11"/>
      <c r="AT165" s="12"/>
      <c r="AU165" s="12"/>
      <c r="AV165" s="11">
        <v>53</v>
      </c>
      <c r="AW165" s="13">
        <v>2996.16</v>
      </c>
      <c r="AX165" s="11">
        <v>19</v>
      </c>
      <c r="AY165" s="11"/>
      <c r="AZ165" s="13"/>
      <c r="BA165" s="11"/>
      <c r="BB165" s="12"/>
      <c r="BC165" s="12"/>
      <c r="BD165" s="11">
        <v>12</v>
      </c>
      <c r="BE165" s="13">
        <v>631.43</v>
      </c>
      <c r="BF165" s="11">
        <v>18</v>
      </c>
      <c r="BG165" s="11"/>
      <c r="BH165" s="13"/>
      <c r="BI165" s="11"/>
      <c r="BJ165" s="12"/>
      <c r="BK165" s="12"/>
      <c r="BL165" s="11">
        <v>22</v>
      </c>
      <c r="BM165" s="13">
        <v>1645.57</v>
      </c>
      <c r="BN165" s="11">
        <v>26</v>
      </c>
      <c r="BO165" s="11"/>
      <c r="BP165" s="13"/>
      <c r="BQ165" s="11"/>
      <c r="BR165" s="12"/>
      <c r="BS165" s="12"/>
      <c r="BT165" s="11">
        <v>64</v>
      </c>
      <c r="BU165" s="13">
        <v>4865.51</v>
      </c>
      <c r="BV165" s="11">
        <v>26</v>
      </c>
      <c r="BW165" s="11"/>
      <c r="BX165" s="13"/>
      <c r="BY165" s="11"/>
      <c r="BZ165" s="12"/>
      <c r="CA165" s="12"/>
      <c r="CB165" s="11">
        <v>12</v>
      </c>
      <c r="CC165" s="13">
        <v>1043.78</v>
      </c>
      <c r="CD165" s="11">
        <v>20</v>
      </c>
      <c r="CE165" s="11"/>
      <c r="CF165" s="13"/>
      <c r="CG165" s="11"/>
      <c r="CH165" s="12"/>
      <c r="CI165" s="12"/>
      <c r="CJ165" s="11"/>
      <c r="CK165" s="13"/>
      <c r="CL165" s="11">
        <v>7</v>
      </c>
      <c r="CM165" s="11"/>
      <c r="CN165" s="13"/>
      <c r="CO165" s="11"/>
      <c r="CP165" s="12"/>
      <c r="CQ165" s="12"/>
      <c r="CR165" s="11"/>
      <c r="CS165" s="13"/>
      <c r="CT165" s="11"/>
      <c r="CU165" s="11"/>
      <c r="CV165" s="13"/>
      <c r="CW165" s="11"/>
      <c r="CX165" s="12"/>
      <c r="CY165" s="12"/>
      <c r="CZ165" s="11">
        <v>55</v>
      </c>
      <c r="DA165" s="13">
        <v>3324.21</v>
      </c>
      <c r="DB165" s="11">
        <v>20</v>
      </c>
      <c r="DC165" s="11"/>
      <c r="DD165" s="13"/>
      <c r="DE165" s="11"/>
      <c r="DF165" s="12"/>
      <c r="DG165" s="12"/>
      <c r="DH165" s="11">
        <v>2</v>
      </c>
      <c r="DI165" s="13">
        <v>173.28</v>
      </c>
      <c r="DJ165" s="11">
        <v>15</v>
      </c>
      <c r="DK165" s="11"/>
      <c r="DL165" s="13"/>
      <c r="DM165" s="11"/>
      <c r="DN165" s="12"/>
      <c r="DO165" s="12"/>
      <c r="DP165" s="11">
        <v>4</v>
      </c>
      <c r="DQ165" s="13">
        <v>188.49</v>
      </c>
      <c r="DR165" s="11">
        <v>16</v>
      </c>
      <c r="DS165" s="11"/>
      <c r="DT165" s="13"/>
      <c r="DU165" s="11"/>
      <c r="DV165" s="12"/>
      <c r="DW165" s="12"/>
      <c r="DX165" s="11">
        <v>4</v>
      </c>
      <c r="DY165" s="13">
        <v>241.32</v>
      </c>
      <c r="DZ165" s="11">
        <v>13</v>
      </c>
      <c r="EA165" s="11"/>
      <c r="EB165" s="13"/>
      <c r="EC165" s="11"/>
      <c r="ED165" s="12"/>
      <c r="EE165" s="12"/>
      <c r="EF165" s="11"/>
      <c r="EG165" s="13"/>
      <c r="EH165" s="11"/>
      <c r="EI165" s="11"/>
      <c r="EJ165" s="13"/>
      <c r="EK165" s="11"/>
      <c r="EL165" s="12"/>
      <c r="EM165" s="12"/>
      <c r="EN165" s="11">
        <v>5</v>
      </c>
      <c r="EO165" s="13">
        <v>433.95</v>
      </c>
      <c r="EP165" s="11">
        <v>26</v>
      </c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>
        <v>8</v>
      </c>
      <c r="FM165" s="13">
        <v>249</v>
      </c>
      <c r="FN165" s="11">
        <v>15</v>
      </c>
      <c r="FO165" s="11"/>
      <c r="FP165" s="13"/>
      <c r="FQ165" s="11"/>
      <c r="FR165" s="12"/>
      <c r="FS165" s="12"/>
      <c r="FT165" s="11">
        <v>5</v>
      </c>
      <c r="FU165" s="13">
        <v>326.9</v>
      </c>
      <c r="FV165" s="11">
        <v>19</v>
      </c>
      <c r="FW165" s="11"/>
      <c r="FX165" s="13"/>
      <c r="FY165" s="11"/>
      <c r="FZ165" s="12"/>
      <c r="GA165" s="12"/>
      <c r="GB165" s="11">
        <v>2</v>
      </c>
      <c r="GC165" s="13">
        <v>139.1</v>
      </c>
      <c r="GD165" s="11">
        <v>2</v>
      </c>
      <c r="GE165" s="11"/>
      <c r="GF165" s="13"/>
      <c r="GG165" s="11"/>
      <c r="GH165" s="12"/>
      <c r="GI165" s="12"/>
      <c r="GJ165" s="11">
        <v>11</v>
      </c>
      <c r="GK165" s="13">
        <v>670.94</v>
      </c>
      <c r="GL165" s="11">
        <v>26</v>
      </c>
      <c r="GM165" s="11"/>
      <c r="GN165" s="13"/>
      <c r="GO165" s="11"/>
      <c r="GP165" s="12"/>
      <c r="GQ165" s="12"/>
      <c r="GR165" s="11">
        <v>1</v>
      </c>
      <c r="GS165" s="13">
        <v>51.29</v>
      </c>
      <c r="GT165" s="11">
        <v>14</v>
      </c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/>
      <c r="HK165" s="11"/>
      <c r="HL165" s="13"/>
      <c r="HM165" s="11"/>
      <c r="HN165" s="12"/>
      <c r="HO165" s="12"/>
      <c r="HP165" s="11"/>
      <c r="HQ165" s="13"/>
      <c r="HR165" s="11"/>
      <c r="HS165" s="11"/>
      <c r="HT165" s="13"/>
      <c r="HU165" s="11"/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  <c r="LH165" s="11"/>
      <c r="LI165" s="13"/>
      <c r="LJ165" s="11"/>
      <c r="LK165" s="11"/>
      <c r="LL165" s="13"/>
      <c r="LM165" s="11"/>
      <c r="LN165" s="12"/>
      <c r="LO165" s="12"/>
      <c r="LP165" s="11"/>
      <c r="LQ165" s="13"/>
      <c r="LR165" s="11"/>
      <c r="LS165" s="11"/>
      <c r="LT165" s="13"/>
      <c r="LU165" s="11"/>
      <c r="LV165" s="12"/>
      <c r="LW165" s="12"/>
    </row>
    <row r="166">
      <c r="A166" s="10" t="s">
        <v>154</v>
      </c>
      <c r="B166" s="10" t="s">
        <v>165</v>
      </c>
      <c r="C166" s="10" t="s">
        <v>156</v>
      </c>
      <c r="D166" s="11">
        <v>187</v>
      </c>
      <c r="E166" s="11">
        <f>=ROUNDDOWN(26.7142857142857,0)</f>
      </c>
      <c r="F166" s="11">
        <v>60</v>
      </c>
      <c r="G166" s="12">
        <v>1</v>
      </c>
      <c r="H166" s="11"/>
      <c r="I166" s="11">
        <f>=ROUNDDOWN({0},0)</f>
      </c>
      <c r="J166" s="11"/>
      <c r="K166" s="12"/>
      <c r="L166" s="11">
        <v>94</v>
      </c>
      <c r="M166" s="13">
        <v>4239</v>
      </c>
      <c r="N166" s="11">
        <v>2</v>
      </c>
      <c r="O166" s="14">
        <v>2119.5</v>
      </c>
      <c r="P166" s="11"/>
      <c r="Q166" s="13"/>
      <c r="R166" s="11"/>
      <c r="S166" s="14"/>
      <c r="T166" s="12"/>
      <c r="U166" s="12"/>
      <c r="V166" s="12"/>
      <c r="W166" s="12"/>
      <c r="X166" s="11">
        <v>14</v>
      </c>
      <c r="Y166" s="13">
        <v>709.24</v>
      </c>
      <c r="Z166" s="11">
        <v>2</v>
      </c>
      <c r="AA166" s="11"/>
      <c r="AB166" s="13"/>
      <c r="AC166" s="11"/>
      <c r="AD166" s="12"/>
      <c r="AE166" s="12"/>
      <c r="AF166" s="11">
        <v>4</v>
      </c>
      <c r="AG166" s="13">
        <v>175.45</v>
      </c>
      <c r="AH166" s="11">
        <v>2</v>
      </c>
      <c r="AI166" s="11"/>
      <c r="AJ166" s="13"/>
      <c r="AK166" s="11"/>
      <c r="AL166" s="12"/>
      <c r="AM166" s="12"/>
      <c r="AN166" s="11">
        <v>13</v>
      </c>
      <c r="AO166" s="13">
        <v>509.19</v>
      </c>
      <c r="AP166" s="11">
        <v>2</v>
      </c>
      <c r="AQ166" s="11"/>
      <c r="AR166" s="13"/>
      <c r="AS166" s="11"/>
      <c r="AT166" s="12"/>
      <c r="AU166" s="12"/>
      <c r="AV166" s="11">
        <v>5</v>
      </c>
      <c r="AW166" s="13">
        <v>284</v>
      </c>
      <c r="AX166" s="11">
        <v>2</v>
      </c>
      <c r="AY166" s="11"/>
      <c r="AZ166" s="13"/>
      <c r="BA166" s="11"/>
      <c r="BB166" s="12"/>
      <c r="BC166" s="12"/>
      <c r="BD166" s="11"/>
      <c r="BE166" s="13"/>
      <c r="BF166" s="11">
        <v>2</v>
      </c>
      <c r="BG166" s="11"/>
      <c r="BH166" s="13"/>
      <c r="BI166" s="11"/>
      <c r="BJ166" s="12"/>
      <c r="BK166" s="12"/>
      <c r="BL166" s="11">
        <v>2</v>
      </c>
      <c r="BM166" s="13">
        <v>26.74</v>
      </c>
      <c r="BN166" s="11">
        <v>2</v>
      </c>
      <c r="BO166" s="11"/>
      <c r="BP166" s="13"/>
      <c r="BQ166" s="11"/>
      <c r="BR166" s="12"/>
      <c r="BS166" s="12"/>
      <c r="BT166" s="11">
        <v>26</v>
      </c>
      <c r="BU166" s="13">
        <v>1130.37</v>
      </c>
      <c r="BV166" s="11">
        <v>2</v>
      </c>
      <c r="BW166" s="11"/>
      <c r="BX166" s="13"/>
      <c r="BY166" s="11"/>
      <c r="BZ166" s="12"/>
      <c r="CA166" s="12"/>
      <c r="CB166" s="11"/>
      <c r="CC166" s="13"/>
      <c r="CD166" s="11">
        <v>1</v>
      </c>
      <c r="CE166" s="11"/>
      <c r="CF166" s="13"/>
      <c r="CG166" s="11"/>
      <c r="CH166" s="12"/>
      <c r="CI166" s="12"/>
      <c r="CJ166" s="11"/>
      <c r="CK166" s="13"/>
      <c r="CL166" s="11">
        <v>2</v>
      </c>
      <c r="CM166" s="11"/>
      <c r="CN166" s="13"/>
      <c r="CO166" s="11"/>
      <c r="CP166" s="12"/>
      <c r="CQ166" s="12"/>
      <c r="CR166" s="11"/>
      <c r="CS166" s="13"/>
      <c r="CT166" s="11"/>
      <c r="CU166" s="11"/>
      <c r="CV166" s="13"/>
      <c r="CW166" s="11"/>
      <c r="CX166" s="12"/>
      <c r="CY166" s="12"/>
      <c r="CZ166" s="11">
        <v>17</v>
      </c>
      <c r="DA166" s="13">
        <v>853</v>
      </c>
      <c r="DB166" s="11">
        <v>2</v>
      </c>
      <c r="DC166" s="11"/>
      <c r="DD166" s="13"/>
      <c r="DE166" s="11"/>
      <c r="DF166" s="12"/>
      <c r="DG166" s="12"/>
      <c r="DH166" s="11"/>
      <c r="DI166" s="13"/>
      <c r="DJ166" s="11">
        <v>1</v>
      </c>
      <c r="DK166" s="11"/>
      <c r="DL166" s="13"/>
      <c r="DM166" s="11"/>
      <c r="DN166" s="12"/>
      <c r="DO166" s="12"/>
      <c r="DP166" s="11"/>
      <c r="DQ166" s="13"/>
      <c r="DR166" s="11">
        <v>2</v>
      </c>
      <c r="DS166" s="11"/>
      <c r="DT166" s="13"/>
      <c r="DU166" s="11"/>
      <c r="DV166" s="12"/>
      <c r="DW166" s="12"/>
      <c r="DX166" s="11">
        <v>2</v>
      </c>
      <c r="DY166" s="13">
        <v>96.68</v>
      </c>
      <c r="DZ166" s="11">
        <v>1</v>
      </c>
      <c r="EA166" s="11"/>
      <c r="EB166" s="13"/>
      <c r="EC166" s="11"/>
      <c r="ED166" s="12"/>
      <c r="EE166" s="12"/>
      <c r="EF166" s="11"/>
      <c r="EG166" s="13"/>
      <c r="EH166" s="11"/>
      <c r="EI166" s="11"/>
      <c r="EJ166" s="13"/>
      <c r="EK166" s="11"/>
      <c r="EL166" s="12"/>
      <c r="EM166" s="12"/>
      <c r="EN166" s="11">
        <v>1</v>
      </c>
      <c r="EO166" s="13">
        <v>49.99</v>
      </c>
      <c r="EP166" s="11">
        <v>2</v>
      </c>
      <c r="EQ166" s="11"/>
      <c r="ER166" s="13"/>
      <c r="ES166" s="11"/>
      <c r="ET166" s="12"/>
      <c r="EU166" s="12"/>
      <c r="EV166" s="11"/>
      <c r="EW166" s="13"/>
      <c r="EX166" s="11"/>
      <c r="EY166" s="11"/>
      <c r="EZ166" s="13"/>
      <c r="FA166" s="11"/>
      <c r="FB166" s="12"/>
      <c r="FC166" s="12"/>
      <c r="FD166" s="11"/>
      <c r="FE166" s="13"/>
      <c r="FF166" s="11"/>
      <c r="FG166" s="11"/>
      <c r="FH166" s="13"/>
      <c r="FI166" s="11"/>
      <c r="FJ166" s="12"/>
      <c r="FK166" s="12"/>
      <c r="FL166" s="11">
        <v>3</v>
      </c>
      <c r="FM166" s="13">
        <v>126.81</v>
      </c>
      <c r="FN166" s="11">
        <v>1</v>
      </c>
      <c r="FO166" s="11"/>
      <c r="FP166" s="13"/>
      <c r="FQ166" s="11"/>
      <c r="FR166" s="12"/>
      <c r="FS166" s="12"/>
      <c r="FT166" s="11">
        <v>3</v>
      </c>
      <c r="FU166" s="13">
        <v>100.78</v>
      </c>
      <c r="FV166" s="11">
        <v>2</v>
      </c>
      <c r="FW166" s="11"/>
      <c r="FX166" s="13"/>
      <c r="FY166" s="11"/>
      <c r="FZ166" s="12"/>
      <c r="GA166" s="12"/>
      <c r="GB166" s="11">
        <v>4</v>
      </c>
      <c r="GC166" s="13">
        <v>176.75</v>
      </c>
      <c r="GD166" s="11">
        <v>2</v>
      </c>
      <c r="GE166" s="11"/>
      <c r="GF166" s="13"/>
      <c r="GG166" s="11"/>
      <c r="GH166" s="12"/>
      <c r="GI166" s="12"/>
      <c r="GJ166" s="11"/>
      <c r="GK166" s="13"/>
      <c r="GL166" s="11">
        <v>2</v>
      </c>
      <c r="GM166" s="11"/>
      <c r="GN166" s="13"/>
      <c r="GO166" s="11"/>
      <c r="GP166" s="12"/>
      <c r="GQ166" s="12"/>
      <c r="GR166" s="11"/>
      <c r="GS166" s="13"/>
      <c r="GT166" s="11">
        <v>2</v>
      </c>
      <c r="GU166" s="11"/>
      <c r="GV166" s="13"/>
      <c r="GW166" s="11"/>
      <c r="GX166" s="12"/>
      <c r="GY166" s="12"/>
      <c r="GZ166" s="11"/>
      <c r="HA166" s="13"/>
      <c r="HB166" s="11"/>
      <c r="HC166" s="11"/>
      <c r="HD166" s="13"/>
      <c r="HE166" s="11"/>
      <c r="HF166" s="12"/>
      <c r="HG166" s="12"/>
      <c r="HH166" s="11"/>
      <c r="HI166" s="13"/>
      <c r="HJ166" s="11"/>
      <c r="HK166" s="11"/>
      <c r="HL166" s="13"/>
      <c r="HM166" s="11"/>
      <c r="HN166" s="12"/>
      <c r="HO166" s="12"/>
      <c r="HP166" s="11"/>
      <c r="HQ166" s="13"/>
      <c r="HR166" s="11"/>
      <c r="HS166" s="11"/>
      <c r="HT166" s="13"/>
      <c r="HU166" s="11"/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>
        <v>1</v>
      </c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/>
      <c r="JO166" s="11"/>
      <c r="JP166" s="13"/>
      <c r="JQ166" s="11"/>
      <c r="JR166" s="12"/>
      <c r="JS166" s="12"/>
      <c r="JT166" s="11"/>
      <c r="JU166" s="13"/>
      <c r="JV166" s="11"/>
      <c r="JW166" s="11"/>
      <c r="JX166" s="13"/>
      <c r="JY166" s="11"/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/>
      <c r="KM166" s="11"/>
      <c r="KN166" s="13"/>
      <c r="KO166" s="11"/>
      <c r="KP166" s="12"/>
      <c r="KQ166" s="12"/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  <c r="LH166" s="11"/>
      <c r="LI166" s="13"/>
      <c r="LJ166" s="11"/>
      <c r="LK166" s="11"/>
      <c r="LL166" s="13"/>
      <c r="LM166" s="11"/>
      <c r="LN166" s="12"/>
      <c r="LO166" s="12"/>
      <c r="LP166" s="11"/>
      <c r="LQ166" s="13"/>
      <c r="LR166" s="11"/>
      <c r="LS166" s="11"/>
      <c r="LT166" s="13"/>
      <c r="LU166" s="11"/>
      <c r="LV166" s="12"/>
      <c r="LW166" s="12"/>
    </row>
    <row r="167">
      <c r="A167" s="10" t="s">
        <v>154</v>
      </c>
      <c r="B167" s="10" t="s">
        <v>165</v>
      </c>
      <c r="C167" s="10" t="s">
        <v>158</v>
      </c>
      <c r="D167" s="11"/>
      <c r="E167" s="11">
        <f>=ROUNDDOWN({0},0)</f>
      </c>
      <c r="F167" s="11"/>
      <c r="G167" s="12"/>
      <c r="H167" s="11"/>
      <c r="I167" s="11">
        <f>=ROUNDDOWN({0},0)</f>
      </c>
      <c r="J167" s="11"/>
      <c r="K167" s="12"/>
      <c r="L167" s="11">
        <v>27</v>
      </c>
      <c r="M167" s="13">
        <v>872.71</v>
      </c>
      <c r="N167" s="11"/>
      <c r="O167" s="14"/>
      <c r="P167" s="11"/>
      <c r="Q167" s="13"/>
      <c r="R167" s="11"/>
      <c r="S167" s="14"/>
      <c r="T167" s="12"/>
      <c r="U167" s="12"/>
      <c r="V167" s="12"/>
      <c r="W167" s="12"/>
      <c r="X167" s="11">
        <v>5</v>
      </c>
      <c r="Y167" s="13">
        <v>156.4</v>
      </c>
      <c r="Z167" s="11"/>
      <c r="AA167" s="11"/>
      <c r="AB167" s="13"/>
      <c r="AC167" s="11"/>
      <c r="AD167" s="12"/>
      <c r="AE167" s="12"/>
      <c r="AF167" s="11">
        <v>2</v>
      </c>
      <c r="AG167" s="13">
        <v>29.57</v>
      </c>
      <c r="AH167" s="11"/>
      <c r="AI167" s="11"/>
      <c r="AJ167" s="13"/>
      <c r="AK167" s="11"/>
      <c r="AL167" s="12"/>
      <c r="AM167" s="12"/>
      <c r="AN167" s="11"/>
      <c r="AO167" s="13"/>
      <c r="AP167" s="11"/>
      <c r="AQ167" s="11"/>
      <c r="AR167" s="13"/>
      <c r="AS167" s="11"/>
      <c r="AT167" s="12"/>
      <c r="AU167" s="12"/>
      <c r="AV167" s="11">
        <v>2</v>
      </c>
      <c r="AW167" s="13">
        <v>75.26</v>
      </c>
      <c r="AX167" s="11"/>
      <c r="AY167" s="11"/>
      <c r="AZ167" s="13"/>
      <c r="BA167" s="11"/>
      <c r="BB167" s="12"/>
      <c r="BC167" s="12"/>
      <c r="BD167" s="11">
        <v>6</v>
      </c>
      <c r="BE167" s="13">
        <v>179.94</v>
      </c>
      <c r="BF167" s="11"/>
      <c r="BG167" s="11"/>
      <c r="BH167" s="13"/>
      <c r="BI167" s="11"/>
      <c r="BJ167" s="12"/>
      <c r="BK167" s="12"/>
      <c r="BL167" s="11"/>
      <c r="BM167" s="13"/>
      <c r="BN167" s="11"/>
      <c r="BO167" s="11"/>
      <c r="BP167" s="13"/>
      <c r="BQ167" s="11"/>
      <c r="BR167" s="12"/>
      <c r="BS167" s="12"/>
      <c r="BT167" s="11">
        <v>3</v>
      </c>
      <c r="BU167" s="13">
        <v>114.02</v>
      </c>
      <c r="BV167" s="11"/>
      <c r="BW167" s="11"/>
      <c r="BX167" s="13"/>
      <c r="BY167" s="11"/>
      <c r="BZ167" s="12"/>
      <c r="CA167" s="12"/>
      <c r="CB167" s="11"/>
      <c r="CC167" s="13"/>
      <c r="CD167" s="11"/>
      <c r="CE167" s="11"/>
      <c r="CF167" s="13"/>
      <c r="CG167" s="11"/>
      <c r="CH167" s="12"/>
      <c r="CI167" s="12"/>
      <c r="CJ167" s="11"/>
      <c r="CK167" s="13"/>
      <c r="CL167" s="11"/>
      <c r="CM167" s="11"/>
      <c r="CN167" s="13"/>
      <c r="CO167" s="11"/>
      <c r="CP167" s="12"/>
      <c r="CQ167" s="12"/>
      <c r="CR167" s="11"/>
      <c r="CS167" s="13"/>
      <c r="CT167" s="11"/>
      <c r="CU167" s="11"/>
      <c r="CV167" s="13"/>
      <c r="CW167" s="11"/>
      <c r="CX167" s="12"/>
      <c r="CY167" s="12"/>
      <c r="CZ167" s="11">
        <v>9</v>
      </c>
      <c r="DA167" s="13">
        <v>317.52</v>
      </c>
      <c r="DB167" s="11"/>
      <c r="DC167" s="11"/>
      <c r="DD167" s="13"/>
      <c r="DE167" s="11"/>
      <c r="DF167" s="12"/>
      <c r="DG167" s="12"/>
      <c r="DH167" s="11"/>
      <c r="DI167" s="13"/>
      <c r="DJ167" s="11"/>
      <c r="DK167" s="11"/>
      <c r="DL167" s="13"/>
      <c r="DM167" s="11"/>
      <c r="DN167" s="12"/>
      <c r="DO167" s="12"/>
      <c r="DP167" s="11"/>
      <c r="DQ167" s="13"/>
      <c r="DR167" s="11"/>
      <c r="DS167" s="11"/>
      <c r="DT167" s="13"/>
      <c r="DU167" s="11"/>
      <c r="DV167" s="12"/>
      <c r="DW167" s="12"/>
      <c r="DX167" s="11"/>
      <c r="DY167" s="13"/>
      <c r="DZ167" s="11"/>
      <c r="EA167" s="11"/>
      <c r="EB167" s="13"/>
      <c r="EC167" s="11"/>
      <c r="ED167" s="12"/>
      <c r="EE167" s="12"/>
      <c r="EF167" s="11"/>
      <c r="EG167" s="13"/>
      <c r="EH167" s="11"/>
      <c r="EI167" s="11"/>
      <c r="EJ167" s="13"/>
      <c r="EK167" s="11"/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/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/>
      <c r="FM167" s="13"/>
      <c r="FN167" s="11"/>
      <c r="FO167" s="11"/>
      <c r="FP167" s="13"/>
      <c r="FQ167" s="11"/>
      <c r="FR167" s="12"/>
      <c r="FS167" s="12"/>
      <c r="FT167" s="11"/>
      <c r="FU167" s="13"/>
      <c r="FV167" s="11"/>
      <c r="FW167" s="11"/>
      <c r="FX167" s="13"/>
      <c r="FY167" s="11"/>
      <c r="FZ167" s="12"/>
      <c r="GA167" s="12"/>
      <c r="GB167" s="11"/>
      <c r="GC167" s="13"/>
      <c r="GD167" s="11"/>
      <c r="GE167" s="11"/>
      <c r="GF167" s="13"/>
      <c r="GG167" s="11"/>
      <c r="GH167" s="12"/>
      <c r="GI167" s="12"/>
      <c r="GJ167" s="11"/>
      <c r="GK167" s="13"/>
      <c r="GL167" s="11"/>
      <c r="GM167" s="11"/>
      <c r="GN167" s="13"/>
      <c r="GO167" s="11"/>
      <c r="GP167" s="12"/>
      <c r="GQ167" s="12"/>
      <c r="GR167" s="11"/>
      <c r="GS167" s="13"/>
      <c r="GT167" s="11"/>
      <c r="GU167" s="11"/>
      <c r="GV167" s="13"/>
      <c r="GW167" s="11"/>
      <c r="GX167" s="12"/>
      <c r="GY167" s="12"/>
      <c r="GZ167" s="11"/>
      <c r="HA167" s="13"/>
      <c r="HB167" s="11"/>
      <c r="HC167" s="11"/>
      <c r="HD167" s="13"/>
      <c r="HE167" s="11"/>
      <c r="HF167" s="12"/>
      <c r="HG167" s="12"/>
      <c r="HH167" s="11"/>
      <c r="HI167" s="13"/>
      <c r="HJ167" s="11"/>
      <c r="HK167" s="11"/>
      <c r="HL167" s="13"/>
      <c r="HM167" s="11"/>
      <c r="HN167" s="12"/>
      <c r="HO167" s="12"/>
      <c r="HP167" s="11"/>
      <c r="HQ167" s="13"/>
      <c r="HR167" s="11"/>
      <c r="HS167" s="11"/>
      <c r="HT167" s="13"/>
      <c r="HU167" s="11"/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/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/>
      <c r="JP167" s="13"/>
      <c r="JQ167" s="11"/>
      <c r="JR167" s="12"/>
      <c r="JS167" s="12"/>
      <c r="JT167" s="11"/>
      <c r="JU167" s="13"/>
      <c r="JV167" s="11"/>
      <c r="JW167" s="11"/>
      <c r="JX167" s="13"/>
      <c r="JY167" s="11"/>
      <c r="JZ167" s="12"/>
      <c r="KA167" s="12"/>
      <c r="KB167" s="11"/>
      <c r="KC167" s="13"/>
      <c r="KD167" s="11"/>
      <c r="KE167" s="11"/>
      <c r="KF167" s="13"/>
      <c r="KG167" s="11"/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  <c r="LH167" s="11"/>
      <c r="LI167" s="13"/>
      <c r="LJ167" s="11"/>
      <c r="LK167" s="11"/>
      <c r="LL167" s="13"/>
      <c r="LM167" s="11"/>
      <c r="LN167" s="12"/>
      <c r="LO167" s="12"/>
      <c r="LP167" s="11"/>
      <c r="LQ167" s="13"/>
      <c r="LR167" s="11"/>
      <c r="LS167" s="11"/>
      <c r="LT167" s="13"/>
      <c r="LU167" s="11"/>
      <c r="LV167" s="12"/>
      <c r="LW167" s="12"/>
    </row>
    <row r="168">
      <c r="A168" s="10" t="s">
        <v>154</v>
      </c>
      <c r="B168" s="10" t="s">
        <v>166</v>
      </c>
      <c r="C168" s="10" t="s">
        <v>77</v>
      </c>
      <c r="D168" s="11">
        <v>187</v>
      </c>
      <c r="E168" s="11">
        <f>=ROUNDDOWN({0},0)</f>
      </c>
      <c r="F168" s="11">
        <v>60</v>
      </c>
      <c r="G168" s="12"/>
      <c r="H168" s="11"/>
      <c r="I168" s="11">
        <f>=ROUNDDOWN({0},0)</f>
      </c>
      <c r="J168" s="11"/>
      <c r="K168" s="12"/>
      <c r="L168" s="11">
        <v>121</v>
      </c>
      <c r="M168" s="13">
        <v>5111.71</v>
      </c>
      <c r="N168" s="11">
        <v>2</v>
      </c>
      <c r="O168" s="14">
        <v>2555.86</v>
      </c>
      <c r="P168" s="11"/>
      <c r="Q168" s="13"/>
      <c r="R168" s="11"/>
      <c r="S168" s="14"/>
      <c r="T168" s="12"/>
      <c r="U168" s="12"/>
      <c r="V168" s="12"/>
      <c r="W168" s="12"/>
      <c r="X168" s="11">
        <v>19</v>
      </c>
      <c r="Y168" s="13">
        <v>865.64</v>
      </c>
      <c r="Z168" s="11">
        <v>2</v>
      </c>
      <c r="AA168" s="11"/>
      <c r="AB168" s="13"/>
      <c r="AC168" s="11"/>
      <c r="AD168" s="12"/>
      <c r="AE168" s="12"/>
      <c r="AF168" s="11">
        <v>6</v>
      </c>
      <c r="AG168" s="13">
        <v>205.02</v>
      </c>
      <c r="AH168" s="11">
        <v>2</v>
      </c>
      <c r="AI168" s="11"/>
      <c r="AJ168" s="13"/>
      <c r="AK168" s="11"/>
      <c r="AL168" s="12"/>
      <c r="AM168" s="12"/>
      <c r="AN168" s="11">
        <v>13</v>
      </c>
      <c r="AO168" s="13">
        <v>509.19</v>
      </c>
      <c r="AP168" s="11">
        <v>2</v>
      </c>
      <c r="AQ168" s="11"/>
      <c r="AR168" s="13"/>
      <c r="AS168" s="11"/>
      <c r="AT168" s="12"/>
      <c r="AU168" s="12"/>
      <c r="AV168" s="11">
        <v>7</v>
      </c>
      <c r="AW168" s="13">
        <v>359.26</v>
      </c>
      <c r="AX168" s="11">
        <v>2</v>
      </c>
      <c r="AY168" s="11"/>
      <c r="AZ168" s="13"/>
      <c r="BA168" s="11"/>
      <c r="BB168" s="12"/>
      <c r="BC168" s="12"/>
      <c r="BD168" s="11">
        <v>6</v>
      </c>
      <c r="BE168" s="13">
        <v>179.94</v>
      </c>
      <c r="BF168" s="11">
        <v>2</v>
      </c>
      <c r="BG168" s="11"/>
      <c r="BH168" s="13"/>
      <c r="BI168" s="11"/>
      <c r="BJ168" s="12"/>
      <c r="BK168" s="12"/>
      <c r="BL168" s="11">
        <v>2</v>
      </c>
      <c r="BM168" s="13">
        <v>26.74</v>
      </c>
      <c r="BN168" s="11">
        <v>2</v>
      </c>
      <c r="BO168" s="11"/>
      <c r="BP168" s="13"/>
      <c r="BQ168" s="11"/>
      <c r="BR168" s="12"/>
      <c r="BS168" s="12"/>
      <c r="BT168" s="11">
        <v>29</v>
      </c>
      <c r="BU168" s="13">
        <v>1244.39</v>
      </c>
      <c r="BV168" s="11">
        <v>2</v>
      </c>
      <c r="BW168" s="11"/>
      <c r="BX168" s="13"/>
      <c r="BY168" s="11"/>
      <c r="BZ168" s="12"/>
      <c r="CA168" s="12"/>
      <c r="CB168" s="11"/>
      <c r="CC168" s="13"/>
      <c r="CD168" s="11">
        <v>1</v>
      </c>
      <c r="CE168" s="11"/>
      <c r="CF168" s="13"/>
      <c r="CG168" s="11"/>
      <c r="CH168" s="12"/>
      <c r="CI168" s="12"/>
      <c r="CJ168" s="11"/>
      <c r="CK168" s="13"/>
      <c r="CL168" s="11">
        <v>2</v>
      </c>
      <c r="CM168" s="11"/>
      <c r="CN168" s="13"/>
      <c r="CO168" s="11"/>
      <c r="CP168" s="12"/>
      <c r="CQ168" s="12"/>
      <c r="CR168" s="11"/>
      <c r="CS168" s="13"/>
      <c r="CT168" s="11"/>
      <c r="CU168" s="11"/>
      <c r="CV168" s="13"/>
      <c r="CW168" s="11"/>
      <c r="CX168" s="12"/>
      <c r="CY168" s="12"/>
      <c r="CZ168" s="11">
        <v>26</v>
      </c>
      <c r="DA168" s="13">
        <v>1170.52</v>
      </c>
      <c r="DB168" s="11">
        <v>2</v>
      </c>
      <c r="DC168" s="11"/>
      <c r="DD168" s="13"/>
      <c r="DE168" s="11"/>
      <c r="DF168" s="12"/>
      <c r="DG168" s="12"/>
      <c r="DH168" s="11"/>
      <c r="DI168" s="13"/>
      <c r="DJ168" s="11">
        <v>1</v>
      </c>
      <c r="DK168" s="11"/>
      <c r="DL168" s="13"/>
      <c r="DM168" s="11"/>
      <c r="DN168" s="12"/>
      <c r="DO168" s="12"/>
      <c r="DP168" s="11"/>
      <c r="DQ168" s="13"/>
      <c r="DR168" s="11">
        <v>2</v>
      </c>
      <c r="DS168" s="11"/>
      <c r="DT168" s="13"/>
      <c r="DU168" s="11"/>
      <c r="DV168" s="12"/>
      <c r="DW168" s="12"/>
      <c r="DX168" s="11">
        <v>2</v>
      </c>
      <c r="DY168" s="13">
        <v>96.68</v>
      </c>
      <c r="DZ168" s="11">
        <v>1</v>
      </c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>
        <v>1</v>
      </c>
      <c r="EO168" s="13">
        <v>49.99</v>
      </c>
      <c r="EP168" s="11">
        <v>2</v>
      </c>
      <c r="EQ168" s="11"/>
      <c r="ER168" s="13"/>
      <c r="ES168" s="11"/>
      <c r="ET168" s="12"/>
      <c r="EU168" s="12"/>
      <c r="EV168" s="11"/>
      <c r="EW168" s="13"/>
      <c r="EX168" s="11"/>
      <c r="EY168" s="11"/>
      <c r="EZ168" s="13"/>
      <c r="FA168" s="11"/>
      <c r="FB168" s="12"/>
      <c r="FC168" s="12"/>
      <c r="FD168" s="11"/>
      <c r="FE168" s="13"/>
      <c r="FF168" s="11"/>
      <c r="FG168" s="11"/>
      <c r="FH168" s="13"/>
      <c r="FI168" s="11"/>
      <c r="FJ168" s="12"/>
      <c r="FK168" s="12"/>
      <c r="FL168" s="11">
        <v>3</v>
      </c>
      <c r="FM168" s="13">
        <v>126.81</v>
      </c>
      <c r="FN168" s="11">
        <v>1</v>
      </c>
      <c r="FO168" s="11"/>
      <c r="FP168" s="13"/>
      <c r="FQ168" s="11"/>
      <c r="FR168" s="12"/>
      <c r="FS168" s="12"/>
      <c r="FT168" s="11">
        <v>3</v>
      </c>
      <c r="FU168" s="13">
        <v>100.78</v>
      </c>
      <c r="FV168" s="11">
        <v>2</v>
      </c>
      <c r="FW168" s="11"/>
      <c r="FX168" s="13"/>
      <c r="FY168" s="11"/>
      <c r="FZ168" s="12"/>
      <c r="GA168" s="12"/>
      <c r="GB168" s="11">
        <v>4</v>
      </c>
      <c r="GC168" s="13">
        <v>176.75</v>
      </c>
      <c r="GD168" s="11">
        <v>2</v>
      </c>
      <c r="GE168" s="11"/>
      <c r="GF168" s="13"/>
      <c r="GG168" s="11"/>
      <c r="GH168" s="12"/>
      <c r="GI168" s="12"/>
      <c r="GJ168" s="11"/>
      <c r="GK168" s="13"/>
      <c r="GL168" s="11">
        <v>2</v>
      </c>
      <c r="GM168" s="11"/>
      <c r="GN168" s="13"/>
      <c r="GO168" s="11"/>
      <c r="GP168" s="12"/>
      <c r="GQ168" s="12"/>
      <c r="GR168" s="11"/>
      <c r="GS168" s="13"/>
      <c r="GT168" s="11">
        <v>2</v>
      </c>
      <c r="GU168" s="11"/>
      <c r="GV168" s="13"/>
      <c r="GW168" s="11"/>
      <c r="GX168" s="12"/>
      <c r="GY168" s="12"/>
      <c r="GZ168" s="11"/>
      <c r="HA168" s="13"/>
      <c r="HB168" s="11"/>
      <c r="HC168" s="11"/>
      <c r="HD168" s="13"/>
      <c r="HE168" s="11"/>
      <c r="HF168" s="12"/>
      <c r="HG168" s="12"/>
      <c r="HH168" s="11"/>
      <c r="HI168" s="13"/>
      <c r="HJ168" s="11"/>
      <c r="HK168" s="11"/>
      <c r="HL168" s="13"/>
      <c r="HM168" s="11"/>
      <c r="HN168" s="12"/>
      <c r="HO168" s="12"/>
      <c r="HP168" s="11"/>
      <c r="HQ168" s="13"/>
      <c r="HR168" s="11"/>
      <c r="HS168" s="11"/>
      <c r="HT168" s="13"/>
      <c r="HU168" s="11"/>
      <c r="HV168" s="12"/>
      <c r="HW168" s="12"/>
      <c r="HX168" s="11"/>
      <c r="HY168" s="13"/>
      <c r="HZ168" s="11"/>
      <c r="IA168" s="11"/>
      <c r="IB168" s="13"/>
      <c r="IC168" s="11"/>
      <c r="ID168" s="12"/>
      <c r="IE168" s="12"/>
      <c r="IF168" s="11"/>
      <c r="IG168" s="13"/>
      <c r="IH168" s="11"/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>
        <v>1</v>
      </c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/>
      <c r="JP168" s="13"/>
      <c r="JQ168" s="11"/>
      <c r="JR168" s="12"/>
      <c r="JS168" s="12"/>
      <c r="JT168" s="11"/>
      <c r="JU168" s="13"/>
      <c r="JV168" s="11"/>
      <c r="JW168" s="11"/>
      <c r="JX168" s="13"/>
      <c r="JY168" s="11"/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  <c r="LH168" s="11"/>
      <c r="LI168" s="13"/>
      <c r="LJ168" s="11"/>
      <c r="LK168" s="11"/>
      <c r="LL168" s="13"/>
      <c r="LM168" s="11"/>
      <c r="LN168" s="12"/>
      <c r="LO168" s="12"/>
      <c r="LP168" s="11"/>
      <c r="LQ168" s="13"/>
      <c r="LR168" s="11"/>
      <c r="LS168" s="11"/>
      <c r="LT168" s="13"/>
      <c r="LU168" s="11"/>
      <c r="LV168" s="12"/>
      <c r="LW168" s="12"/>
    </row>
    <row r="169">
      <c r="A169" s="10" t="s">
        <v>167</v>
      </c>
      <c r="B169" s="10" t="s">
        <v>77</v>
      </c>
      <c r="C169" s="10" t="s">
        <v>77</v>
      </c>
      <c r="D169" s="11">
        <v>20925</v>
      </c>
      <c r="E169" s="11">
        <f>=ROUNDDOWN({0},0)</f>
      </c>
      <c r="F169" s="11">
        <v>20440</v>
      </c>
      <c r="G169" s="12"/>
      <c r="H169" s="11"/>
      <c r="I169" s="11">
        <f>=ROUNDDOWN({0},0)</f>
      </c>
      <c r="J169" s="11"/>
      <c r="K169" s="12"/>
      <c r="L169" s="11">
        <v>17950</v>
      </c>
      <c r="M169" s="13">
        <v>951718.85</v>
      </c>
      <c r="N169" s="11">
        <v>183</v>
      </c>
      <c r="O169" s="14">
        <v>5200.65</v>
      </c>
      <c r="P169" s="11"/>
      <c r="Q169" s="13"/>
      <c r="R169" s="11"/>
      <c r="S169" s="14"/>
      <c r="T169" s="12"/>
      <c r="U169" s="12"/>
      <c r="V169" s="12"/>
      <c r="W169" s="12"/>
      <c r="X169" s="11">
        <v>4618</v>
      </c>
      <c r="Y169" s="13">
        <v>270809.89</v>
      </c>
      <c r="Z169" s="11">
        <v>167</v>
      </c>
      <c r="AA169" s="11"/>
      <c r="AB169" s="13"/>
      <c r="AC169" s="11"/>
      <c r="AD169" s="12"/>
      <c r="AE169" s="12"/>
      <c r="AF169" s="11">
        <v>4666</v>
      </c>
      <c r="AG169" s="13">
        <v>230400.78</v>
      </c>
      <c r="AH169" s="11">
        <v>181</v>
      </c>
      <c r="AI169" s="11"/>
      <c r="AJ169" s="13"/>
      <c r="AK169" s="11"/>
      <c r="AL169" s="12"/>
      <c r="AM169" s="12"/>
      <c r="AN169" s="11">
        <v>1998</v>
      </c>
      <c r="AO169" s="13">
        <v>86370.63</v>
      </c>
      <c r="AP169" s="11">
        <v>183</v>
      </c>
      <c r="AQ169" s="11"/>
      <c r="AR169" s="13"/>
      <c r="AS169" s="11"/>
      <c r="AT169" s="12"/>
      <c r="AU169" s="12"/>
      <c r="AV169" s="11">
        <v>951</v>
      </c>
      <c r="AW169" s="13">
        <v>53273.89</v>
      </c>
      <c r="AX169" s="11">
        <v>141</v>
      </c>
      <c r="AY169" s="11"/>
      <c r="AZ169" s="13"/>
      <c r="BA169" s="11"/>
      <c r="BB169" s="12"/>
      <c r="BC169" s="12"/>
      <c r="BD169" s="11">
        <v>221</v>
      </c>
      <c r="BE169" s="13">
        <v>7755.27</v>
      </c>
      <c r="BF169" s="11">
        <v>155</v>
      </c>
      <c r="BG169" s="11"/>
      <c r="BH169" s="13"/>
      <c r="BI169" s="11"/>
      <c r="BJ169" s="12"/>
      <c r="BK169" s="12"/>
      <c r="BL169" s="11">
        <v>513</v>
      </c>
      <c r="BM169" s="13">
        <v>32845.4</v>
      </c>
      <c r="BN169" s="11">
        <v>183</v>
      </c>
      <c r="BO169" s="11"/>
      <c r="BP169" s="13"/>
      <c r="BQ169" s="11"/>
      <c r="BR169" s="12"/>
      <c r="BS169" s="12"/>
      <c r="BT169" s="11">
        <v>1465</v>
      </c>
      <c r="BU169" s="13">
        <v>79103.39</v>
      </c>
      <c r="BV169" s="11">
        <v>183</v>
      </c>
      <c r="BW169" s="11"/>
      <c r="BX169" s="13"/>
      <c r="BY169" s="11"/>
      <c r="BZ169" s="12"/>
      <c r="CA169" s="12"/>
      <c r="CB169" s="11">
        <v>320</v>
      </c>
      <c r="CC169" s="13">
        <v>15522.89</v>
      </c>
      <c r="CD169" s="11">
        <v>114</v>
      </c>
      <c r="CE169" s="11"/>
      <c r="CF169" s="13"/>
      <c r="CG169" s="11"/>
      <c r="CH169" s="12"/>
      <c r="CI169" s="12"/>
      <c r="CJ169" s="11">
        <v>60</v>
      </c>
      <c r="CK169" s="13">
        <v>5175.52</v>
      </c>
      <c r="CL169" s="11">
        <v>163</v>
      </c>
      <c r="CM169" s="11"/>
      <c r="CN169" s="13"/>
      <c r="CO169" s="11"/>
      <c r="CP169" s="12"/>
      <c r="CQ169" s="12"/>
      <c r="CR169" s="11"/>
      <c r="CS169" s="13"/>
      <c r="CT169" s="11"/>
      <c r="CU169" s="11"/>
      <c r="CV169" s="13"/>
      <c r="CW169" s="11"/>
      <c r="CX169" s="12"/>
      <c r="CY169" s="12"/>
      <c r="CZ169" s="11">
        <v>1764</v>
      </c>
      <c r="DA169" s="13">
        <v>93419.18</v>
      </c>
      <c r="DB169" s="11">
        <v>123</v>
      </c>
      <c r="DC169" s="11"/>
      <c r="DD169" s="13"/>
      <c r="DE169" s="11"/>
      <c r="DF169" s="12"/>
      <c r="DG169" s="12"/>
      <c r="DH169" s="11">
        <v>138</v>
      </c>
      <c r="DI169" s="13">
        <v>6625.96</v>
      </c>
      <c r="DJ169" s="11">
        <v>103</v>
      </c>
      <c r="DK169" s="11"/>
      <c r="DL169" s="13"/>
      <c r="DM169" s="11"/>
      <c r="DN169" s="12"/>
      <c r="DO169" s="12"/>
      <c r="DP169" s="11">
        <v>89</v>
      </c>
      <c r="DQ169" s="13">
        <v>3779.34</v>
      </c>
      <c r="DR169" s="11">
        <v>117</v>
      </c>
      <c r="DS169" s="11"/>
      <c r="DT169" s="13"/>
      <c r="DU169" s="11"/>
      <c r="DV169" s="12"/>
      <c r="DW169" s="12"/>
      <c r="DX169" s="11">
        <v>109</v>
      </c>
      <c r="DY169" s="13">
        <v>7516.72</v>
      </c>
      <c r="DZ169" s="11">
        <v>84</v>
      </c>
      <c r="EA169" s="11"/>
      <c r="EB169" s="13"/>
      <c r="EC169" s="11"/>
      <c r="ED169" s="12"/>
      <c r="EE169" s="12"/>
      <c r="EF169" s="11"/>
      <c r="EG169" s="13"/>
      <c r="EH169" s="11"/>
      <c r="EI169" s="11"/>
      <c r="EJ169" s="13"/>
      <c r="EK169" s="11"/>
      <c r="EL169" s="12"/>
      <c r="EM169" s="12"/>
      <c r="EN169" s="11">
        <v>175</v>
      </c>
      <c r="EO169" s="13">
        <v>13232.71</v>
      </c>
      <c r="EP169" s="11">
        <v>183</v>
      </c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/>
      <c r="FB169" s="12"/>
      <c r="FC169" s="12"/>
      <c r="FD169" s="11"/>
      <c r="FE169" s="13"/>
      <c r="FF169" s="11"/>
      <c r="FG169" s="11"/>
      <c r="FH169" s="13"/>
      <c r="FI169" s="11"/>
      <c r="FJ169" s="12"/>
      <c r="FK169" s="12"/>
      <c r="FL169" s="11">
        <v>152</v>
      </c>
      <c r="FM169" s="13">
        <v>7024.36</v>
      </c>
      <c r="FN169" s="11">
        <v>56</v>
      </c>
      <c r="FO169" s="11"/>
      <c r="FP169" s="13"/>
      <c r="FQ169" s="11"/>
      <c r="FR169" s="12"/>
      <c r="FS169" s="12"/>
      <c r="FT169" s="11">
        <v>150</v>
      </c>
      <c r="FU169" s="13">
        <v>7572.31</v>
      </c>
      <c r="FV169" s="11">
        <v>151</v>
      </c>
      <c r="FW169" s="11"/>
      <c r="FX169" s="13"/>
      <c r="FY169" s="11"/>
      <c r="FZ169" s="12"/>
      <c r="GA169" s="12"/>
      <c r="GB169" s="11">
        <v>241</v>
      </c>
      <c r="GC169" s="13">
        <v>13167.22</v>
      </c>
      <c r="GD169" s="11">
        <v>99</v>
      </c>
      <c r="GE169" s="11"/>
      <c r="GF169" s="13"/>
      <c r="GG169" s="11"/>
      <c r="GH169" s="12"/>
      <c r="GI169" s="12"/>
      <c r="GJ169" s="11">
        <v>241</v>
      </c>
      <c r="GK169" s="13">
        <v>14185.06</v>
      </c>
      <c r="GL169" s="11">
        <v>153</v>
      </c>
      <c r="GM169" s="11"/>
      <c r="GN169" s="13"/>
      <c r="GO169" s="11"/>
      <c r="GP169" s="12"/>
      <c r="GQ169" s="12"/>
      <c r="GR169" s="11">
        <v>46</v>
      </c>
      <c r="GS169" s="13">
        <v>2620.08</v>
      </c>
      <c r="GT169" s="11">
        <v>103</v>
      </c>
      <c r="GU169" s="11"/>
      <c r="GV169" s="13"/>
      <c r="GW169" s="11"/>
      <c r="GX169" s="12"/>
      <c r="GY169" s="12"/>
      <c r="GZ169" s="11"/>
      <c r="HA169" s="13"/>
      <c r="HB169" s="11">
        <v>2</v>
      </c>
      <c r="HC169" s="11"/>
      <c r="HD169" s="13"/>
      <c r="HE169" s="11"/>
      <c r="HF169" s="12"/>
      <c r="HG169" s="12"/>
      <c r="HH169" s="11">
        <v>15</v>
      </c>
      <c r="HI169" s="13">
        <v>333.59</v>
      </c>
      <c r="HJ169" s="11"/>
      <c r="HK169" s="11"/>
      <c r="HL169" s="13"/>
      <c r="HM169" s="11"/>
      <c r="HN169" s="12"/>
      <c r="HO169" s="12"/>
      <c r="HP169" s="11"/>
      <c r="HQ169" s="13"/>
      <c r="HR169" s="11"/>
      <c r="HS169" s="11"/>
      <c r="HT169" s="13"/>
      <c r="HU169" s="11"/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>
        <v>29</v>
      </c>
      <c r="IY169" s="11"/>
      <c r="IZ169" s="13"/>
      <c r="JA169" s="11"/>
      <c r="JB169" s="12"/>
      <c r="JC169" s="12"/>
      <c r="JD169" s="11">
        <v>18</v>
      </c>
      <c r="JE169" s="13">
        <v>984.66</v>
      </c>
      <c r="JF169" s="11">
        <v>25</v>
      </c>
      <c r="JG169" s="11"/>
      <c r="JH169" s="13"/>
      <c r="JI169" s="11"/>
      <c r="JJ169" s="12"/>
      <c r="JK169" s="12"/>
      <c r="JL169" s="11"/>
      <c r="JM169" s="13"/>
      <c r="JN169" s="11"/>
      <c r="JO169" s="11"/>
      <c r="JP169" s="13"/>
      <c r="JQ169" s="11"/>
      <c r="JR169" s="12"/>
      <c r="JS169" s="12"/>
      <c r="JT169" s="11"/>
      <c r="JU169" s="13"/>
      <c r="JV169" s="11"/>
      <c r="JW169" s="11"/>
      <c r="JX169" s="13"/>
      <c r="JY169" s="11"/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  <c r="LH169" s="11"/>
      <c r="LI169" s="13"/>
      <c r="LJ169" s="11"/>
      <c r="LK169" s="11"/>
      <c r="LL169" s="13"/>
      <c r="LM169" s="11"/>
      <c r="LN169" s="12"/>
      <c r="LO169" s="12"/>
      <c r="LP169" s="11"/>
      <c r="LQ169" s="13"/>
      <c r="LR169" s="11"/>
      <c r="LS169" s="11"/>
      <c r="LT169" s="13"/>
      <c r="LU169" s="11"/>
      <c r="LV169" s="12"/>
      <c r="LW169" s="12"/>
    </row>
    <row r="170">
      <c r="A170" s="10" t="s">
        <v>168</v>
      </c>
      <c r="B170" s="10" t="s">
        <v>87</v>
      </c>
      <c r="C170" s="10" t="s">
        <v>74</v>
      </c>
      <c r="D170" s="11"/>
      <c r="E170" s="11">
        <f>=ROUNDDOWN({0},0)</f>
      </c>
      <c r="F170" s="11"/>
      <c r="G170" s="12"/>
      <c r="H170" s="11"/>
      <c r="I170" s="11">
        <f>=ROUNDDOWN({0},0)</f>
      </c>
      <c r="J170" s="11"/>
      <c r="K170" s="12"/>
      <c r="L170" s="11">
        <v>98</v>
      </c>
      <c r="M170" s="13">
        <v>3558.52</v>
      </c>
      <c r="N170" s="11"/>
      <c r="O170" s="14"/>
      <c r="P170" s="11"/>
      <c r="Q170" s="13"/>
      <c r="R170" s="11"/>
      <c r="S170" s="14"/>
      <c r="T170" s="12"/>
      <c r="U170" s="12"/>
      <c r="V170" s="12"/>
      <c r="W170" s="12"/>
      <c r="X170" s="11"/>
      <c r="Y170" s="13"/>
      <c r="Z170" s="11"/>
      <c r="AA170" s="11"/>
      <c r="AB170" s="13"/>
      <c r="AC170" s="11"/>
      <c r="AD170" s="12"/>
      <c r="AE170" s="12"/>
      <c r="AF170" s="11">
        <v>2</v>
      </c>
      <c r="AG170" s="13">
        <v>56.28</v>
      </c>
      <c r="AH170" s="11"/>
      <c r="AI170" s="11"/>
      <c r="AJ170" s="13"/>
      <c r="AK170" s="11"/>
      <c r="AL170" s="12"/>
      <c r="AM170" s="12"/>
      <c r="AN170" s="11">
        <v>10</v>
      </c>
      <c r="AO170" s="13">
        <v>357.98</v>
      </c>
      <c r="AP170" s="11"/>
      <c r="AQ170" s="11"/>
      <c r="AR170" s="13"/>
      <c r="AS170" s="11"/>
      <c r="AT170" s="12"/>
      <c r="AU170" s="12"/>
      <c r="AV170" s="11">
        <v>30</v>
      </c>
      <c r="AW170" s="13">
        <v>1126.35</v>
      </c>
      <c r="AX170" s="11"/>
      <c r="AY170" s="11"/>
      <c r="AZ170" s="13"/>
      <c r="BA170" s="11"/>
      <c r="BB170" s="12"/>
      <c r="BC170" s="12"/>
      <c r="BD170" s="11">
        <v>2</v>
      </c>
      <c r="BE170" s="13">
        <v>72.93</v>
      </c>
      <c r="BF170" s="11"/>
      <c r="BG170" s="11"/>
      <c r="BH170" s="13"/>
      <c r="BI170" s="11"/>
      <c r="BJ170" s="12"/>
      <c r="BK170" s="12"/>
      <c r="BL170" s="11">
        <v>7</v>
      </c>
      <c r="BM170" s="13">
        <v>249.51</v>
      </c>
      <c r="BN170" s="11"/>
      <c r="BO170" s="11"/>
      <c r="BP170" s="13"/>
      <c r="BQ170" s="11"/>
      <c r="BR170" s="12"/>
      <c r="BS170" s="12"/>
      <c r="BT170" s="11">
        <v>2</v>
      </c>
      <c r="BU170" s="13">
        <v>66.86</v>
      </c>
      <c r="BV170" s="11"/>
      <c r="BW170" s="11"/>
      <c r="BX170" s="13"/>
      <c r="BY170" s="11"/>
      <c r="BZ170" s="12"/>
      <c r="CA170" s="12"/>
      <c r="CB170" s="11">
        <v>10</v>
      </c>
      <c r="CC170" s="13">
        <v>293.92</v>
      </c>
      <c r="CD170" s="11"/>
      <c r="CE170" s="11"/>
      <c r="CF170" s="13"/>
      <c r="CG170" s="11"/>
      <c r="CH170" s="12"/>
      <c r="CI170" s="12"/>
      <c r="CJ170" s="11"/>
      <c r="CK170" s="13"/>
      <c r="CL170" s="11"/>
      <c r="CM170" s="11"/>
      <c r="CN170" s="13"/>
      <c r="CO170" s="11"/>
      <c r="CP170" s="12"/>
      <c r="CQ170" s="12"/>
      <c r="CR170" s="11"/>
      <c r="CS170" s="13"/>
      <c r="CT170" s="11"/>
      <c r="CU170" s="11"/>
      <c r="CV170" s="13"/>
      <c r="CW170" s="11"/>
      <c r="CX170" s="12"/>
      <c r="CY170" s="12"/>
      <c r="CZ170" s="11">
        <v>7</v>
      </c>
      <c r="DA170" s="13">
        <v>256.61</v>
      </c>
      <c r="DB170" s="11"/>
      <c r="DC170" s="11"/>
      <c r="DD170" s="13"/>
      <c r="DE170" s="11"/>
      <c r="DF170" s="12"/>
      <c r="DG170" s="12"/>
      <c r="DH170" s="11"/>
      <c r="DI170" s="13"/>
      <c r="DJ170" s="11"/>
      <c r="DK170" s="11"/>
      <c r="DL170" s="13"/>
      <c r="DM170" s="11"/>
      <c r="DN170" s="12"/>
      <c r="DO170" s="12"/>
      <c r="DP170" s="11"/>
      <c r="DQ170" s="13"/>
      <c r="DR170" s="11"/>
      <c r="DS170" s="11"/>
      <c r="DT170" s="13"/>
      <c r="DU170" s="11"/>
      <c r="DV170" s="12"/>
      <c r="DW170" s="12"/>
      <c r="DX170" s="11"/>
      <c r="DY170" s="13"/>
      <c r="DZ170" s="11"/>
      <c r="EA170" s="11"/>
      <c r="EB170" s="13"/>
      <c r="EC170" s="11"/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>
        <v>28</v>
      </c>
      <c r="FM170" s="13">
        <v>1078.08</v>
      </c>
      <c r="FN170" s="11"/>
      <c r="FO170" s="11"/>
      <c r="FP170" s="13"/>
      <c r="FQ170" s="11"/>
      <c r="FR170" s="12"/>
      <c r="FS170" s="12"/>
      <c r="FT170" s="11"/>
      <c r="FU170" s="13"/>
      <c r="FV170" s="11"/>
      <c r="FW170" s="11"/>
      <c r="FX170" s="13"/>
      <c r="FY170" s="11"/>
      <c r="FZ170" s="12"/>
      <c r="GA170" s="12"/>
      <c r="GB170" s="11"/>
      <c r="GC170" s="13"/>
      <c r="GD170" s="11"/>
      <c r="GE170" s="11"/>
      <c r="GF170" s="13"/>
      <c r="GG170" s="11"/>
      <c r="GH170" s="12"/>
      <c r="GI170" s="12"/>
      <c r="GJ170" s="11"/>
      <c r="GK170" s="13"/>
      <c r="GL170" s="11"/>
      <c r="GM170" s="11"/>
      <c r="GN170" s="13"/>
      <c r="GO170" s="11"/>
      <c r="GP170" s="12"/>
      <c r="GQ170" s="12"/>
      <c r="GR170" s="11"/>
      <c r="GS170" s="13"/>
      <c r="GT170" s="11"/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/>
      <c r="JP170" s="13"/>
      <c r="JQ170" s="11"/>
      <c r="JR170" s="12"/>
      <c r="JS170" s="12"/>
      <c r="JT170" s="11"/>
      <c r="JU170" s="13"/>
      <c r="JV170" s="11"/>
      <c r="JW170" s="11"/>
      <c r="JX170" s="13"/>
      <c r="JY170" s="11"/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  <c r="LH170" s="11"/>
      <c r="LI170" s="13"/>
      <c r="LJ170" s="11"/>
      <c r="LK170" s="11"/>
      <c r="LL170" s="13"/>
      <c r="LM170" s="11"/>
      <c r="LN170" s="12"/>
      <c r="LO170" s="12"/>
      <c r="LP170" s="11"/>
      <c r="LQ170" s="13"/>
      <c r="LR170" s="11"/>
      <c r="LS170" s="11"/>
      <c r="LT170" s="13"/>
      <c r="LU170" s="11"/>
      <c r="LV170" s="12"/>
      <c r="LW170" s="12"/>
    </row>
    <row r="171">
      <c r="A171" s="10" t="s">
        <v>168</v>
      </c>
      <c r="B171" s="10" t="s">
        <v>87</v>
      </c>
      <c r="C171" s="10" t="s">
        <v>169</v>
      </c>
      <c r="D171" s="11">
        <v>356</v>
      </c>
      <c r="E171" s="11">
        <f>=ROUNDDOWN(32.3636363636364,0)</f>
      </c>
      <c r="F171" s="11"/>
      <c r="G171" s="12"/>
      <c r="H171" s="11"/>
      <c r="I171" s="11">
        <f>=ROUNDDOWN({0},0)</f>
      </c>
      <c r="J171" s="11"/>
      <c r="K171" s="12"/>
      <c r="L171" s="11">
        <v>72</v>
      </c>
      <c r="M171" s="13">
        <v>5749.4</v>
      </c>
      <c r="N171" s="11">
        <v>3</v>
      </c>
      <c r="O171" s="14">
        <v>1916.47</v>
      </c>
      <c r="P171" s="11"/>
      <c r="Q171" s="13"/>
      <c r="R171" s="11"/>
      <c r="S171" s="14"/>
      <c r="T171" s="12"/>
      <c r="U171" s="12"/>
      <c r="V171" s="12"/>
      <c r="W171" s="12"/>
      <c r="X171" s="11">
        <v>2</v>
      </c>
      <c r="Y171" s="13">
        <v>160.17</v>
      </c>
      <c r="Z171" s="11">
        <v>3</v>
      </c>
      <c r="AA171" s="11"/>
      <c r="AB171" s="13"/>
      <c r="AC171" s="11"/>
      <c r="AD171" s="12"/>
      <c r="AE171" s="12"/>
      <c r="AF171" s="11">
        <v>2</v>
      </c>
      <c r="AG171" s="13">
        <v>132.99</v>
      </c>
      <c r="AH171" s="11">
        <v>3</v>
      </c>
      <c r="AI171" s="11"/>
      <c r="AJ171" s="13"/>
      <c r="AK171" s="11"/>
      <c r="AL171" s="12"/>
      <c r="AM171" s="12"/>
      <c r="AN171" s="11"/>
      <c r="AO171" s="13"/>
      <c r="AP171" s="11">
        <v>3</v>
      </c>
      <c r="AQ171" s="11"/>
      <c r="AR171" s="13"/>
      <c r="AS171" s="11"/>
      <c r="AT171" s="12"/>
      <c r="AU171" s="12"/>
      <c r="AV171" s="11">
        <v>18</v>
      </c>
      <c r="AW171" s="13">
        <v>1527.6</v>
      </c>
      <c r="AX171" s="11">
        <v>3</v>
      </c>
      <c r="AY171" s="11"/>
      <c r="AZ171" s="13"/>
      <c r="BA171" s="11"/>
      <c r="BB171" s="12"/>
      <c r="BC171" s="12"/>
      <c r="BD171" s="11">
        <v>13</v>
      </c>
      <c r="BE171" s="13">
        <v>814.23</v>
      </c>
      <c r="BF171" s="11">
        <v>3</v>
      </c>
      <c r="BG171" s="11"/>
      <c r="BH171" s="13"/>
      <c r="BI171" s="11"/>
      <c r="BJ171" s="12"/>
      <c r="BK171" s="12"/>
      <c r="BL171" s="11">
        <v>11</v>
      </c>
      <c r="BM171" s="13">
        <v>850.4</v>
      </c>
      <c r="BN171" s="11">
        <v>3</v>
      </c>
      <c r="BO171" s="11"/>
      <c r="BP171" s="13"/>
      <c r="BQ171" s="11"/>
      <c r="BR171" s="12"/>
      <c r="BS171" s="12"/>
      <c r="BT171" s="11">
        <v>13</v>
      </c>
      <c r="BU171" s="13">
        <v>1329.21</v>
      </c>
      <c r="BV171" s="11">
        <v>3</v>
      </c>
      <c r="BW171" s="11"/>
      <c r="BX171" s="13"/>
      <c r="BY171" s="11"/>
      <c r="BZ171" s="12"/>
      <c r="CA171" s="12"/>
      <c r="CB171" s="11">
        <v>10</v>
      </c>
      <c r="CC171" s="13">
        <v>610.83</v>
      </c>
      <c r="CD171" s="11">
        <v>3</v>
      </c>
      <c r="CE171" s="11"/>
      <c r="CF171" s="13"/>
      <c r="CG171" s="11"/>
      <c r="CH171" s="12"/>
      <c r="CI171" s="12"/>
      <c r="CJ171" s="11"/>
      <c r="CK171" s="13"/>
      <c r="CL171" s="11"/>
      <c r="CM171" s="11"/>
      <c r="CN171" s="13"/>
      <c r="CO171" s="11"/>
      <c r="CP171" s="12"/>
      <c r="CQ171" s="12"/>
      <c r="CR171" s="11"/>
      <c r="CS171" s="13"/>
      <c r="CT171" s="11"/>
      <c r="CU171" s="11"/>
      <c r="CV171" s="13"/>
      <c r="CW171" s="11"/>
      <c r="CX171" s="12"/>
      <c r="CY171" s="12"/>
      <c r="CZ171" s="11"/>
      <c r="DA171" s="13"/>
      <c r="DB171" s="11"/>
      <c r="DC171" s="11"/>
      <c r="DD171" s="13"/>
      <c r="DE171" s="11"/>
      <c r="DF171" s="12"/>
      <c r="DG171" s="12"/>
      <c r="DH171" s="11"/>
      <c r="DI171" s="13"/>
      <c r="DJ171" s="11"/>
      <c r="DK171" s="11"/>
      <c r="DL171" s="13"/>
      <c r="DM171" s="11"/>
      <c r="DN171" s="12"/>
      <c r="DO171" s="12"/>
      <c r="DP171" s="11"/>
      <c r="DQ171" s="13"/>
      <c r="DR171" s="11"/>
      <c r="DS171" s="11"/>
      <c r="DT171" s="13"/>
      <c r="DU171" s="11"/>
      <c r="DV171" s="12"/>
      <c r="DW171" s="12"/>
      <c r="DX171" s="11"/>
      <c r="DY171" s="13"/>
      <c r="DZ171" s="11"/>
      <c r="EA171" s="11"/>
      <c r="EB171" s="13"/>
      <c r="EC171" s="11"/>
      <c r="ED171" s="12"/>
      <c r="EE171" s="12"/>
      <c r="EF171" s="11"/>
      <c r="EG171" s="13"/>
      <c r="EH171" s="11"/>
      <c r="EI171" s="11"/>
      <c r="EJ171" s="13"/>
      <c r="EK171" s="11"/>
      <c r="EL171" s="12"/>
      <c r="EM171" s="12"/>
      <c r="EN171" s="11"/>
      <c r="EO171" s="13"/>
      <c r="EP171" s="11">
        <v>3</v>
      </c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/>
      <c r="FG171" s="11"/>
      <c r="FH171" s="13"/>
      <c r="FI171" s="11"/>
      <c r="FJ171" s="12"/>
      <c r="FK171" s="12"/>
      <c r="FL171" s="11">
        <v>3</v>
      </c>
      <c r="FM171" s="13">
        <v>323.97</v>
      </c>
      <c r="FN171" s="11">
        <v>2</v>
      </c>
      <c r="FO171" s="11"/>
      <c r="FP171" s="13"/>
      <c r="FQ171" s="11"/>
      <c r="FR171" s="12"/>
      <c r="FS171" s="12"/>
      <c r="FT171" s="11"/>
      <c r="FU171" s="13"/>
      <c r="FV171" s="11"/>
      <c r="FW171" s="11"/>
      <c r="FX171" s="13"/>
      <c r="FY171" s="11"/>
      <c r="FZ171" s="12"/>
      <c r="GA171" s="12"/>
      <c r="GB171" s="11"/>
      <c r="GC171" s="13"/>
      <c r="GD171" s="11"/>
      <c r="GE171" s="11"/>
      <c r="GF171" s="13"/>
      <c r="GG171" s="11"/>
      <c r="GH171" s="12"/>
      <c r="GI171" s="12"/>
      <c r="GJ171" s="11"/>
      <c r="GK171" s="13"/>
      <c r="GL171" s="11"/>
      <c r="GM171" s="11"/>
      <c r="GN171" s="13"/>
      <c r="GO171" s="11"/>
      <c r="GP171" s="12"/>
      <c r="GQ171" s="12"/>
      <c r="GR171" s="11"/>
      <c r="GS171" s="13"/>
      <c r="GT171" s="11">
        <v>3</v>
      </c>
      <c r="GU171" s="11"/>
      <c r="GV171" s="13"/>
      <c r="GW171" s="11"/>
      <c r="GX171" s="12"/>
      <c r="GY171" s="12"/>
      <c r="GZ171" s="11"/>
      <c r="HA171" s="13"/>
      <c r="HB171" s="11"/>
      <c r="HC171" s="11"/>
      <c r="HD171" s="13"/>
      <c r="HE171" s="11"/>
      <c r="HF171" s="12"/>
      <c r="HG171" s="12"/>
      <c r="HH171" s="11"/>
      <c r="HI171" s="13"/>
      <c r="HJ171" s="11"/>
      <c r="HK171" s="11"/>
      <c r="HL171" s="13"/>
      <c r="HM171" s="11"/>
      <c r="HN171" s="12"/>
      <c r="HO171" s="12"/>
      <c r="HP171" s="11"/>
      <c r="HQ171" s="13"/>
      <c r="HR171" s="11"/>
      <c r="HS171" s="11"/>
      <c r="HT171" s="13"/>
      <c r="HU171" s="11"/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/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/>
      <c r="JO171" s="11"/>
      <c r="JP171" s="13"/>
      <c r="JQ171" s="11"/>
      <c r="JR171" s="12"/>
      <c r="JS171" s="12"/>
      <c r="JT171" s="11"/>
      <c r="JU171" s="13"/>
      <c r="JV171" s="11"/>
      <c r="JW171" s="11"/>
      <c r="JX171" s="13"/>
      <c r="JY171" s="11"/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  <c r="LH171" s="11"/>
      <c r="LI171" s="13"/>
      <c r="LJ171" s="11"/>
      <c r="LK171" s="11"/>
      <c r="LL171" s="13"/>
      <c r="LM171" s="11"/>
      <c r="LN171" s="12"/>
      <c r="LO171" s="12"/>
      <c r="LP171" s="11"/>
      <c r="LQ171" s="13"/>
      <c r="LR171" s="11"/>
      <c r="LS171" s="11"/>
      <c r="LT171" s="13"/>
      <c r="LU171" s="11"/>
      <c r="LV171" s="12"/>
      <c r="LW171" s="12"/>
    </row>
    <row r="172">
      <c r="A172" s="10" t="s">
        <v>168</v>
      </c>
      <c r="B172" s="10" t="s">
        <v>88</v>
      </c>
      <c r="C172" s="10" t="s">
        <v>77</v>
      </c>
      <c r="D172" s="11">
        <v>356</v>
      </c>
      <c r="E172" s="11">
        <f>=ROUNDDOWN({0},0)</f>
      </c>
      <c r="F172" s="11"/>
      <c r="G172" s="12"/>
      <c r="H172" s="11"/>
      <c r="I172" s="11">
        <f>=ROUNDDOWN({0},0)</f>
      </c>
      <c r="J172" s="11"/>
      <c r="K172" s="12"/>
      <c r="L172" s="11">
        <v>170</v>
      </c>
      <c r="M172" s="13">
        <v>9307.92</v>
      </c>
      <c r="N172" s="11">
        <v>3</v>
      </c>
      <c r="O172" s="14">
        <v>3102.64</v>
      </c>
      <c r="P172" s="11"/>
      <c r="Q172" s="13"/>
      <c r="R172" s="11"/>
      <c r="S172" s="14"/>
      <c r="T172" s="12"/>
      <c r="U172" s="12"/>
      <c r="V172" s="12"/>
      <c r="W172" s="12"/>
      <c r="X172" s="11">
        <v>2</v>
      </c>
      <c r="Y172" s="13">
        <v>160.17</v>
      </c>
      <c r="Z172" s="11">
        <v>3</v>
      </c>
      <c r="AA172" s="11"/>
      <c r="AB172" s="13"/>
      <c r="AC172" s="11"/>
      <c r="AD172" s="12"/>
      <c r="AE172" s="12"/>
      <c r="AF172" s="11">
        <v>4</v>
      </c>
      <c r="AG172" s="13">
        <v>189.27</v>
      </c>
      <c r="AH172" s="11">
        <v>3</v>
      </c>
      <c r="AI172" s="11"/>
      <c r="AJ172" s="13"/>
      <c r="AK172" s="11"/>
      <c r="AL172" s="12"/>
      <c r="AM172" s="12"/>
      <c r="AN172" s="11">
        <v>10</v>
      </c>
      <c r="AO172" s="13">
        <v>357.98</v>
      </c>
      <c r="AP172" s="11">
        <v>3</v>
      </c>
      <c r="AQ172" s="11"/>
      <c r="AR172" s="13"/>
      <c r="AS172" s="11"/>
      <c r="AT172" s="12"/>
      <c r="AU172" s="12"/>
      <c r="AV172" s="11">
        <v>48</v>
      </c>
      <c r="AW172" s="13">
        <v>2653.95</v>
      </c>
      <c r="AX172" s="11">
        <v>3</v>
      </c>
      <c r="AY172" s="11"/>
      <c r="AZ172" s="13"/>
      <c r="BA172" s="11"/>
      <c r="BB172" s="12"/>
      <c r="BC172" s="12"/>
      <c r="BD172" s="11">
        <v>15</v>
      </c>
      <c r="BE172" s="13">
        <v>887.16</v>
      </c>
      <c r="BF172" s="11">
        <v>3</v>
      </c>
      <c r="BG172" s="11"/>
      <c r="BH172" s="13"/>
      <c r="BI172" s="11"/>
      <c r="BJ172" s="12"/>
      <c r="BK172" s="12"/>
      <c r="BL172" s="11">
        <v>18</v>
      </c>
      <c r="BM172" s="13">
        <v>1099.91</v>
      </c>
      <c r="BN172" s="11">
        <v>3</v>
      </c>
      <c r="BO172" s="11"/>
      <c r="BP172" s="13"/>
      <c r="BQ172" s="11"/>
      <c r="BR172" s="12"/>
      <c r="BS172" s="12"/>
      <c r="BT172" s="11">
        <v>15</v>
      </c>
      <c r="BU172" s="13">
        <v>1396.07</v>
      </c>
      <c r="BV172" s="11">
        <v>3</v>
      </c>
      <c r="BW172" s="11"/>
      <c r="BX172" s="13"/>
      <c r="BY172" s="11"/>
      <c r="BZ172" s="12"/>
      <c r="CA172" s="12"/>
      <c r="CB172" s="11">
        <v>20</v>
      </c>
      <c r="CC172" s="13">
        <v>904.75</v>
      </c>
      <c r="CD172" s="11">
        <v>3</v>
      </c>
      <c r="CE172" s="11"/>
      <c r="CF172" s="13"/>
      <c r="CG172" s="11"/>
      <c r="CH172" s="12"/>
      <c r="CI172" s="12"/>
      <c r="CJ172" s="11"/>
      <c r="CK172" s="13"/>
      <c r="CL172" s="11"/>
      <c r="CM172" s="11"/>
      <c r="CN172" s="13"/>
      <c r="CO172" s="11"/>
      <c r="CP172" s="12"/>
      <c r="CQ172" s="12"/>
      <c r="CR172" s="11"/>
      <c r="CS172" s="13"/>
      <c r="CT172" s="11"/>
      <c r="CU172" s="11"/>
      <c r="CV172" s="13"/>
      <c r="CW172" s="11"/>
      <c r="CX172" s="12"/>
      <c r="CY172" s="12"/>
      <c r="CZ172" s="11">
        <v>7</v>
      </c>
      <c r="DA172" s="13">
        <v>256.61</v>
      </c>
      <c r="DB172" s="11"/>
      <c r="DC172" s="11"/>
      <c r="DD172" s="13"/>
      <c r="DE172" s="11"/>
      <c r="DF172" s="12"/>
      <c r="DG172" s="12"/>
      <c r="DH172" s="11"/>
      <c r="DI172" s="13"/>
      <c r="DJ172" s="11"/>
      <c r="DK172" s="11"/>
      <c r="DL172" s="13"/>
      <c r="DM172" s="11"/>
      <c r="DN172" s="12"/>
      <c r="DO172" s="12"/>
      <c r="DP172" s="11"/>
      <c r="DQ172" s="13"/>
      <c r="DR172" s="11"/>
      <c r="DS172" s="11"/>
      <c r="DT172" s="13"/>
      <c r="DU172" s="11"/>
      <c r="DV172" s="12"/>
      <c r="DW172" s="12"/>
      <c r="DX172" s="11"/>
      <c r="DY172" s="13"/>
      <c r="DZ172" s="11"/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>
        <v>3</v>
      </c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>
        <v>31</v>
      </c>
      <c r="FM172" s="13">
        <v>1402.05</v>
      </c>
      <c r="FN172" s="11">
        <v>2</v>
      </c>
      <c r="FO172" s="11"/>
      <c r="FP172" s="13"/>
      <c r="FQ172" s="11"/>
      <c r="FR172" s="12"/>
      <c r="FS172" s="12"/>
      <c r="FT172" s="11"/>
      <c r="FU172" s="13"/>
      <c r="FV172" s="11"/>
      <c r="FW172" s="11"/>
      <c r="FX172" s="13"/>
      <c r="FY172" s="11"/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/>
      <c r="GM172" s="11"/>
      <c r="GN172" s="13"/>
      <c r="GO172" s="11"/>
      <c r="GP172" s="12"/>
      <c r="GQ172" s="12"/>
      <c r="GR172" s="11"/>
      <c r="GS172" s="13"/>
      <c r="GT172" s="11">
        <v>3</v>
      </c>
      <c r="GU172" s="11"/>
      <c r="GV172" s="13"/>
      <c r="GW172" s="11"/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/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/>
      <c r="JO172" s="11"/>
      <c r="JP172" s="13"/>
      <c r="JQ172" s="11"/>
      <c r="JR172" s="12"/>
      <c r="JS172" s="12"/>
      <c r="JT172" s="11"/>
      <c r="JU172" s="13"/>
      <c r="JV172" s="11"/>
      <c r="JW172" s="11"/>
      <c r="JX172" s="13"/>
      <c r="JY172" s="11"/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  <c r="LH172" s="11"/>
      <c r="LI172" s="13"/>
      <c r="LJ172" s="11"/>
      <c r="LK172" s="11"/>
      <c r="LL172" s="13"/>
      <c r="LM172" s="11"/>
      <c r="LN172" s="12"/>
      <c r="LO172" s="12"/>
      <c r="LP172" s="11"/>
      <c r="LQ172" s="13"/>
      <c r="LR172" s="11"/>
      <c r="LS172" s="11"/>
      <c r="LT172" s="13"/>
      <c r="LU172" s="11"/>
      <c r="LV172" s="12"/>
      <c r="LW172" s="12"/>
    </row>
    <row r="173">
      <c r="A173" s="10" t="s">
        <v>168</v>
      </c>
      <c r="B173" s="10" t="s">
        <v>170</v>
      </c>
      <c r="C173" s="10" t="s">
        <v>74</v>
      </c>
      <c r="D173" s="11">
        <v>348</v>
      </c>
      <c r="E173" s="11">
        <f>=ROUNDDOWN(19.3333333333333,0)</f>
      </c>
      <c r="F173" s="11">
        <v>300</v>
      </c>
      <c r="G173" s="12">
        <v>1</v>
      </c>
      <c r="H173" s="11"/>
      <c r="I173" s="11">
        <f>=ROUNDDOWN({0},0)</f>
      </c>
      <c r="J173" s="11"/>
      <c r="K173" s="12"/>
      <c r="L173" s="11">
        <v>90</v>
      </c>
      <c r="M173" s="13">
        <v>5559.16</v>
      </c>
      <c r="N173" s="11">
        <v>2</v>
      </c>
      <c r="O173" s="14">
        <v>2779.58</v>
      </c>
      <c r="P173" s="11"/>
      <c r="Q173" s="13"/>
      <c r="R173" s="11"/>
      <c r="S173" s="14"/>
      <c r="T173" s="12"/>
      <c r="U173" s="12"/>
      <c r="V173" s="12"/>
      <c r="W173" s="12"/>
      <c r="X173" s="11">
        <v>3</v>
      </c>
      <c r="Y173" s="13">
        <v>196.45</v>
      </c>
      <c r="Z173" s="11">
        <v>2</v>
      </c>
      <c r="AA173" s="11"/>
      <c r="AB173" s="13"/>
      <c r="AC173" s="11"/>
      <c r="AD173" s="12"/>
      <c r="AE173" s="12"/>
      <c r="AF173" s="11">
        <v>5</v>
      </c>
      <c r="AG173" s="13">
        <v>240.97</v>
      </c>
      <c r="AH173" s="11">
        <v>2</v>
      </c>
      <c r="AI173" s="11"/>
      <c r="AJ173" s="13"/>
      <c r="AK173" s="11"/>
      <c r="AL173" s="12"/>
      <c r="AM173" s="12"/>
      <c r="AN173" s="11">
        <v>13</v>
      </c>
      <c r="AO173" s="13">
        <v>842.26</v>
      </c>
      <c r="AP173" s="11">
        <v>2</v>
      </c>
      <c r="AQ173" s="11"/>
      <c r="AR173" s="13"/>
      <c r="AS173" s="11"/>
      <c r="AT173" s="12"/>
      <c r="AU173" s="12"/>
      <c r="AV173" s="11"/>
      <c r="AW173" s="13"/>
      <c r="AX173" s="11"/>
      <c r="AY173" s="11"/>
      <c r="AZ173" s="13"/>
      <c r="BA173" s="11"/>
      <c r="BB173" s="12"/>
      <c r="BC173" s="12"/>
      <c r="BD173" s="11">
        <v>47</v>
      </c>
      <c r="BE173" s="13">
        <v>2898.79</v>
      </c>
      <c r="BF173" s="11">
        <v>2</v>
      </c>
      <c r="BG173" s="11"/>
      <c r="BH173" s="13"/>
      <c r="BI173" s="11"/>
      <c r="BJ173" s="12"/>
      <c r="BK173" s="12"/>
      <c r="BL173" s="11">
        <v>2</v>
      </c>
      <c r="BM173" s="13">
        <v>122.83</v>
      </c>
      <c r="BN173" s="11">
        <v>2</v>
      </c>
      <c r="BO173" s="11"/>
      <c r="BP173" s="13"/>
      <c r="BQ173" s="11"/>
      <c r="BR173" s="12"/>
      <c r="BS173" s="12"/>
      <c r="BT173" s="11">
        <v>9</v>
      </c>
      <c r="BU173" s="13">
        <v>561.82</v>
      </c>
      <c r="BV173" s="11">
        <v>2</v>
      </c>
      <c r="BW173" s="11"/>
      <c r="BX173" s="13"/>
      <c r="BY173" s="11"/>
      <c r="BZ173" s="12"/>
      <c r="CA173" s="12"/>
      <c r="CB173" s="11">
        <v>9</v>
      </c>
      <c r="CC173" s="13">
        <v>573.21</v>
      </c>
      <c r="CD173" s="11">
        <v>2</v>
      </c>
      <c r="CE173" s="11"/>
      <c r="CF173" s="13"/>
      <c r="CG173" s="11"/>
      <c r="CH173" s="12"/>
      <c r="CI173" s="12"/>
      <c r="CJ173" s="11"/>
      <c r="CK173" s="13"/>
      <c r="CL173" s="11">
        <v>2</v>
      </c>
      <c r="CM173" s="11"/>
      <c r="CN173" s="13"/>
      <c r="CO173" s="11"/>
      <c r="CP173" s="12"/>
      <c r="CQ173" s="12"/>
      <c r="CR173" s="11"/>
      <c r="CS173" s="13"/>
      <c r="CT173" s="11"/>
      <c r="CU173" s="11"/>
      <c r="CV173" s="13"/>
      <c r="CW173" s="11"/>
      <c r="CX173" s="12"/>
      <c r="CY173" s="12"/>
      <c r="CZ173" s="11"/>
      <c r="DA173" s="13"/>
      <c r="DB173" s="11"/>
      <c r="DC173" s="11"/>
      <c r="DD173" s="13"/>
      <c r="DE173" s="11"/>
      <c r="DF173" s="12"/>
      <c r="DG173" s="12"/>
      <c r="DH173" s="11"/>
      <c r="DI173" s="13"/>
      <c r="DJ173" s="11"/>
      <c r="DK173" s="11"/>
      <c r="DL173" s="13"/>
      <c r="DM173" s="11"/>
      <c r="DN173" s="12"/>
      <c r="DO173" s="12"/>
      <c r="DP173" s="11"/>
      <c r="DQ173" s="13"/>
      <c r="DR173" s="11"/>
      <c r="DS173" s="11"/>
      <c r="DT173" s="13"/>
      <c r="DU173" s="11"/>
      <c r="DV173" s="12"/>
      <c r="DW173" s="12"/>
      <c r="DX173" s="11">
        <v>2</v>
      </c>
      <c r="DY173" s="13">
        <v>122.83</v>
      </c>
      <c r="DZ173" s="11">
        <v>2</v>
      </c>
      <c r="EA173" s="11"/>
      <c r="EB173" s="13"/>
      <c r="EC173" s="11"/>
      <c r="ED173" s="12"/>
      <c r="EE173" s="12"/>
      <c r="EF173" s="11"/>
      <c r="EG173" s="13"/>
      <c r="EH173" s="11"/>
      <c r="EI173" s="11"/>
      <c r="EJ173" s="13"/>
      <c r="EK173" s="11"/>
      <c r="EL173" s="12"/>
      <c r="EM173" s="12"/>
      <c r="EN173" s="11"/>
      <c r="EO173" s="13"/>
      <c r="EP173" s="11">
        <v>2</v>
      </c>
      <c r="EQ173" s="11"/>
      <c r="ER173" s="13"/>
      <c r="ES173" s="11"/>
      <c r="ET173" s="12"/>
      <c r="EU173" s="12"/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/>
      <c r="FM173" s="13"/>
      <c r="FN173" s="11"/>
      <c r="FO173" s="11"/>
      <c r="FP173" s="13"/>
      <c r="FQ173" s="11"/>
      <c r="FR173" s="12"/>
      <c r="FS173" s="12"/>
      <c r="FT173" s="11"/>
      <c r="FU173" s="13"/>
      <c r="FV173" s="11"/>
      <c r="FW173" s="11"/>
      <c r="FX173" s="13"/>
      <c r="FY173" s="11"/>
      <c r="FZ173" s="12"/>
      <c r="GA173" s="12"/>
      <c r="GB173" s="11"/>
      <c r="GC173" s="13"/>
      <c r="GD173" s="11"/>
      <c r="GE173" s="11"/>
      <c r="GF173" s="13"/>
      <c r="GG173" s="11"/>
      <c r="GH173" s="12"/>
      <c r="GI173" s="12"/>
      <c r="GJ173" s="11"/>
      <c r="GK173" s="13"/>
      <c r="GL173" s="11"/>
      <c r="GM173" s="11"/>
      <c r="GN173" s="13"/>
      <c r="GO173" s="11"/>
      <c r="GP173" s="12"/>
      <c r="GQ173" s="12"/>
      <c r="GR173" s="11"/>
      <c r="GS173" s="13"/>
      <c r="GT173" s="11">
        <v>2</v>
      </c>
      <c r="GU173" s="11"/>
      <c r="GV173" s="13"/>
      <c r="GW173" s="11"/>
      <c r="GX173" s="12"/>
      <c r="GY173" s="12"/>
      <c r="GZ173" s="11"/>
      <c r="HA173" s="13"/>
      <c r="HB173" s="11"/>
      <c r="HC173" s="11"/>
      <c r="HD173" s="13"/>
      <c r="HE173" s="11"/>
      <c r="HF173" s="12"/>
      <c r="HG173" s="12"/>
      <c r="HH173" s="11"/>
      <c r="HI173" s="13"/>
      <c r="HJ173" s="11"/>
      <c r="HK173" s="11"/>
      <c r="HL173" s="13"/>
      <c r="HM173" s="11"/>
      <c r="HN173" s="12"/>
      <c r="HO173" s="12"/>
      <c r="HP173" s="11"/>
      <c r="HQ173" s="13"/>
      <c r="HR173" s="11"/>
      <c r="HS173" s="11"/>
      <c r="HT173" s="13"/>
      <c r="HU173" s="11"/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>
        <v>2</v>
      </c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/>
      <c r="JO173" s="11"/>
      <c r="JP173" s="13"/>
      <c r="JQ173" s="11"/>
      <c r="JR173" s="12"/>
      <c r="JS173" s="12"/>
      <c r="JT173" s="11"/>
      <c r="JU173" s="13"/>
      <c r="JV173" s="11"/>
      <c r="JW173" s="11"/>
      <c r="JX173" s="13"/>
      <c r="JY173" s="11"/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  <c r="LH173" s="11"/>
      <c r="LI173" s="13"/>
      <c r="LJ173" s="11"/>
      <c r="LK173" s="11"/>
      <c r="LL173" s="13"/>
      <c r="LM173" s="11"/>
      <c r="LN173" s="12"/>
      <c r="LO173" s="12"/>
      <c r="LP173" s="11"/>
      <c r="LQ173" s="13"/>
      <c r="LR173" s="11"/>
      <c r="LS173" s="11"/>
      <c r="LT173" s="13"/>
      <c r="LU173" s="11"/>
      <c r="LV173" s="12"/>
      <c r="LW173" s="12"/>
    </row>
    <row r="174">
      <c r="A174" s="10" t="s">
        <v>168</v>
      </c>
      <c r="B174" s="10" t="s">
        <v>170</v>
      </c>
      <c r="C174" s="10" t="s">
        <v>169</v>
      </c>
      <c r="D174" s="11">
        <v>529</v>
      </c>
      <c r="E174" s="11">
        <f>=ROUNDDOWN(15.1142857142857,0)</f>
      </c>
      <c r="F174" s="11">
        <v>700</v>
      </c>
      <c r="G174" s="12">
        <v>0.9167</v>
      </c>
      <c r="H174" s="11"/>
      <c r="I174" s="11">
        <f>=ROUNDDOWN({0},0)</f>
      </c>
      <c r="J174" s="11"/>
      <c r="K174" s="12"/>
      <c r="L174" s="11">
        <v>320</v>
      </c>
      <c r="M174" s="13">
        <v>11458.85</v>
      </c>
      <c r="N174" s="11">
        <v>3</v>
      </c>
      <c r="O174" s="14">
        <v>3819.62</v>
      </c>
      <c r="P174" s="11"/>
      <c r="Q174" s="13"/>
      <c r="R174" s="11"/>
      <c r="S174" s="14"/>
      <c r="T174" s="12"/>
      <c r="U174" s="12"/>
      <c r="V174" s="12"/>
      <c r="W174" s="12"/>
      <c r="X174" s="11">
        <v>18</v>
      </c>
      <c r="Y174" s="13">
        <v>627.84</v>
      </c>
      <c r="Z174" s="11">
        <v>3</v>
      </c>
      <c r="AA174" s="11"/>
      <c r="AB174" s="13"/>
      <c r="AC174" s="11"/>
      <c r="AD174" s="12"/>
      <c r="AE174" s="12"/>
      <c r="AF174" s="11">
        <v>6</v>
      </c>
      <c r="AG174" s="13">
        <v>185.81</v>
      </c>
      <c r="AH174" s="11">
        <v>3</v>
      </c>
      <c r="AI174" s="11"/>
      <c r="AJ174" s="13"/>
      <c r="AK174" s="11"/>
      <c r="AL174" s="12"/>
      <c r="AM174" s="12"/>
      <c r="AN174" s="11"/>
      <c r="AO174" s="13"/>
      <c r="AP174" s="11"/>
      <c r="AQ174" s="11"/>
      <c r="AR174" s="13"/>
      <c r="AS174" s="11"/>
      <c r="AT174" s="12"/>
      <c r="AU174" s="12"/>
      <c r="AV174" s="11"/>
      <c r="AW174" s="13"/>
      <c r="AX174" s="11"/>
      <c r="AY174" s="11"/>
      <c r="AZ174" s="13"/>
      <c r="BA174" s="11"/>
      <c r="BB174" s="12"/>
      <c r="BC174" s="12"/>
      <c r="BD174" s="11">
        <v>39</v>
      </c>
      <c r="BE174" s="13">
        <v>1367.62</v>
      </c>
      <c r="BF174" s="11">
        <v>3</v>
      </c>
      <c r="BG174" s="11"/>
      <c r="BH174" s="13"/>
      <c r="BI174" s="11"/>
      <c r="BJ174" s="12"/>
      <c r="BK174" s="12"/>
      <c r="BL174" s="11">
        <v>41</v>
      </c>
      <c r="BM174" s="13">
        <v>1424.96</v>
      </c>
      <c r="BN174" s="11">
        <v>3</v>
      </c>
      <c r="BO174" s="11"/>
      <c r="BP174" s="13"/>
      <c r="BQ174" s="11"/>
      <c r="BR174" s="12"/>
      <c r="BS174" s="12"/>
      <c r="BT174" s="11">
        <v>12</v>
      </c>
      <c r="BU174" s="13">
        <v>397.74</v>
      </c>
      <c r="BV174" s="11">
        <v>3</v>
      </c>
      <c r="BW174" s="11"/>
      <c r="BX174" s="13"/>
      <c r="BY174" s="11"/>
      <c r="BZ174" s="12"/>
      <c r="CA174" s="12"/>
      <c r="CB174" s="11">
        <v>194</v>
      </c>
      <c r="CC174" s="13">
        <v>6788.98</v>
      </c>
      <c r="CD174" s="11">
        <v>3</v>
      </c>
      <c r="CE174" s="11"/>
      <c r="CF174" s="13"/>
      <c r="CG174" s="11"/>
      <c r="CH174" s="12"/>
      <c r="CI174" s="12"/>
      <c r="CJ174" s="11">
        <v>3</v>
      </c>
      <c r="CK174" s="13">
        <v>183.97</v>
      </c>
      <c r="CL174" s="11">
        <v>3</v>
      </c>
      <c r="CM174" s="11"/>
      <c r="CN174" s="13"/>
      <c r="CO174" s="11"/>
      <c r="CP174" s="12"/>
      <c r="CQ174" s="12"/>
      <c r="CR174" s="11"/>
      <c r="CS174" s="13"/>
      <c r="CT174" s="11"/>
      <c r="CU174" s="11"/>
      <c r="CV174" s="13"/>
      <c r="CW174" s="11"/>
      <c r="CX174" s="12"/>
      <c r="CY174" s="12"/>
      <c r="CZ174" s="11"/>
      <c r="DA174" s="13"/>
      <c r="DB174" s="11"/>
      <c r="DC174" s="11"/>
      <c r="DD174" s="13"/>
      <c r="DE174" s="11"/>
      <c r="DF174" s="12"/>
      <c r="DG174" s="12"/>
      <c r="DH174" s="11"/>
      <c r="DI174" s="13"/>
      <c r="DJ174" s="11"/>
      <c r="DK174" s="11"/>
      <c r="DL174" s="13"/>
      <c r="DM174" s="11"/>
      <c r="DN174" s="12"/>
      <c r="DO174" s="12"/>
      <c r="DP174" s="11"/>
      <c r="DQ174" s="13"/>
      <c r="DR174" s="11"/>
      <c r="DS174" s="11"/>
      <c r="DT174" s="13"/>
      <c r="DU174" s="11"/>
      <c r="DV174" s="12"/>
      <c r="DW174" s="12"/>
      <c r="DX174" s="11"/>
      <c r="DY174" s="13"/>
      <c r="DZ174" s="11">
        <v>3</v>
      </c>
      <c r="EA174" s="11"/>
      <c r="EB174" s="13"/>
      <c r="EC174" s="11"/>
      <c r="ED174" s="12"/>
      <c r="EE174" s="12"/>
      <c r="EF174" s="11"/>
      <c r="EG174" s="13"/>
      <c r="EH174" s="11"/>
      <c r="EI174" s="11"/>
      <c r="EJ174" s="13"/>
      <c r="EK174" s="11"/>
      <c r="EL174" s="12"/>
      <c r="EM174" s="12"/>
      <c r="EN174" s="11">
        <v>1</v>
      </c>
      <c r="EO174" s="13">
        <v>39.99</v>
      </c>
      <c r="EP174" s="11">
        <v>3</v>
      </c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/>
      <c r="FM174" s="13"/>
      <c r="FN174" s="11"/>
      <c r="FO174" s="11"/>
      <c r="FP174" s="13"/>
      <c r="FQ174" s="11"/>
      <c r="FR174" s="12"/>
      <c r="FS174" s="12"/>
      <c r="FT174" s="11"/>
      <c r="FU174" s="13"/>
      <c r="FV174" s="11"/>
      <c r="FW174" s="11"/>
      <c r="FX174" s="13"/>
      <c r="FY174" s="11"/>
      <c r="FZ174" s="12"/>
      <c r="GA174" s="12"/>
      <c r="GB174" s="11"/>
      <c r="GC174" s="13"/>
      <c r="GD174" s="11"/>
      <c r="GE174" s="11"/>
      <c r="GF174" s="13"/>
      <c r="GG174" s="11"/>
      <c r="GH174" s="12"/>
      <c r="GI174" s="12"/>
      <c r="GJ174" s="11"/>
      <c r="GK174" s="13"/>
      <c r="GL174" s="11"/>
      <c r="GM174" s="11"/>
      <c r="GN174" s="13"/>
      <c r="GO174" s="11"/>
      <c r="GP174" s="12"/>
      <c r="GQ174" s="12"/>
      <c r="GR174" s="11"/>
      <c r="GS174" s="13"/>
      <c r="GT174" s="11">
        <v>3</v>
      </c>
      <c r="GU174" s="11"/>
      <c r="GV174" s="13"/>
      <c r="GW174" s="11"/>
      <c r="GX174" s="12"/>
      <c r="GY174" s="12"/>
      <c r="GZ174" s="11"/>
      <c r="HA174" s="13"/>
      <c r="HB174" s="11"/>
      <c r="HC174" s="11"/>
      <c r="HD174" s="13"/>
      <c r="HE174" s="11"/>
      <c r="HF174" s="12"/>
      <c r="HG174" s="12"/>
      <c r="HH174" s="11"/>
      <c r="HI174" s="13"/>
      <c r="HJ174" s="11"/>
      <c r="HK174" s="11"/>
      <c r="HL174" s="13"/>
      <c r="HM174" s="11"/>
      <c r="HN174" s="12"/>
      <c r="HO174" s="12"/>
      <c r="HP174" s="11"/>
      <c r="HQ174" s="13"/>
      <c r="HR174" s="11"/>
      <c r="HS174" s="11"/>
      <c r="HT174" s="13"/>
      <c r="HU174" s="11"/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>
        <v>6</v>
      </c>
      <c r="IO174" s="13">
        <v>441.94</v>
      </c>
      <c r="IP174" s="11">
        <v>3</v>
      </c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/>
      <c r="JO174" s="11"/>
      <c r="JP174" s="13"/>
      <c r="JQ174" s="11"/>
      <c r="JR174" s="12"/>
      <c r="JS174" s="12"/>
      <c r="JT174" s="11"/>
      <c r="JU174" s="13"/>
      <c r="JV174" s="11"/>
      <c r="JW174" s="11"/>
      <c r="JX174" s="13"/>
      <c r="JY174" s="11"/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  <c r="LH174" s="11"/>
      <c r="LI174" s="13"/>
      <c r="LJ174" s="11"/>
      <c r="LK174" s="11"/>
      <c r="LL174" s="13"/>
      <c r="LM174" s="11"/>
      <c r="LN174" s="12"/>
      <c r="LO174" s="12"/>
      <c r="LP174" s="11"/>
      <c r="LQ174" s="13"/>
      <c r="LR174" s="11"/>
      <c r="LS174" s="11"/>
      <c r="LT174" s="13"/>
      <c r="LU174" s="11"/>
      <c r="LV174" s="12"/>
      <c r="LW174" s="12"/>
    </row>
    <row r="175">
      <c r="A175" s="10" t="s">
        <v>168</v>
      </c>
      <c r="B175" s="10" t="s">
        <v>171</v>
      </c>
      <c r="C175" s="10" t="s">
        <v>77</v>
      </c>
      <c r="D175" s="11">
        <v>877</v>
      </c>
      <c r="E175" s="11">
        <f>=ROUNDDOWN({0},0)</f>
      </c>
      <c r="F175" s="11">
        <v>1000</v>
      </c>
      <c r="G175" s="12"/>
      <c r="H175" s="11"/>
      <c r="I175" s="11">
        <f>=ROUNDDOWN({0},0)</f>
      </c>
      <c r="J175" s="11"/>
      <c r="K175" s="12"/>
      <c r="L175" s="11">
        <v>410</v>
      </c>
      <c r="M175" s="13">
        <v>17018.01</v>
      </c>
      <c r="N175" s="11">
        <v>5</v>
      </c>
      <c r="O175" s="14">
        <v>3403.6</v>
      </c>
      <c r="P175" s="11"/>
      <c r="Q175" s="13"/>
      <c r="R175" s="11"/>
      <c r="S175" s="14"/>
      <c r="T175" s="12"/>
      <c r="U175" s="12"/>
      <c r="V175" s="12"/>
      <c r="W175" s="12"/>
      <c r="X175" s="11">
        <v>21</v>
      </c>
      <c r="Y175" s="13">
        <v>824.29</v>
      </c>
      <c r="Z175" s="11">
        <v>5</v>
      </c>
      <c r="AA175" s="11"/>
      <c r="AB175" s="13"/>
      <c r="AC175" s="11"/>
      <c r="AD175" s="12"/>
      <c r="AE175" s="12"/>
      <c r="AF175" s="11">
        <v>11</v>
      </c>
      <c r="AG175" s="13">
        <v>426.78</v>
      </c>
      <c r="AH175" s="11">
        <v>5</v>
      </c>
      <c r="AI175" s="11"/>
      <c r="AJ175" s="13"/>
      <c r="AK175" s="11"/>
      <c r="AL175" s="12"/>
      <c r="AM175" s="12"/>
      <c r="AN175" s="11">
        <v>13</v>
      </c>
      <c r="AO175" s="13">
        <v>842.26</v>
      </c>
      <c r="AP175" s="11">
        <v>2</v>
      </c>
      <c r="AQ175" s="11"/>
      <c r="AR175" s="13"/>
      <c r="AS175" s="11"/>
      <c r="AT175" s="12"/>
      <c r="AU175" s="12"/>
      <c r="AV175" s="11"/>
      <c r="AW175" s="13"/>
      <c r="AX175" s="11"/>
      <c r="AY175" s="11"/>
      <c r="AZ175" s="13"/>
      <c r="BA175" s="11"/>
      <c r="BB175" s="12"/>
      <c r="BC175" s="12"/>
      <c r="BD175" s="11">
        <v>86</v>
      </c>
      <c r="BE175" s="13">
        <v>4266.41</v>
      </c>
      <c r="BF175" s="11">
        <v>5</v>
      </c>
      <c r="BG175" s="11"/>
      <c r="BH175" s="13"/>
      <c r="BI175" s="11"/>
      <c r="BJ175" s="12"/>
      <c r="BK175" s="12"/>
      <c r="BL175" s="11">
        <v>43</v>
      </c>
      <c r="BM175" s="13">
        <v>1547.79</v>
      </c>
      <c r="BN175" s="11">
        <v>5</v>
      </c>
      <c r="BO175" s="11"/>
      <c r="BP175" s="13"/>
      <c r="BQ175" s="11"/>
      <c r="BR175" s="12"/>
      <c r="BS175" s="12"/>
      <c r="BT175" s="11">
        <v>21</v>
      </c>
      <c r="BU175" s="13">
        <v>959.56</v>
      </c>
      <c r="BV175" s="11">
        <v>5</v>
      </c>
      <c r="BW175" s="11"/>
      <c r="BX175" s="13"/>
      <c r="BY175" s="11"/>
      <c r="BZ175" s="12"/>
      <c r="CA175" s="12"/>
      <c r="CB175" s="11">
        <v>203</v>
      </c>
      <c r="CC175" s="13">
        <v>7362.19</v>
      </c>
      <c r="CD175" s="11">
        <v>5</v>
      </c>
      <c r="CE175" s="11"/>
      <c r="CF175" s="13"/>
      <c r="CG175" s="11"/>
      <c r="CH175" s="12"/>
      <c r="CI175" s="12"/>
      <c r="CJ175" s="11">
        <v>3</v>
      </c>
      <c r="CK175" s="13">
        <v>183.97</v>
      </c>
      <c r="CL175" s="11">
        <v>5</v>
      </c>
      <c r="CM175" s="11"/>
      <c r="CN175" s="13"/>
      <c r="CO175" s="11"/>
      <c r="CP175" s="12"/>
      <c r="CQ175" s="12"/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/>
      <c r="DC175" s="11"/>
      <c r="DD175" s="13"/>
      <c r="DE175" s="11"/>
      <c r="DF175" s="12"/>
      <c r="DG175" s="12"/>
      <c r="DH175" s="11"/>
      <c r="DI175" s="13"/>
      <c r="DJ175" s="11"/>
      <c r="DK175" s="11"/>
      <c r="DL175" s="13"/>
      <c r="DM175" s="11"/>
      <c r="DN175" s="12"/>
      <c r="DO175" s="12"/>
      <c r="DP175" s="11"/>
      <c r="DQ175" s="13"/>
      <c r="DR175" s="11"/>
      <c r="DS175" s="11"/>
      <c r="DT175" s="13"/>
      <c r="DU175" s="11"/>
      <c r="DV175" s="12"/>
      <c r="DW175" s="12"/>
      <c r="DX175" s="11">
        <v>2</v>
      </c>
      <c r="DY175" s="13">
        <v>122.83</v>
      </c>
      <c r="DZ175" s="11">
        <v>5</v>
      </c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>
        <v>1</v>
      </c>
      <c r="EO175" s="13">
        <v>39.99</v>
      </c>
      <c r="EP175" s="11">
        <v>5</v>
      </c>
      <c r="EQ175" s="11"/>
      <c r="ER175" s="13"/>
      <c r="ES175" s="11"/>
      <c r="ET175" s="12"/>
      <c r="EU175" s="12"/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/>
      <c r="FM175" s="13"/>
      <c r="FN175" s="11"/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/>
      <c r="GC175" s="13"/>
      <c r="GD175" s="11"/>
      <c r="GE175" s="11"/>
      <c r="GF175" s="13"/>
      <c r="GG175" s="11"/>
      <c r="GH175" s="12"/>
      <c r="GI175" s="12"/>
      <c r="GJ175" s="11"/>
      <c r="GK175" s="13"/>
      <c r="GL175" s="11"/>
      <c r="GM175" s="11"/>
      <c r="GN175" s="13"/>
      <c r="GO175" s="11"/>
      <c r="GP175" s="12"/>
      <c r="GQ175" s="12"/>
      <c r="GR175" s="11"/>
      <c r="GS175" s="13"/>
      <c r="GT175" s="11">
        <v>5</v>
      </c>
      <c r="GU175" s="11"/>
      <c r="GV175" s="13"/>
      <c r="GW175" s="11"/>
      <c r="GX175" s="12"/>
      <c r="GY175" s="12"/>
      <c r="GZ175" s="11"/>
      <c r="HA175" s="13"/>
      <c r="HB175" s="11"/>
      <c r="HC175" s="11"/>
      <c r="HD175" s="13"/>
      <c r="HE175" s="11"/>
      <c r="HF175" s="12"/>
      <c r="HG175" s="12"/>
      <c r="HH175" s="11"/>
      <c r="HI175" s="13"/>
      <c r="HJ175" s="11"/>
      <c r="HK175" s="11"/>
      <c r="HL175" s="13"/>
      <c r="HM175" s="11"/>
      <c r="HN175" s="12"/>
      <c r="HO175" s="12"/>
      <c r="HP175" s="11"/>
      <c r="HQ175" s="13"/>
      <c r="HR175" s="11"/>
      <c r="HS175" s="11"/>
      <c r="HT175" s="13"/>
      <c r="HU175" s="11"/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>
        <v>6</v>
      </c>
      <c r="IO175" s="13">
        <v>441.94</v>
      </c>
      <c r="IP175" s="11">
        <v>5</v>
      </c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/>
      <c r="JW175" s="11"/>
      <c r="JX175" s="13"/>
      <c r="JY175" s="11"/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  <c r="LH175" s="11"/>
      <c r="LI175" s="13"/>
      <c r="LJ175" s="11"/>
      <c r="LK175" s="11"/>
      <c r="LL175" s="13"/>
      <c r="LM175" s="11"/>
      <c r="LN175" s="12"/>
      <c r="LO175" s="12"/>
      <c r="LP175" s="11"/>
      <c r="LQ175" s="13"/>
      <c r="LR175" s="11"/>
      <c r="LS175" s="11"/>
      <c r="LT175" s="13"/>
      <c r="LU175" s="11"/>
      <c r="LV175" s="12"/>
      <c r="LW175" s="12"/>
    </row>
    <row r="176">
      <c r="A176" s="10" t="s">
        <v>168</v>
      </c>
      <c r="B176" s="10" t="s">
        <v>111</v>
      </c>
      <c r="C176" s="10" t="s">
        <v>74</v>
      </c>
      <c r="D176" s="11">
        <v>5290</v>
      </c>
      <c r="E176" s="11">
        <f>=ROUNDDOWN(48.5321100917431,0)</f>
      </c>
      <c r="F176" s="11"/>
      <c r="G176" s="12"/>
      <c r="H176" s="11"/>
      <c r="I176" s="11">
        <f>=ROUNDDOWN({0},0)</f>
      </c>
      <c r="J176" s="11"/>
      <c r="K176" s="12"/>
      <c r="L176" s="11">
        <v>175</v>
      </c>
      <c r="M176" s="13">
        <v>7502.81</v>
      </c>
      <c r="N176" s="11">
        <v>12</v>
      </c>
      <c r="O176" s="14">
        <v>625.23</v>
      </c>
      <c r="P176" s="11"/>
      <c r="Q176" s="13"/>
      <c r="R176" s="11"/>
      <c r="S176" s="14"/>
      <c r="T176" s="12"/>
      <c r="U176" s="12"/>
      <c r="V176" s="12"/>
      <c r="W176" s="12"/>
      <c r="X176" s="11">
        <v>45</v>
      </c>
      <c r="Y176" s="13">
        <v>1993.04</v>
      </c>
      <c r="Z176" s="11">
        <v>12</v>
      </c>
      <c r="AA176" s="11"/>
      <c r="AB176" s="13"/>
      <c r="AC176" s="11"/>
      <c r="AD176" s="12"/>
      <c r="AE176" s="12"/>
      <c r="AF176" s="11"/>
      <c r="AG176" s="13"/>
      <c r="AH176" s="11">
        <v>12</v>
      </c>
      <c r="AI176" s="11"/>
      <c r="AJ176" s="13"/>
      <c r="AK176" s="11"/>
      <c r="AL176" s="12"/>
      <c r="AM176" s="12"/>
      <c r="AN176" s="11">
        <v>19</v>
      </c>
      <c r="AO176" s="13">
        <v>853.04</v>
      </c>
      <c r="AP176" s="11">
        <v>12</v>
      </c>
      <c r="AQ176" s="11"/>
      <c r="AR176" s="13"/>
      <c r="AS176" s="11"/>
      <c r="AT176" s="12"/>
      <c r="AU176" s="12"/>
      <c r="AV176" s="11">
        <v>83</v>
      </c>
      <c r="AW176" s="13">
        <v>3469.6</v>
      </c>
      <c r="AX176" s="11">
        <v>12</v>
      </c>
      <c r="AY176" s="11"/>
      <c r="AZ176" s="13"/>
      <c r="BA176" s="11"/>
      <c r="BB176" s="12"/>
      <c r="BC176" s="12"/>
      <c r="BD176" s="11">
        <v>1</v>
      </c>
      <c r="BE176" s="13">
        <v>41.99</v>
      </c>
      <c r="BF176" s="11">
        <v>12</v>
      </c>
      <c r="BG176" s="11"/>
      <c r="BH176" s="13"/>
      <c r="BI176" s="11"/>
      <c r="BJ176" s="12"/>
      <c r="BK176" s="12"/>
      <c r="BL176" s="11">
        <v>8</v>
      </c>
      <c r="BM176" s="13">
        <v>330.7</v>
      </c>
      <c r="BN176" s="11">
        <v>12</v>
      </c>
      <c r="BO176" s="11"/>
      <c r="BP176" s="13"/>
      <c r="BQ176" s="11"/>
      <c r="BR176" s="12"/>
      <c r="BS176" s="12"/>
      <c r="BT176" s="11">
        <v>2</v>
      </c>
      <c r="BU176" s="13">
        <v>113.31</v>
      </c>
      <c r="BV176" s="11">
        <v>12</v>
      </c>
      <c r="BW176" s="11"/>
      <c r="BX176" s="13"/>
      <c r="BY176" s="11"/>
      <c r="BZ176" s="12"/>
      <c r="CA176" s="12"/>
      <c r="CB176" s="11"/>
      <c r="CC176" s="13"/>
      <c r="CD176" s="11"/>
      <c r="CE176" s="11"/>
      <c r="CF176" s="13"/>
      <c r="CG176" s="11"/>
      <c r="CH176" s="12"/>
      <c r="CI176" s="12"/>
      <c r="CJ176" s="11"/>
      <c r="CK176" s="13"/>
      <c r="CL176" s="11">
        <v>12</v>
      </c>
      <c r="CM176" s="11"/>
      <c r="CN176" s="13"/>
      <c r="CO176" s="11"/>
      <c r="CP176" s="12"/>
      <c r="CQ176" s="12"/>
      <c r="CR176" s="11"/>
      <c r="CS176" s="13"/>
      <c r="CT176" s="11"/>
      <c r="CU176" s="11"/>
      <c r="CV176" s="13"/>
      <c r="CW176" s="11"/>
      <c r="CX176" s="12"/>
      <c r="CY176" s="12"/>
      <c r="CZ176" s="11"/>
      <c r="DA176" s="13"/>
      <c r="DB176" s="11"/>
      <c r="DC176" s="11"/>
      <c r="DD176" s="13"/>
      <c r="DE176" s="11"/>
      <c r="DF176" s="12"/>
      <c r="DG176" s="12"/>
      <c r="DH176" s="11"/>
      <c r="DI176" s="13"/>
      <c r="DJ176" s="11"/>
      <c r="DK176" s="11"/>
      <c r="DL176" s="13"/>
      <c r="DM176" s="11"/>
      <c r="DN176" s="12"/>
      <c r="DO176" s="12"/>
      <c r="DP176" s="11">
        <v>13</v>
      </c>
      <c r="DQ176" s="13">
        <v>551.15</v>
      </c>
      <c r="DR176" s="11">
        <v>12</v>
      </c>
      <c r="DS176" s="11"/>
      <c r="DT176" s="13"/>
      <c r="DU176" s="11"/>
      <c r="DV176" s="12"/>
      <c r="DW176" s="12"/>
      <c r="DX176" s="11">
        <v>3</v>
      </c>
      <c r="DY176" s="13">
        <v>125.98</v>
      </c>
      <c r="DZ176" s="11">
        <v>12</v>
      </c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>
        <v>1</v>
      </c>
      <c r="EO176" s="13">
        <v>24</v>
      </c>
      <c r="EP176" s="11">
        <v>12</v>
      </c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/>
      <c r="FO176" s="11"/>
      <c r="FP176" s="13"/>
      <c r="FQ176" s="11"/>
      <c r="FR176" s="12"/>
      <c r="FS176" s="12"/>
      <c r="FT176" s="11"/>
      <c r="FU176" s="13"/>
      <c r="FV176" s="11"/>
      <c r="FW176" s="11"/>
      <c r="FX176" s="13"/>
      <c r="FY176" s="11"/>
      <c r="FZ176" s="12"/>
      <c r="GA176" s="12"/>
      <c r="GB176" s="11"/>
      <c r="GC176" s="13"/>
      <c r="GD176" s="11"/>
      <c r="GE176" s="11"/>
      <c r="GF176" s="13"/>
      <c r="GG176" s="11"/>
      <c r="GH176" s="12"/>
      <c r="GI176" s="12"/>
      <c r="GJ176" s="11"/>
      <c r="GK176" s="13"/>
      <c r="GL176" s="11"/>
      <c r="GM176" s="11"/>
      <c r="GN176" s="13"/>
      <c r="GO176" s="11"/>
      <c r="GP176" s="12"/>
      <c r="GQ176" s="12"/>
      <c r="GR176" s="11"/>
      <c r="GS176" s="13"/>
      <c r="GT176" s="11"/>
      <c r="GU176" s="11"/>
      <c r="GV176" s="13"/>
      <c r="GW176" s="11"/>
      <c r="GX176" s="12"/>
      <c r="GY176" s="12"/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/>
      <c r="HK176" s="11"/>
      <c r="HL176" s="13"/>
      <c r="HM176" s="11"/>
      <c r="HN176" s="12"/>
      <c r="HO176" s="12"/>
      <c r="HP176" s="11"/>
      <c r="HQ176" s="13"/>
      <c r="HR176" s="11"/>
      <c r="HS176" s="11"/>
      <c r="HT176" s="13"/>
      <c r="HU176" s="11"/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/>
      <c r="JG176" s="11"/>
      <c r="JH176" s="13"/>
      <c r="JI176" s="11"/>
      <c r="JJ176" s="12"/>
      <c r="JK176" s="12"/>
      <c r="JL176" s="11"/>
      <c r="JM176" s="13"/>
      <c r="JN176" s="11"/>
      <c r="JO176" s="11"/>
      <c r="JP176" s="13"/>
      <c r="JQ176" s="11"/>
      <c r="JR176" s="12"/>
      <c r="JS176" s="12"/>
      <c r="JT176" s="11"/>
      <c r="JU176" s="13"/>
      <c r="JV176" s="11"/>
      <c r="JW176" s="11"/>
      <c r="JX176" s="13"/>
      <c r="JY176" s="11"/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  <c r="LH176" s="11"/>
      <c r="LI176" s="13"/>
      <c r="LJ176" s="11"/>
      <c r="LK176" s="11"/>
      <c r="LL176" s="13"/>
      <c r="LM176" s="11"/>
      <c r="LN176" s="12"/>
      <c r="LO176" s="12"/>
      <c r="LP176" s="11"/>
      <c r="LQ176" s="13"/>
      <c r="LR176" s="11"/>
      <c r="LS176" s="11"/>
      <c r="LT176" s="13"/>
      <c r="LU176" s="11"/>
      <c r="LV176" s="12"/>
      <c r="LW176" s="12"/>
    </row>
    <row r="177">
      <c r="A177" s="10" t="s">
        <v>168</v>
      </c>
      <c r="B177" s="10" t="s">
        <v>111</v>
      </c>
      <c r="C177" s="10" t="s">
        <v>169</v>
      </c>
      <c r="D177" s="11">
        <v>96</v>
      </c>
      <c r="E177" s="11">
        <f>=ROUNDDOWN(1.06666666666667,0)</f>
      </c>
      <c r="F177" s="11">
        <v>3000</v>
      </c>
      <c r="G177" s="12"/>
      <c r="H177" s="11"/>
      <c r="I177" s="11">
        <f>=ROUNDDOWN({0},0)</f>
      </c>
      <c r="J177" s="11"/>
      <c r="K177" s="12"/>
      <c r="L177" s="11">
        <v>834</v>
      </c>
      <c r="M177" s="13">
        <v>26313.95</v>
      </c>
      <c r="N177" s="11">
        <v>4</v>
      </c>
      <c r="O177" s="14">
        <v>6578.49</v>
      </c>
      <c r="P177" s="11"/>
      <c r="Q177" s="13"/>
      <c r="R177" s="11"/>
      <c r="S177" s="14"/>
      <c r="T177" s="12"/>
      <c r="U177" s="12"/>
      <c r="V177" s="12"/>
      <c r="W177" s="12"/>
      <c r="X177" s="11">
        <v>57</v>
      </c>
      <c r="Y177" s="13">
        <v>1581.16</v>
      </c>
      <c r="Z177" s="11">
        <v>4</v>
      </c>
      <c r="AA177" s="11"/>
      <c r="AB177" s="13"/>
      <c r="AC177" s="11"/>
      <c r="AD177" s="12"/>
      <c r="AE177" s="12"/>
      <c r="AF177" s="11">
        <v>1</v>
      </c>
      <c r="AG177" s="13">
        <v>21.24</v>
      </c>
      <c r="AH177" s="11">
        <v>4</v>
      </c>
      <c r="AI177" s="11"/>
      <c r="AJ177" s="13"/>
      <c r="AK177" s="11"/>
      <c r="AL177" s="12"/>
      <c r="AM177" s="12"/>
      <c r="AN177" s="11">
        <v>571</v>
      </c>
      <c r="AO177" s="13">
        <v>16409.04</v>
      </c>
      <c r="AP177" s="11">
        <v>4</v>
      </c>
      <c r="AQ177" s="11"/>
      <c r="AR177" s="13"/>
      <c r="AS177" s="11"/>
      <c r="AT177" s="12"/>
      <c r="AU177" s="12"/>
      <c r="AV177" s="11">
        <v>12</v>
      </c>
      <c r="AW177" s="13">
        <v>312.86</v>
      </c>
      <c r="AX177" s="11">
        <v>4</v>
      </c>
      <c r="AY177" s="11"/>
      <c r="AZ177" s="13"/>
      <c r="BA177" s="11"/>
      <c r="BB177" s="12"/>
      <c r="BC177" s="12"/>
      <c r="BD177" s="11">
        <v>3</v>
      </c>
      <c r="BE177" s="13">
        <v>80.42</v>
      </c>
      <c r="BF177" s="11">
        <v>4</v>
      </c>
      <c r="BG177" s="11"/>
      <c r="BH177" s="13"/>
      <c r="BI177" s="11"/>
      <c r="BJ177" s="12"/>
      <c r="BK177" s="12"/>
      <c r="BL177" s="11">
        <v>2</v>
      </c>
      <c r="BM177" s="13">
        <v>45.36</v>
      </c>
      <c r="BN177" s="11">
        <v>4</v>
      </c>
      <c r="BO177" s="11"/>
      <c r="BP177" s="13"/>
      <c r="BQ177" s="11"/>
      <c r="BR177" s="12"/>
      <c r="BS177" s="12"/>
      <c r="BT177" s="11">
        <v>78</v>
      </c>
      <c r="BU177" s="13">
        <v>2115.03</v>
      </c>
      <c r="BV177" s="11">
        <v>4</v>
      </c>
      <c r="BW177" s="11"/>
      <c r="BX177" s="13"/>
      <c r="BY177" s="11"/>
      <c r="BZ177" s="12"/>
      <c r="CA177" s="12"/>
      <c r="CB177" s="11"/>
      <c r="CC177" s="13"/>
      <c r="CD177" s="11">
        <v>4</v>
      </c>
      <c r="CE177" s="11"/>
      <c r="CF177" s="13"/>
      <c r="CG177" s="11"/>
      <c r="CH177" s="12"/>
      <c r="CI177" s="12"/>
      <c r="CJ177" s="11">
        <v>89</v>
      </c>
      <c r="CK177" s="13">
        <v>5151.55</v>
      </c>
      <c r="CL177" s="11">
        <v>4</v>
      </c>
      <c r="CM177" s="11"/>
      <c r="CN177" s="13"/>
      <c r="CO177" s="11"/>
      <c r="CP177" s="12"/>
      <c r="CQ177" s="12"/>
      <c r="CR177" s="11"/>
      <c r="CS177" s="13"/>
      <c r="CT177" s="11"/>
      <c r="CU177" s="11"/>
      <c r="CV177" s="13"/>
      <c r="CW177" s="11"/>
      <c r="CX177" s="12"/>
      <c r="CY177" s="12"/>
      <c r="CZ177" s="11"/>
      <c r="DA177" s="13"/>
      <c r="DB177" s="11"/>
      <c r="DC177" s="11"/>
      <c r="DD177" s="13"/>
      <c r="DE177" s="11"/>
      <c r="DF177" s="12"/>
      <c r="DG177" s="12"/>
      <c r="DH177" s="11"/>
      <c r="DI177" s="13"/>
      <c r="DJ177" s="11"/>
      <c r="DK177" s="11"/>
      <c r="DL177" s="13"/>
      <c r="DM177" s="11"/>
      <c r="DN177" s="12"/>
      <c r="DO177" s="12"/>
      <c r="DP177" s="11">
        <v>21</v>
      </c>
      <c r="DQ177" s="13">
        <v>597.29</v>
      </c>
      <c r="DR177" s="11">
        <v>4</v>
      </c>
      <c r="DS177" s="11"/>
      <c r="DT177" s="13"/>
      <c r="DU177" s="11"/>
      <c r="DV177" s="12"/>
      <c r="DW177" s="12"/>
      <c r="DX177" s="11"/>
      <c r="DY177" s="13"/>
      <c r="DZ177" s="11">
        <v>4</v>
      </c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>
        <v>4</v>
      </c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/>
      <c r="GM177" s="11"/>
      <c r="GN177" s="13"/>
      <c r="GO177" s="11"/>
      <c r="GP177" s="12"/>
      <c r="GQ177" s="12"/>
      <c r="GR177" s="11"/>
      <c r="GS177" s="13"/>
      <c r="GT177" s="11"/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/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/>
      <c r="JW177" s="11"/>
      <c r="JX177" s="13"/>
      <c r="JY177" s="11"/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  <c r="LH177" s="11"/>
      <c r="LI177" s="13"/>
      <c r="LJ177" s="11"/>
      <c r="LK177" s="11"/>
      <c r="LL177" s="13"/>
      <c r="LM177" s="11"/>
      <c r="LN177" s="12"/>
      <c r="LO177" s="12"/>
      <c r="LP177" s="11"/>
      <c r="LQ177" s="13"/>
      <c r="LR177" s="11"/>
      <c r="LS177" s="11"/>
      <c r="LT177" s="13"/>
      <c r="LU177" s="11"/>
      <c r="LV177" s="12"/>
      <c r="LW177" s="12"/>
    </row>
    <row r="178">
      <c r="A178" s="10" t="s">
        <v>168</v>
      </c>
      <c r="B178" s="10" t="s">
        <v>112</v>
      </c>
      <c r="C178" s="10" t="s">
        <v>77</v>
      </c>
      <c r="D178" s="11">
        <v>5386</v>
      </c>
      <c r="E178" s="11">
        <f>=ROUNDDOWN({0},0)</f>
      </c>
      <c r="F178" s="11">
        <v>3000</v>
      </c>
      <c r="G178" s="12"/>
      <c r="H178" s="11"/>
      <c r="I178" s="11">
        <f>=ROUNDDOWN({0},0)</f>
      </c>
      <c r="J178" s="11"/>
      <c r="K178" s="12"/>
      <c r="L178" s="11">
        <v>1009</v>
      </c>
      <c r="M178" s="13">
        <v>33816.76</v>
      </c>
      <c r="N178" s="11">
        <v>16</v>
      </c>
      <c r="O178" s="14">
        <v>2113.55</v>
      </c>
      <c r="P178" s="11"/>
      <c r="Q178" s="13"/>
      <c r="R178" s="11"/>
      <c r="S178" s="14"/>
      <c r="T178" s="12"/>
      <c r="U178" s="12"/>
      <c r="V178" s="12"/>
      <c r="W178" s="12"/>
      <c r="X178" s="11">
        <v>102</v>
      </c>
      <c r="Y178" s="13">
        <v>3574.2</v>
      </c>
      <c r="Z178" s="11">
        <v>16</v>
      </c>
      <c r="AA178" s="11"/>
      <c r="AB178" s="13"/>
      <c r="AC178" s="11"/>
      <c r="AD178" s="12"/>
      <c r="AE178" s="12"/>
      <c r="AF178" s="11">
        <v>1</v>
      </c>
      <c r="AG178" s="13">
        <v>21.24</v>
      </c>
      <c r="AH178" s="11">
        <v>16</v>
      </c>
      <c r="AI178" s="11"/>
      <c r="AJ178" s="13"/>
      <c r="AK178" s="11"/>
      <c r="AL178" s="12"/>
      <c r="AM178" s="12"/>
      <c r="AN178" s="11">
        <v>590</v>
      </c>
      <c r="AO178" s="13">
        <v>17262.08</v>
      </c>
      <c r="AP178" s="11">
        <v>16</v>
      </c>
      <c r="AQ178" s="11"/>
      <c r="AR178" s="13"/>
      <c r="AS178" s="11"/>
      <c r="AT178" s="12"/>
      <c r="AU178" s="12"/>
      <c r="AV178" s="11">
        <v>95</v>
      </c>
      <c r="AW178" s="13">
        <v>3782.46</v>
      </c>
      <c r="AX178" s="11">
        <v>16</v>
      </c>
      <c r="AY178" s="11"/>
      <c r="AZ178" s="13"/>
      <c r="BA178" s="11"/>
      <c r="BB178" s="12"/>
      <c r="BC178" s="12"/>
      <c r="BD178" s="11">
        <v>4</v>
      </c>
      <c r="BE178" s="13">
        <v>122.41</v>
      </c>
      <c r="BF178" s="11">
        <v>16</v>
      </c>
      <c r="BG178" s="11"/>
      <c r="BH178" s="13"/>
      <c r="BI178" s="11"/>
      <c r="BJ178" s="12"/>
      <c r="BK178" s="12"/>
      <c r="BL178" s="11">
        <v>10</v>
      </c>
      <c r="BM178" s="13">
        <v>376.06</v>
      </c>
      <c r="BN178" s="11">
        <v>16</v>
      </c>
      <c r="BO178" s="11"/>
      <c r="BP178" s="13"/>
      <c r="BQ178" s="11"/>
      <c r="BR178" s="12"/>
      <c r="BS178" s="12"/>
      <c r="BT178" s="11">
        <v>80</v>
      </c>
      <c r="BU178" s="13">
        <v>2228.34</v>
      </c>
      <c r="BV178" s="11">
        <v>16</v>
      </c>
      <c r="BW178" s="11"/>
      <c r="BX178" s="13"/>
      <c r="BY178" s="11"/>
      <c r="BZ178" s="12"/>
      <c r="CA178" s="12"/>
      <c r="CB178" s="11"/>
      <c r="CC178" s="13"/>
      <c r="CD178" s="11">
        <v>4</v>
      </c>
      <c r="CE178" s="11"/>
      <c r="CF178" s="13"/>
      <c r="CG178" s="11"/>
      <c r="CH178" s="12"/>
      <c r="CI178" s="12"/>
      <c r="CJ178" s="11">
        <v>89</v>
      </c>
      <c r="CK178" s="13">
        <v>5151.55</v>
      </c>
      <c r="CL178" s="11">
        <v>16</v>
      </c>
      <c r="CM178" s="11"/>
      <c r="CN178" s="13"/>
      <c r="CO178" s="11"/>
      <c r="CP178" s="12"/>
      <c r="CQ178" s="12"/>
      <c r="CR178" s="11"/>
      <c r="CS178" s="13"/>
      <c r="CT178" s="11"/>
      <c r="CU178" s="11"/>
      <c r="CV178" s="13"/>
      <c r="CW178" s="11"/>
      <c r="CX178" s="12"/>
      <c r="CY178" s="12"/>
      <c r="CZ178" s="11"/>
      <c r="DA178" s="13"/>
      <c r="DB178" s="11"/>
      <c r="DC178" s="11"/>
      <c r="DD178" s="13"/>
      <c r="DE178" s="11"/>
      <c r="DF178" s="12"/>
      <c r="DG178" s="12"/>
      <c r="DH178" s="11"/>
      <c r="DI178" s="13"/>
      <c r="DJ178" s="11"/>
      <c r="DK178" s="11"/>
      <c r="DL178" s="13"/>
      <c r="DM178" s="11"/>
      <c r="DN178" s="12"/>
      <c r="DO178" s="12"/>
      <c r="DP178" s="11">
        <v>34</v>
      </c>
      <c r="DQ178" s="13">
        <v>1148.44</v>
      </c>
      <c r="DR178" s="11">
        <v>16</v>
      </c>
      <c r="DS178" s="11"/>
      <c r="DT178" s="13"/>
      <c r="DU178" s="11"/>
      <c r="DV178" s="12"/>
      <c r="DW178" s="12"/>
      <c r="DX178" s="11">
        <v>3</v>
      </c>
      <c r="DY178" s="13">
        <v>125.98</v>
      </c>
      <c r="DZ178" s="11">
        <v>16</v>
      </c>
      <c r="EA178" s="11"/>
      <c r="EB178" s="13"/>
      <c r="EC178" s="11"/>
      <c r="ED178" s="12"/>
      <c r="EE178" s="12"/>
      <c r="EF178" s="11"/>
      <c r="EG178" s="13"/>
      <c r="EH178" s="11"/>
      <c r="EI178" s="11"/>
      <c r="EJ178" s="13"/>
      <c r="EK178" s="11"/>
      <c r="EL178" s="12"/>
      <c r="EM178" s="12"/>
      <c r="EN178" s="11">
        <v>1</v>
      </c>
      <c r="EO178" s="13">
        <v>24</v>
      </c>
      <c r="EP178" s="11">
        <v>16</v>
      </c>
      <c r="EQ178" s="11"/>
      <c r="ER178" s="13"/>
      <c r="ES178" s="11"/>
      <c r="ET178" s="12"/>
      <c r="EU178" s="12"/>
      <c r="EV178" s="11"/>
      <c r="EW178" s="13"/>
      <c r="EX178" s="11"/>
      <c r="EY178" s="11"/>
      <c r="EZ178" s="13"/>
      <c r="FA178" s="11"/>
      <c r="FB178" s="12"/>
      <c r="FC178" s="12"/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/>
      <c r="FO178" s="11"/>
      <c r="FP178" s="13"/>
      <c r="FQ178" s="11"/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/>
      <c r="GK178" s="13"/>
      <c r="GL178" s="11"/>
      <c r="GM178" s="11"/>
      <c r="GN178" s="13"/>
      <c r="GO178" s="11"/>
      <c r="GP178" s="12"/>
      <c r="GQ178" s="12"/>
      <c r="GR178" s="11"/>
      <c r="GS178" s="13"/>
      <c r="GT178" s="11"/>
      <c r="GU178" s="11"/>
      <c r="GV178" s="13"/>
      <c r="GW178" s="11"/>
      <c r="GX178" s="12"/>
      <c r="GY178" s="12"/>
      <c r="GZ178" s="11"/>
      <c r="HA178" s="13"/>
      <c r="HB178" s="11"/>
      <c r="HC178" s="11"/>
      <c r="HD178" s="13"/>
      <c r="HE178" s="11"/>
      <c r="HF178" s="12"/>
      <c r="HG178" s="12"/>
      <c r="HH178" s="11"/>
      <c r="HI178" s="13"/>
      <c r="HJ178" s="11"/>
      <c r="HK178" s="11"/>
      <c r="HL178" s="13"/>
      <c r="HM178" s="11"/>
      <c r="HN178" s="12"/>
      <c r="HO178" s="12"/>
      <c r="HP178" s="11"/>
      <c r="HQ178" s="13"/>
      <c r="HR178" s="11"/>
      <c r="HS178" s="11"/>
      <c r="HT178" s="13"/>
      <c r="HU178" s="11"/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/>
      <c r="IG178" s="13"/>
      <c r="IH178" s="11"/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/>
      <c r="IW178" s="13"/>
      <c r="IX178" s="11"/>
      <c r="IY178" s="11"/>
      <c r="IZ178" s="13"/>
      <c r="JA178" s="11"/>
      <c r="JB178" s="12"/>
      <c r="JC178" s="12"/>
      <c r="JD178" s="11"/>
      <c r="JE178" s="13"/>
      <c r="JF178" s="11"/>
      <c r="JG178" s="11"/>
      <c r="JH178" s="13"/>
      <c r="JI178" s="11"/>
      <c r="JJ178" s="12"/>
      <c r="JK178" s="12"/>
      <c r="JL178" s="11"/>
      <c r="JM178" s="13"/>
      <c r="JN178" s="11"/>
      <c r="JO178" s="11"/>
      <c r="JP178" s="13"/>
      <c r="JQ178" s="11"/>
      <c r="JR178" s="12"/>
      <c r="JS178" s="12"/>
      <c r="JT178" s="11"/>
      <c r="JU178" s="13"/>
      <c r="JV178" s="11"/>
      <c r="JW178" s="11"/>
      <c r="JX178" s="13"/>
      <c r="JY178" s="11"/>
      <c r="JZ178" s="12"/>
      <c r="KA178" s="12"/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/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  <c r="LH178" s="11"/>
      <c r="LI178" s="13"/>
      <c r="LJ178" s="11"/>
      <c r="LK178" s="11"/>
      <c r="LL178" s="13"/>
      <c r="LM178" s="11"/>
      <c r="LN178" s="12"/>
      <c r="LO178" s="12"/>
      <c r="LP178" s="11"/>
      <c r="LQ178" s="13"/>
      <c r="LR178" s="11"/>
      <c r="LS178" s="11"/>
      <c r="LT178" s="13"/>
      <c r="LU178" s="11"/>
      <c r="LV178" s="12"/>
      <c r="LW178" s="12"/>
    </row>
    <row r="179">
      <c r="A179" s="10" t="s">
        <v>168</v>
      </c>
      <c r="B179" s="10" t="s">
        <v>113</v>
      </c>
      <c r="C179" s="10" t="s">
        <v>172</v>
      </c>
      <c r="D179" s="11">
        <v>33055</v>
      </c>
      <c r="E179" s="11">
        <f>=ROUNDDOWN(16.3153998025666,0)</f>
      </c>
      <c r="F179" s="11">
        <v>47431</v>
      </c>
      <c r="G179" s="12">
        <v>0.9979</v>
      </c>
      <c r="H179" s="11"/>
      <c r="I179" s="11">
        <f>=ROUNDDOWN({0},0)</f>
      </c>
      <c r="J179" s="11"/>
      <c r="K179" s="12"/>
      <c r="L179" s="11">
        <v>25191</v>
      </c>
      <c r="M179" s="13">
        <v>593779.39</v>
      </c>
      <c r="N179" s="11">
        <v>71</v>
      </c>
      <c r="O179" s="14">
        <v>8363.09</v>
      </c>
      <c r="P179" s="11"/>
      <c r="Q179" s="13"/>
      <c r="R179" s="11"/>
      <c r="S179" s="14"/>
      <c r="T179" s="12"/>
      <c r="U179" s="12"/>
      <c r="V179" s="12"/>
      <c r="W179" s="12"/>
      <c r="X179" s="11">
        <v>12557</v>
      </c>
      <c r="Y179" s="13">
        <v>298198.17</v>
      </c>
      <c r="Z179" s="11">
        <v>71</v>
      </c>
      <c r="AA179" s="11"/>
      <c r="AB179" s="13"/>
      <c r="AC179" s="11"/>
      <c r="AD179" s="12"/>
      <c r="AE179" s="12"/>
      <c r="AF179" s="11">
        <v>2021</v>
      </c>
      <c r="AG179" s="13">
        <v>44119.06</v>
      </c>
      <c r="AH179" s="11">
        <v>68</v>
      </c>
      <c r="AI179" s="11"/>
      <c r="AJ179" s="13"/>
      <c r="AK179" s="11"/>
      <c r="AL179" s="12"/>
      <c r="AM179" s="12"/>
      <c r="AN179" s="11">
        <v>3709</v>
      </c>
      <c r="AO179" s="13">
        <v>78211</v>
      </c>
      <c r="AP179" s="11">
        <v>68</v>
      </c>
      <c r="AQ179" s="11"/>
      <c r="AR179" s="13"/>
      <c r="AS179" s="11"/>
      <c r="AT179" s="12"/>
      <c r="AU179" s="12"/>
      <c r="AV179" s="11">
        <v>1216</v>
      </c>
      <c r="AW179" s="13">
        <v>30104.68</v>
      </c>
      <c r="AX179" s="11">
        <v>60</v>
      </c>
      <c r="AY179" s="11"/>
      <c r="AZ179" s="13"/>
      <c r="BA179" s="11"/>
      <c r="BB179" s="12"/>
      <c r="BC179" s="12"/>
      <c r="BD179" s="11">
        <v>3407</v>
      </c>
      <c r="BE179" s="13">
        <v>85914.05</v>
      </c>
      <c r="BF179" s="11">
        <v>68</v>
      </c>
      <c r="BG179" s="11"/>
      <c r="BH179" s="13"/>
      <c r="BI179" s="11"/>
      <c r="BJ179" s="12"/>
      <c r="BK179" s="12"/>
      <c r="BL179" s="11">
        <v>682</v>
      </c>
      <c r="BM179" s="13">
        <v>17954.31</v>
      </c>
      <c r="BN179" s="11">
        <v>68</v>
      </c>
      <c r="BO179" s="11"/>
      <c r="BP179" s="13"/>
      <c r="BQ179" s="11"/>
      <c r="BR179" s="12"/>
      <c r="BS179" s="12"/>
      <c r="BT179" s="11">
        <v>227</v>
      </c>
      <c r="BU179" s="13">
        <v>5860.37</v>
      </c>
      <c r="BV179" s="11">
        <v>68</v>
      </c>
      <c r="BW179" s="11"/>
      <c r="BX179" s="13"/>
      <c r="BY179" s="11"/>
      <c r="BZ179" s="12"/>
      <c r="CA179" s="12"/>
      <c r="CB179" s="11">
        <v>872</v>
      </c>
      <c r="CC179" s="13">
        <v>18228.73</v>
      </c>
      <c r="CD179" s="11">
        <v>68</v>
      </c>
      <c r="CE179" s="11"/>
      <c r="CF179" s="13"/>
      <c r="CG179" s="11"/>
      <c r="CH179" s="12"/>
      <c r="CI179" s="12"/>
      <c r="CJ179" s="11">
        <v>84</v>
      </c>
      <c r="CK179" s="13">
        <v>3308.88</v>
      </c>
      <c r="CL179" s="11">
        <v>68</v>
      </c>
      <c r="CM179" s="11"/>
      <c r="CN179" s="13"/>
      <c r="CO179" s="11"/>
      <c r="CP179" s="12"/>
      <c r="CQ179" s="12"/>
      <c r="CR179" s="11"/>
      <c r="CS179" s="13"/>
      <c r="CT179" s="11"/>
      <c r="CU179" s="11"/>
      <c r="CV179" s="13"/>
      <c r="CW179" s="11"/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/>
      <c r="DI179" s="13"/>
      <c r="DJ179" s="11"/>
      <c r="DK179" s="11"/>
      <c r="DL179" s="13"/>
      <c r="DM179" s="11"/>
      <c r="DN179" s="12"/>
      <c r="DO179" s="12"/>
      <c r="DP179" s="11">
        <v>185</v>
      </c>
      <c r="DQ179" s="13">
        <v>4872.17</v>
      </c>
      <c r="DR179" s="11">
        <v>62</v>
      </c>
      <c r="DS179" s="11"/>
      <c r="DT179" s="13"/>
      <c r="DU179" s="11"/>
      <c r="DV179" s="12"/>
      <c r="DW179" s="12"/>
      <c r="DX179" s="11">
        <v>46</v>
      </c>
      <c r="DY179" s="13">
        <v>1040.86</v>
      </c>
      <c r="DZ179" s="11">
        <v>24</v>
      </c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>
        <v>64</v>
      </c>
      <c r="EO179" s="13">
        <v>3151.86</v>
      </c>
      <c r="EP179" s="11">
        <v>68</v>
      </c>
      <c r="EQ179" s="11"/>
      <c r="ER179" s="13"/>
      <c r="ES179" s="11"/>
      <c r="ET179" s="12"/>
      <c r="EU179" s="12"/>
      <c r="EV179" s="11">
        <v>73</v>
      </c>
      <c r="EW179" s="13">
        <v>1661.87</v>
      </c>
      <c r="EX179" s="11">
        <v>20</v>
      </c>
      <c r="EY179" s="11"/>
      <c r="EZ179" s="13"/>
      <c r="FA179" s="11"/>
      <c r="FB179" s="12"/>
      <c r="FC179" s="12"/>
      <c r="FD179" s="11">
        <v>24</v>
      </c>
      <c r="FE179" s="13">
        <v>545.22</v>
      </c>
      <c r="FF179" s="11">
        <v>27</v>
      </c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>
        <v>65</v>
      </c>
      <c r="GU179" s="11"/>
      <c r="GV179" s="13"/>
      <c r="GW179" s="11"/>
      <c r="GX179" s="12"/>
      <c r="GY179" s="12"/>
      <c r="GZ179" s="11"/>
      <c r="HA179" s="13"/>
      <c r="HB179" s="11">
        <v>6</v>
      </c>
      <c r="HC179" s="11"/>
      <c r="HD179" s="13"/>
      <c r="HE179" s="11"/>
      <c r="HF179" s="12"/>
      <c r="HG179" s="12"/>
      <c r="HH179" s="11">
        <v>6</v>
      </c>
      <c r="HI179" s="13">
        <v>121.06</v>
      </c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>
        <v>11</v>
      </c>
      <c r="HY179" s="13">
        <v>290.2</v>
      </c>
      <c r="HZ179" s="11">
        <v>30</v>
      </c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>
        <v>7</v>
      </c>
      <c r="IW179" s="13">
        <v>196.9</v>
      </c>
      <c r="IX179" s="11">
        <v>25</v>
      </c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/>
      <c r="JP179" s="13"/>
      <c r="JQ179" s="11"/>
      <c r="JR179" s="12"/>
      <c r="JS179" s="12"/>
      <c r="JT179" s="11"/>
      <c r="JU179" s="13"/>
      <c r="JV179" s="11">
        <v>23</v>
      </c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  <c r="LH179" s="11"/>
      <c r="LI179" s="13"/>
      <c r="LJ179" s="11"/>
      <c r="LK179" s="11"/>
      <c r="LL179" s="13"/>
      <c r="LM179" s="11"/>
      <c r="LN179" s="12"/>
      <c r="LO179" s="12"/>
      <c r="LP179" s="11"/>
      <c r="LQ179" s="13"/>
      <c r="LR179" s="11"/>
      <c r="LS179" s="11"/>
      <c r="LT179" s="13"/>
      <c r="LU179" s="11"/>
      <c r="LV179" s="12"/>
      <c r="LW179" s="12"/>
    </row>
    <row r="180">
      <c r="A180" s="10" t="s">
        <v>168</v>
      </c>
      <c r="B180" s="10" t="s">
        <v>113</v>
      </c>
      <c r="C180" s="10" t="s">
        <v>74</v>
      </c>
      <c r="D180" s="11">
        <v>3868</v>
      </c>
      <c r="E180" s="11">
        <f>=ROUNDDOWN(15.7427757427757,0)</f>
      </c>
      <c r="F180" s="11">
        <v>4262</v>
      </c>
      <c r="G180" s="12">
        <v>0.9587</v>
      </c>
      <c r="H180" s="11"/>
      <c r="I180" s="11">
        <f>=ROUNDDOWN({0},0)</f>
      </c>
      <c r="J180" s="11"/>
      <c r="K180" s="12"/>
      <c r="L180" s="11">
        <v>2325</v>
      </c>
      <c r="M180" s="13">
        <v>101532.6</v>
      </c>
      <c r="N180" s="11">
        <v>18</v>
      </c>
      <c r="O180" s="14">
        <v>5640.7</v>
      </c>
      <c r="P180" s="11"/>
      <c r="Q180" s="13"/>
      <c r="R180" s="11"/>
      <c r="S180" s="14"/>
      <c r="T180" s="12"/>
      <c r="U180" s="12"/>
      <c r="V180" s="12"/>
      <c r="W180" s="12"/>
      <c r="X180" s="11">
        <v>314</v>
      </c>
      <c r="Y180" s="13">
        <v>11659.72</v>
      </c>
      <c r="Z180" s="11">
        <v>15</v>
      </c>
      <c r="AA180" s="11"/>
      <c r="AB180" s="13"/>
      <c r="AC180" s="11"/>
      <c r="AD180" s="12"/>
      <c r="AE180" s="12"/>
      <c r="AF180" s="11">
        <v>61</v>
      </c>
      <c r="AG180" s="13">
        <v>2231.32</v>
      </c>
      <c r="AH180" s="11">
        <v>16</v>
      </c>
      <c r="AI180" s="11"/>
      <c r="AJ180" s="13"/>
      <c r="AK180" s="11"/>
      <c r="AL180" s="12"/>
      <c r="AM180" s="12"/>
      <c r="AN180" s="11">
        <v>661</v>
      </c>
      <c r="AO180" s="13">
        <v>31648.86</v>
      </c>
      <c r="AP180" s="11">
        <v>16</v>
      </c>
      <c r="AQ180" s="11"/>
      <c r="AR180" s="13"/>
      <c r="AS180" s="11"/>
      <c r="AT180" s="12"/>
      <c r="AU180" s="12"/>
      <c r="AV180" s="11">
        <v>273</v>
      </c>
      <c r="AW180" s="13">
        <v>13238.69</v>
      </c>
      <c r="AX180" s="11">
        <v>11</v>
      </c>
      <c r="AY180" s="11"/>
      <c r="AZ180" s="13"/>
      <c r="BA180" s="11"/>
      <c r="BB180" s="12"/>
      <c r="BC180" s="12"/>
      <c r="BD180" s="11">
        <v>364</v>
      </c>
      <c r="BE180" s="13">
        <v>15406.27</v>
      </c>
      <c r="BF180" s="11">
        <v>16</v>
      </c>
      <c r="BG180" s="11"/>
      <c r="BH180" s="13"/>
      <c r="BI180" s="11"/>
      <c r="BJ180" s="12"/>
      <c r="BK180" s="12"/>
      <c r="BL180" s="11">
        <v>101</v>
      </c>
      <c r="BM180" s="13">
        <v>5441.21</v>
      </c>
      <c r="BN180" s="11">
        <v>18</v>
      </c>
      <c r="BO180" s="11"/>
      <c r="BP180" s="13"/>
      <c r="BQ180" s="11"/>
      <c r="BR180" s="12"/>
      <c r="BS180" s="12"/>
      <c r="BT180" s="11">
        <v>373</v>
      </c>
      <c r="BU180" s="13">
        <v>14487.3</v>
      </c>
      <c r="BV180" s="11">
        <v>16</v>
      </c>
      <c r="BW180" s="11"/>
      <c r="BX180" s="13"/>
      <c r="BY180" s="11"/>
      <c r="BZ180" s="12"/>
      <c r="CA180" s="12"/>
      <c r="CB180" s="11">
        <v>57</v>
      </c>
      <c r="CC180" s="13">
        <v>2038.38</v>
      </c>
      <c r="CD180" s="11">
        <v>16</v>
      </c>
      <c r="CE180" s="11"/>
      <c r="CF180" s="13"/>
      <c r="CG180" s="11"/>
      <c r="CH180" s="12"/>
      <c r="CI180" s="12"/>
      <c r="CJ180" s="11">
        <v>4</v>
      </c>
      <c r="CK180" s="13">
        <v>315.77</v>
      </c>
      <c r="CL180" s="11">
        <v>16</v>
      </c>
      <c r="CM180" s="11"/>
      <c r="CN180" s="13"/>
      <c r="CO180" s="11"/>
      <c r="CP180" s="12"/>
      <c r="CQ180" s="12"/>
      <c r="CR180" s="11"/>
      <c r="CS180" s="13"/>
      <c r="CT180" s="11"/>
      <c r="CU180" s="11"/>
      <c r="CV180" s="13"/>
      <c r="CW180" s="11"/>
      <c r="CX180" s="12"/>
      <c r="CY180" s="12"/>
      <c r="CZ180" s="11"/>
      <c r="DA180" s="13"/>
      <c r="DB180" s="11"/>
      <c r="DC180" s="11"/>
      <c r="DD180" s="13"/>
      <c r="DE180" s="11"/>
      <c r="DF180" s="12"/>
      <c r="DG180" s="12"/>
      <c r="DH180" s="11"/>
      <c r="DI180" s="13"/>
      <c r="DJ180" s="11"/>
      <c r="DK180" s="11"/>
      <c r="DL180" s="13"/>
      <c r="DM180" s="11"/>
      <c r="DN180" s="12"/>
      <c r="DO180" s="12"/>
      <c r="DP180" s="11">
        <v>69</v>
      </c>
      <c r="DQ180" s="13">
        <v>2780.29</v>
      </c>
      <c r="DR180" s="11">
        <v>16</v>
      </c>
      <c r="DS180" s="11"/>
      <c r="DT180" s="13"/>
      <c r="DU180" s="11"/>
      <c r="DV180" s="12"/>
      <c r="DW180" s="12"/>
      <c r="DX180" s="11">
        <v>20</v>
      </c>
      <c r="DY180" s="13">
        <v>1055.3</v>
      </c>
      <c r="DZ180" s="11">
        <v>5</v>
      </c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>
        <v>1</v>
      </c>
      <c r="EO180" s="13">
        <v>41.99</v>
      </c>
      <c r="EP180" s="11">
        <v>18</v>
      </c>
      <c r="EQ180" s="11"/>
      <c r="ER180" s="13"/>
      <c r="ES180" s="11"/>
      <c r="ET180" s="12"/>
      <c r="EU180" s="12"/>
      <c r="EV180" s="11">
        <v>9</v>
      </c>
      <c r="EW180" s="13">
        <v>377.91</v>
      </c>
      <c r="EX180" s="11">
        <v>2</v>
      </c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>
        <v>17</v>
      </c>
      <c r="FM180" s="13">
        <v>779.54</v>
      </c>
      <c r="FN180" s="11">
        <v>3</v>
      </c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>
        <v>1</v>
      </c>
      <c r="GS180" s="13">
        <v>30.05</v>
      </c>
      <c r="GT180" s="11">
        <v>3</v>
      </c>
      <c r="GU180" s="11"/>
      <c r="GV180" s="13"/>
      <c r="GW180" s="11"/>
      <c r="GX180" s="12"/>
      <c r="GY180" s="12"/>
      <c r="GZ180" s="11"/>
      <c r="HA180" s="13"/>
      <c r="HB180" s="11">
        <v>1</v>
      </c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/>
      <c r="JP180" s="13"/>
      <c r="JQ180" s="11"/>
      <c r="JR180" s="12"/>
      <c r="JS180" s="12"/>
      <c r="JT180" s="11"/>
      <c r="JU180" s="13"/>
      <c r="JV180" s="11">
        <v>2</v>
      </c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  <c r="LH180" s="11"/>
      <c r="LI180" s="13"/>
      <c r="LJ180" s="11"/>
      <c r="LK180" s="11"/>
      <c r="LL180" s="13"/>
      <c r="LM180" s="11"/>
      <c r="LN180" s="12"/>
      <c r="LO180" s="12"/>
      <c r="LP180" s="11"/>
      <c r="LQ180" s="13"/>
      <c r="LR180" s="11"/>
      <c r="LS180" s="11"/>
      <c r="LT180" s="13"/>
      <c r="LU180" s="11"/>
      <c r="LV180" s="12"/>
      <c r="LW180" s="12"/>
    </row>
    <row r="181">
      <c r="A181" s="10" t="s">
        <v>168</v>
      </c>
      <c r="B181" s="10" t="s">
        <v>113</v>
      </c>
      <c r="C181" s="10" t="s">
        <v>169</v>
      </c>
      <c r="D181" s="11">
        <v>15134</v>
      </c>
      <c r="E181" s="11">
        <f>=ROUNDDOWN(20.4873426289427,0)</f>
      </c>
      <c r="F181" s="11">
        <v>19381</v>
      </c>
      <c r="G181" s="12">
        <v>1</v>
      </c>
      <c r="H181" s="11"/>
      <c r="I181" s="11">
        <f>=ROUNDDOWN({0},0)</f>
      </c>
      <c r="J181" s="11"/>
      <c r="K181" s="12"/>
      <c r="L181" s="11">
        <v>9857</v>
      </c>
      <c r="M181" s="13">
        <v>223420.43</v>
      </c>
      <c r="N181" s="11">
        <v>12</v>
      </c>
      <c r="O181" s="14">
        <v>18618.37</v>
      </c>
      <c r="P181" s="11"/>
      <c r="Q181" s="13"/>
      <c r="R181" s="11"/>
      <c r="S181" s="14"/>
      <c r="T181" s="12"/>
      <c r="U181" s="12"/>
      <c r="V181" s="12"/>
      <c r="W181" s="12"/>
      <c r="X181" s="11">
        <v>549</v>
      </c>
      <c r="Y181" s="13">
        <v>13601.67</v>
      </c>
      <c r="Z181" s="11">
        <v>12</v>
      </c>
      <c r="AA181" s="11"/>
      <c r="AB181" s="13"/>
      <c r="AC181" s="11"/>
      <c r="AD181" s="12"/>
      <c r="AE181" s="12"/>
      <c r="AF181" s="11">
        <v>3034</v>
      </c>
      <c r="AG181" s="13">
        <v>64209.42</v>
      </c>
      <c r="AH181" s="11">
        <v>12</v>
      </c>
      <c r="AI181" s="11"/>
      <c r="AJ181" s="13"/>
      <c r="AK181" s="11"/>
      <c r="AL181" s="12"/>
      <c r="AM181" s="12"/>
      <c r="AN181" s="11">
        <v>1165</v>
      </c>
      <c r="AO181" s="13">
        <v>23986.08</v>
      </c>
      <c r="AP181" s="11">
        <v>12</v>
      </c>
      <c r="AQ181" s="11"/>
      <c r="AR181" s="13"/>
      <c r="AS181" s="11"/>
      <c r="AT181" s="12"/>
      <c r="AU181" s="12"/>
      <c r="AV181" s="11">
        <v>1036</v>
      </c>
      <c r="AW181" s="13">
        <v>19426.17</v>
      </c>
      <c r="AX181" s="11">
        <v>7</v>
      </c>
      <c r="AY181" s="11"/>
      <c r="AZ181" s="13"/>
      <c r="BA181" s="11"/>
      <c r="BB181" s="12"/>
      <c r="BC181" s="12"/>
      <c r="BD181" s="11">
        <v>395</v>
      </c>
      <c r="BE181" s="13">
        <v>9710.82</v>
      </c>
      <c r="BF181" s="11">
        <v>12</v>
      </c>
      <c r="BG181" s="11"/>
      <c r="BH181" s="13"/>
      <c r="BI181" s="11"/>
      <c r="BJ181" s="12"/>
      <c r="BK181" s="12"/>
      <c r="BL181" s="11">
        <v>657</v>
      </c>
      <c r="BM181" s="13">
        <v>17985.46</v>
      </c>
      <c r="BN181" s="11">
        <v>12</v>
      </c>
      <c r="BO181" s="11"/>
      <c r="BP181" s="13"/>
      <c r="BQ181" s="11"/>
      <c r="BR181" s="12"/>
      <c r="BS181" s="12"/>
      <c r="BT181" s="11">
        <v>198</v>
      </c>
      <c r="BU181" s="13">
        <v>5557.18</v>
      </c>
      <c r="BV181" s="11">
        <v>12</v>
      </c>
      <c r="BW181" s="11"/>
      <c r="BX181" s="13"/>
      <c r="BY181" s="11"/>
      <c r="BZ181" s="12"/>
      <c r="CA181" s="12"/>
      <c r="CB181" s="11">
        <v>820</v>
      </c>
      <c r="CC181" s="13">
        <v>21199.64</v>
      </c>
      <c r="CD181" s="11">
        <v>12</v>
      </c>
      <c r="CE181" s="11"/>
      <c r="CF181" s="13"/>
      <c r="CG181" s="11"/>
      <c r="CH181" s="12"/>
      <c r="CI181" s="12"/>
      <c r="CJ181" s="11">
        <v>109</v>
      </c>
      <c r="CK181" s="13">
        <v>3531.19</v>
      </c>
      <c r="CL181" s="11">
        <v>12</v>
      </c>
      <c r="CM181" s="11"/>
      <c r="CN181" s="13"/>
      <c r="CO181" s="11"/>
      <c r="CP181" s="12"/>
      <c r="CQ181" s="12"/>
      <c r="CR181" s="11"/>
      <c r="CS181" s="13"/>
      <c r="CT181" s="11"/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/>
      <c r="DI181" s="13"/>
      <c r="DJ181" s="11"/>
      <c r="DK181" s="11"/>
      <c r="DL181" s="13"/>
      <c r="DM181" s="11"/>
      <c r="DN181" s="12"/>
      <c r="DO181" s="12"/>
      <c r="DP181" s="11">
        <v>170</v>
      </c>
      <c r="DQ181" s="13">
        <v>4398.27</v>
      </c>
      <c r="DR181" s="11">
        <v>12</v>
      </c>
      <c r="DS181" s="11"/>
      <c r="DT181" s="13"/>
      <c r="DU181" s="11"/>
      <c r="DV181" s="12"/>
      <c r="DW181" s="12"/>
      <c r="DX181" s="11">
        <v>113</v>
      </c>
      <c r="DY181" s="13">
        <v>2409.74</v>
      </c>
      <c r="DZ181" s="11">
        <v>6</v>
      </c>
      <c r="EA181" s="11"/>
      <c r="EB181" s="13"/>
      <c r="EC181" s="11"/>
      <c r="ED181" s="12"/>
      <c r="EE181" s="12"/>
      <c r="EF181" s="11">
        <v>1189</v>
      </c>
      <c r="EG181" s="13">
        <v>26772.15</v>
      </c>
      <c r="EH181" s="11"/>
      <c r="EI181" s="11"/>
      <c r="EJ181" s="13"/>
      <c r="EK181" s="11"/>
      <c r="EL181" s="12"/>
      <c r="EM181" s="12"/>
      <c r="EN181" s="11">
        <v>1</v>
      </c>
      <c r="EO181" s="13">
        <v>18.99</v>
      </c>
      <c r="EP181" s="11">
        <v>12</v>
      </c>
      <c r="EQ181" s="11"/>
      <c r="ER181" s="13"/>
      <c r="ES181" s="11"/>
      <c r="ET181" s="12"/>
      <c r="EU181" s="12"/>
      <c r="EV181" s="11">
        <v>102</v>
      </c>
      <c r="EW181" s="13">
        <v>2173.16</v>
      </c>
      <c r="EX181" s="11">
        <v>5</v>
      </c>
      <c r="EY181" s="11"/>
      <c r="EZ181" s="13"/>
      <c r="FA181" s="11"/>
      <c r="FB181" s="12"/>
      <c r="FC181" s="12"/>
      <c r="FD181" s="11">
        <v>217</v>
      </c>
      <c r="FE181" s="13">
        <v>5659.26</v>
      </c>
      <c r="FF181" s="11">
        <v>12</v>
      </c>
      <c r="FG181" s="11"/>
      <c r="FH181" s="13"/>
      <c r="FI181" s="11"/>
      <c r="FJ181" s="12"/>
      <c r="FK181" s="12"/>
      <c r="FL181" s="11">
        <v>19</v>
      </c>
      <c r="FM181" s="13">
        <v>584.21</v>
      </c>
      <c r="FN181" s="11">
        <v>7</v>
      </c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/>
      <c r="GM181" s="11"/>
      <c r="GN181" s="13"/>
      <c r="GO181" s="11"/>
      <c r="GP181" s="12"/>
      <c r="GQ181" s="12"/>
      <c r="GR181" s="11">
        <v>2</v>
      </c>
      <c r="GS181" s="13">
        <v>55.07</v>
      </c>
      <c r="GT181" s="11">
        <v>12</v>
      </c>
      <c r="GU181" s="11"/>
      <c r="GV181" s="13"/>
      <c r="GW181" s="11"/>
      <c r="GX181" s="12"/>
      <c r="GY181" s="12"/>
      <c r="GZ181" s="11"/>
      <c r="HA181" s="13"/>
      <c r="HB181" s="11"/>
      <c r="HC181" s="11"/>
      <c r="HD181" s="13"/>
      <c r="HE181" s="11"/>
      <c r="HF181" s="12"/>
      <c r="HG181" s="12"/>
      <c r="HH181" s="11">
        <v>23</v>
      </c>
      <c r="HI181" s="13">
        <v>667.63</v>
      </c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>
        <v>42</v>
      </c>
      <c r="HY181" s="13">
        <v>1090.16</v>
      </c>
      <c r="HZ181" s="11">
        <v>6</v>
      </c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>
        <v>16</v>
      </c>
      <c r="IW181" s="13">
        <v>384.16</v>
      </c>
      <c r="IX181" s="11">
        <v>12</v>
      </c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>
        <v>6</v>
      </c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/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  <c r="LH181" s="11"/>
      <c r="LI181" s="13"/>
      <c r="LJ181" s="11"/>
      <c r="LK181" s="11"/>
      <c r="LL181" s="13"/>
      <c r="LM181" s="11"/>
      <c r="LN181" s="12"/>
      <c r="LO181" s="12"/>
      <c r="LP181" s="11"/>
      <c r="LQ181" s="13"/>
      <c r="LR181" s="11"/>
      <c r="LS181" s="11"/>
      <c r="LT181" s="13"/>
      <c r="LU181" s="11"/>
      <c r="LV181" s="12"/>
      <c r="LW181" s="12"/>
    </row>
    <row r="182">
      <c r="A182" s="10" t="s">
        <v>168</v>
      </c>
      <c r="B182" s="10" t="s">
        <v>113</v>
      </c>
      <c r="C182" s="10" t="s">
        <v>173</v>
      </c>
      <c r="D182" s="11">
        <v>356</v>
      </c>
      <c r="E182" s="11">
        <f>=ROUNDDOWN(9.12820512820513,0)</f>
      </c>
      <c r="F182" s="11">
        <v>1010</v>
      </c>
      <c r="G182" s="12">
        <v>1</v>
      </c>
      <c r="H182" s="11"/>
      <c r="I182" s="11">
        <f>=ROUNDDOWN({0},0)</f>
      </c>
      <c r="J182" s="11"/>
      <c r="K182" s="12"/>
      <c r="L182" s="11">
        <v>348</v>
      </c>
      <c r="M182" s="13">
        <v>5612.46</v>
      </c>
      <c r="N182" s="11">
        <v>4</v>
      </c>
      <c r="O182" s="14">
        <v>1403.12</v>
      </c>
      <c r="P182" s="11"/>
      <c r="Q182" s="13"/>
      <c r="R182" s="11"/>
      <c r="S182" s="14"/>
      <c r="T182" s="12"/>
      <c r="U182" s="12"/>
      <c r="V182" s="12"/>
      <c r="W182" s="12"/>
      <c r="X182" s="11">
        <v>148</v>
      </c>
      <c r="Y182" s="13">
        <v>2405</v>
      </c>
      <c r="Z182" s="11">
        <v>4</v>
      </c>
      <c r="AA182" s="11"/>
      <c r="AB182" s="13"/>
      <c r="AC182" s="11"/>
      <c r="AD182" s="12"/>
      <c r="AE182" s="12"/>
      <c r="AF182" s="11">
        <v>12</v>
      </c>
      <c r="AG182" s="13">
        <v>166.05</v>
      </c>
      <c r="AH182" s="11">
        <v>4</v>
      </c>
      <c r="AI182" s="11"/>
      <c r="AJ182" s="13"/>
      <c r="AK182" s="11"/>
      <c r="AL182" s="12"/>
      <c r="AM182" s="12"/>
      <c r="AN182" s="11">
        <v>95</v>
      </c>
      <c r="AO182" s="13">
        <v>1525.43</v>
      </c>
      <c r="AP182" s="11">
        <v>4</v>
      </c>
      <c r="AQ182" s="11"/>
      <c r="AR182" s="13"/>
      <c r="AS182" s="11"/>
      <c r="AT182" s="12"/>
      <c r="AU182" s="12"/>
      <c r="AV182" s="11">
        <v>12</v>
      </c>
      <c r="AW182" s="13">
        <v>184.28</v>
      </c>
      <c r="AX182" s="11">
        <v>4</v>
      </c>
      <c r="AY182" s="11"/>
      <c r="AZ182" s="13"/>
      <c r="BA182" s="11"/>
      <c r="BB182" s="12"/>
      <c r="BC182" s="12"/>
      <c r="BD182" s="11">
        <v>61</v>
      </c>
      <c r="BE182" s="13">
        <v>970.6</v>
      </c>
      <c r="BF182" s="11">
        <v>4</v>
      </c>
      <c r="BG182" s="11"/>
      <c r="BH182" s="13"/>
      <c r="BI182" s="11"/>
      <c r="BJ182" s="12"/>
      <c r="BK182" s="12"/>
      <c r="BL182" s="11">
        <v>8</v>
      </c>
      <c r="BM182" s="13">
        <v>126.64</v>
      </c>
      <c r="BN182" s="11">
        <v>4</v>
      </c>
      <c r="BO182" s="11"/>
      <c r="BP182" s="13"/>
      <c r="BQ182" s="11"/>
      <c r="BR182" s="12"/>
      <c r="BS182" s="12"/>
      <c r="BT182" s="11">
        <v>12</v>
      </c>
      <c r="BU182" s="13">
        <v>234.46</v>
      </c>
      <c r="BV182" s="11">
        <v>4</v>
      </c>
      <c r="BW182" s="11"/>
      <c r="BX182" s="13"/>
      <c r="BY182" s="11"/>
      <c r="BZ182" s="12"/>
      <c r="CA182" s="12"/>
      <c r="CB182" s="11"/>
      <c r="CC182" s="13"/>
      <c r="CD182" s="11"/>
      <c r="CE182" s="11"/>
      <c r="CF182" s="13"/>
      <c r="CG182" s="11"/>
      <c r="CH182" s="12"/>
      <c r="CI182" s="12"/>
      <c r="CJ182" s="11"/>
      <c r="CK182" s="13"/>
      <c r="CL182" s="11">
        <v>4</v>
      </c>
      <c r="CM182" s="11"/>
      <c r="CN182" s="13"/>
      <c r="CO182" s="11"/>
      <c r="CP182" s="12"/>
      <c r="CQ182" s="12"/>
      <c r="CR182" s="11"/>
      <c r="CS182" s="13"/>
      <c r="CT182" s="11"/>
      <c r="CU182" s="11"/>
      <c r="CV182" s="13"/>
      <c r="CW182" s="11"/>
      <c r="CX182" s="12"/>
      <c r="CY182" s="12"/>
      <c r="CZ182" s="11"/>
      <c r="DA182" s="13"/>
      <c r="DB182" s="11"/>
      <c r="DC182" s="11"/>
      <c r="DD182" s="13"/>
      <c r="DE182" s="11"/>
      <c r="DF182" s="12"/>
      <c r="DG182" s="12"/>
      <c r="DH182" s="11"/>
      <c r="DI182" s="13"/>
      <c r="DJ182" s="11"/>
      <c r="DK182" s="11"/>
      <c r="DL182" s="13"/>
      <c r="DM182" s="11"/>
      <c r="DN182" s="12"/>
      <c r="DO182" s="12"/>
      <c r="DP182" s="11"/>
      <c r="DQ182" s="13"/>
      <c r="DR182" s="11">
        <v>4</v>
      </c>
      <c r="DS182" s="11"/>
      <c r="DT182" s="13"/>
      <c r="DU182" s="11"/>
      <c r="DV182" s="12"/>
      <c r="DW182" s="12"/>
      <c r="DX182" s="11"/>
      <c r="DY182" s="13"/>
      <c r="DZ182" s="11">
        <v>2</v>
      </c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/>
      <c r="EO182" s="13"/>
      <c r="EP182" s="11">
        <v>4</v>
      </c>
      <c r="EQ182" s="11"/>
      <c r="ER182" s="13"/>
      <c r="ES182" s="11"/>
      <c r="ET182" s="12"/>
      <c r="EU182" s="12"/>
      <c r="EV182" s="11"/>
      <c r="EW182" s="13"/>
      <c r="EX182" s="11"/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/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/>
      <c r="HA182" s="13"/>
      <c r="HB182" s="11"/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/>
      <c r="JO182" s="11"/>
      <c r="JP182" s="13"/>
      <c r="JQ182" s="11"/>
      <c r="JR182" s="12"/>
      <c r="JS182" s="12"/>
      <c r="JT182" s="11"/>
      <c r="JU182" s="13"/>
      <c r="JV182" s="11">
        <v>2</v>
      </c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/>
      <c r="KM182" s="11"/>
      <c r="KN182" s="13"/>
      <c r="KO182" s="11"/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  <c r="LH182" s="11"/>
      <c r="LI182" s="13"/>
      <c r="LJ182" s="11"/>
      <c r="LK182" s="11"/>
      <c r="LL182" s="13"/>
      <c r="LM182" s="11"/>
      <c r="LN182" s="12"/>
      <c r="LO182" s="12"/>
      <c r="LP182" s="11"/>
      <c r="LQ182" s="13"/>
      <c r="LR182" s="11"/>
      <c r="LS182" s="11"/>
      <c r="LT182" s="13"/>
      <c r="LU182" s="11"/>
      <c r="LV182" s="12"/>
      <c r="LW182" s="12"/>
    </row>
    <row r="183">
      <c r="A183" s="10" t="s">
        <v>168</v>
      </c>
      <c r="B183" s="10" t="s">
        <v>116</v>
      </c>
      <c r="C183" s="10" t="s">
        <v>77</v>
      </c>
      <c r="D183" s="11">
        <v>52413</v>
      </c>
      <c r="E183" s="11">
        <f>=ROUNDDOWN({0},0)</f>
      </c>
      <c r="F183" s="11">
        <v>72084</v>
      </c>
      <c r="G183" s="12"/>
      <c r="H183" s="11"/>
      <c r="I183" s="11">
        <f>=ROUNDDOWN({0},0)</f>
      </c>
      <c r="J183" s="11"/>
      <c r="K183" s="12"/>
      <c r="L183" s="11">
        <v>37721</v>
      </c>
      <c r="M183" s="13">
        <v>924344.88</v>
      </c>
      <c r="N183" s="11">
        <v>105</v>
      </c>
      <c r="O183" s="14">
        <v>8803.28</v>
      </c>
      <c r="P183" s="11"/>
      <c r="Q183" s="13"/>
      <c r="R183" s="11"/>
      <c r="S183" s="14"/>
      <c r="T183" s="12"/>
      <c r="U183" s="12"/>
      <c r="V183" s="12"/>
      <c r="W183" s="12"/>
      <c r="X183" s="11">
        <v>13568</v>
      </c>
      <c r="Y183" s="13">
        <v>325864.56</v>
      </c>
      <c r="Z183" s="11">
        <v>102</v>
      </c>
      <c r="AA183" s="11"/>
      <c r="AB183" s="13"/>
      <c r="AC183" s="11"/>
      <c r="AD183" s="12"/>
      <c r="AE183" s="12"/>
      <c r="AF183" s="11">
        <v>5128</v>
      </c>
      <c r="AG183" s="13">
        <v>110725.85</v>
      </c>
      <c r="AH183" s="11">
        <v>100</v>
      </c>
      <c r="AI183" s="11"/>
      <c r="AJ183" s="13"/>
      <c r="AK183" s="11"/>
      <c r="AL183" s="12"/>
      <c r="AM183" s="12"/>
      <c r="AN183" s="11">
        <v>5630</v>
      </c>
      <c r="AO183" s="13">
        <v>135371.37</v>
      </c>
      <c r="AP183" s="11">
        <v>100</v>
      </c>
      <c r="AQ183" s="11"/>
      <c r="AR183" s="13"/>
      <c r="AS183" s="11"/>
      <c r="AT183" s="12"/>
      <c r="AU183" s="12"/>
      <c r="AV183" s="11">
        <v>2537</v>
      </c>
      <c r="AW183" s="13">
        <v>62953.82</v>
      </c>
      <c r="AX183" s="11">
        <v>82</v>
      </c>
      <c r="AY183" s="11"/>
      <c r="AZ183" s="13"/>
      <c r="BA183" s="11"/>
      <c r="BB183" s="12"/>
      <c r="BC183" s="12"/>
      <c r="BD183" s="11">
        <v>4227</v>
      </c>
      <c r="BE183" s="13">
        <v>112001.74</v>
      </c>
      <c r="BF183" s="11">
        <v>100</v>
      </c>
      <c r="BG183" s="11"/>
      <c r="BH183" s="13"/>
      <c r="BI183" s="11"/>
      <c r="BJ183" s="12"/>
      <c r="BK183" s="12"/>
      <c r="BL183" s="11">
        <v>1448</v>
      </c>
      <c r="BM183" s="13">
        <v>41507.62</v>
      </c>
      <c r="BN183" s="11">
        <v>102</v>
      </c>
      <c r="BO183" s="11"/>
      <c r="BP183" s="13"/>
      <c r="BQ183" s="11"/>
      <c r="BR183" s="12"/>
      <c r="BS183" s="12"/>
      <c r="BT183" s="11">
        <v>810</v>
      </c>
      <c r="BU183" s="13">
        <v>26139.31</v>
      </c>
      <c r="BV183" s="11">
        <v>100</v>
      </c>
      <c r="BW183" s="11"/>
      <c r="BX183" s="13"/>
      <c r="BY183" s="11"/>
      <c r="BZ183" s="12"/>
      <c r="CA183" s="12"/>
      <c r="CB183" s="11">
        <v>1749</v>
      </c>
      <c r="CC183" s="13">
        <v>41466.75</v>
      </c>
      <c r="CD183" s="11">
        <v>96</v>
      </c>
      <c r="CE183" s="11"/>
      <c r="CF183" s="13"/>
      <c r="CG183" s="11"/>
      <c r="CH183" s="12"/>
      <c r="CI183" s="12"/>
      <c r="CJ183" s="11">
        <v>197</v>
      </c>
      <c r="CK183" s="13">
        <v>7155.84</v>
      </c>
      <c r="CL183" s="11">
        <v>100</v>
      </c>
      <c r="CM183" s="11"/>
      <c r="CN183" s="13"/>
      <c r="CO183" s="11"/>
      <c r="CP183" s="12"/>
      <c r="CQ183" s="12"/>
      <c r="CR183" s="11"/>
      <c r="CS183" s="13"/>
      <c r="CT183" s="11"/>
      <c r="CU183" s="11"/>
      <c r="CV183" s="13"/>
      <c r="CW183" s="11"/>
      <c r="CX183" s="12"/>
      <c r="CY183" s="12"/>
      <c r="CZ183" s="11"/>
      <c r="DA183" s="13"/>
      <c r="DB183" s="11"/>
      <c r="DC183" s="11"/>
      <c r="DD183" s="13"/>
      <c r="DE183" s="11"/>
      <c r="DF183" s="12"/>
      <c r="DG183" s="12"/>
      <c r="DH183" s="11"/>
      <c r="DI183" s="13"/>
      <c r="DJ183" s="11"/>
      <c r="DK183" s="11"/>
      <c r="DL183" s="13"/>
      <c r="DM183" s="11"/>
      <c r="DN183" s="12"/>
      <c r="DO183" s="12"/>
      <c r="DP183" s="11">
        <v>424</v>
      </c>
      <c r="DQ183" s="13">
        <v>12050.73</v>
      </c>
      <c r="DR183" s="11">
        <v>94</v>
      </c>
      <c r="DS183" s="11"/>
      <c r="DT183" s="13"/>
      <c r="DU183" s="11"/>
      <c r="DV183" s="12"/>
      <c r="DW183" s="12"/>
      <c r="DX183" s="11">
        <v>179</v>
      </c>
      <c r="DY183" s="13">
        <v>4505.9</v>
      </c>
      <c r="DZ183" s="11">
        <v>37</v>
      </c>
      <c r="EA183" s="11"/>
      <c r="EB183" s="13"/>
      <c r="EC183" s="11"/>
      <c r="ED183" s="12"/>
      <c r="EE183" s="12"/>
      <c r="EF183" s="11">
        <v>1189</v>
      </c>
      <c r="EG183" s="13">
        <v>26772.15</v>
      </c>
      <c r="EH183" s="11"/>
      <c r="EI183" s="11"/>
      <c r="EJ183" s="13"/>
      <c r="EK183" s="11"/>
      <c r="EL183" s="12"/>
      <c r="EM183" s="12"/>
      <c r="EN183" s="11">
        <v>66</v>
      </c>
      <c r="EO183" s="13">
        <v>3212.84</v>
      </c>
      <c r="EP183" s="11">
        <v>102</v>
      </c>
      <c r="EQ183" s="11"/>
      <c r="ER183" s="13"/>
      <c r="ES183" s="11"/>
      <c r="ET183" s="12"/>
      <c r="EU183" s="12"/>
      <c r="EV183" s="11">
        <v>184</v>
      </c>
      <c r="EW183" s="13">
        <v>4212.94</v>
      </c>
      <c r="EX183" s="11">
        <v>27</v>
      </c>
      <c r="EY183" s="11"/>
      <c r="EZ183" s="13"/>
      <c r="FA183" s="11"/>
      <c r="FB183" s="12"/>
      <c r="FC183" s="12"/>
      <c r="FD183" s="11">
        <v>241</v>
      </c>
      <c r="FE183" s="13">
        <v>6204.48</v>
      </c>
      <c r="FF183" s="11">
        <v>39</v>
      </c>
      <c r="FG183" s="11"/>
      <c r="FH183" s="13"/>
      <c r="FI183" s="11"/>
      <c r="FJ183" s="12"/>
      <c r="FK183" s="12"/>
      <c r="FL183" s="11">
        <v>36</v>
      </c>
      <c r="FM183" s="13">
        <v>1363.75</v>
      </c>
      <c r="FN183" s="11">
        <v>10</v>
      </c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>
        <v>3</v>
      </c>
      <c r="GS183" s="13">
        <v>85.12</v>
      </c>
      <c r="GT183" s="11">
        <v>80</v>
      </c>
      <c r="GU183" s="11"/>
      <c r="GV183" s="13"/>
      <c r="GW183" s="11"/>
      <c r="GX183" s="12"/>
      <c r="GY183" s="12"/>
      <c r="GZ183" s="11"/>
      <c r="HA183" s="13"/>
      <c r="HB183" s="11">
        <v>7</v>
      </c>
      <c r="HC183" s="11"/>
      <c r="HD183" s="13"/>
      <c r="HE183" s="11"/>
      <c r="HF183" s="12"/>
      <c r="HG183" s="12"/>
      <c r="HH183" s="11">
        <v>29</v>
      </c>
      <c r="HI183" s="13">
        <v>788.69</v>
      </c>
      <c r="HJ183" s="11"/>
      <c r="HK183" s="11"/>
      <c r="HL183" s="13"/>
      <c r="HM183" s="11"/>
      <c r="HN183" s="12"/>
      <c r="HO183" s="12"/>
      <c r="HP183" s="11"/>
      <c r="HQ183" s="13"/>
      <c r="HR183" s="11"/>
      <c r="HS183" s="11"/>
      <c r="HT183" s="13"/>
      <c r="HU183" s="11"/>
      <c r="HV183" s="12"/>
      <c r="HW183" s="12"/>
      <c r="HX183" s="11">
        <v>53</v>
      </c>
      <c r="HY183" s="13">
        <v>1380.36</v>
      </c>
      <c r="HZ183" s="11">
        <v>36</v>
      </c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>
        <v>23</v>
      </c>
      <c r="IW183" s="13">
        <v>581.06</v>
      </c>
      <c r="IX183" s="11">
        <v>37</v>
      </c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/>
      <c r="JP183" s="13"/>
      <c r="JQ183" s="11"/>
      <c r="JR183" s="12"/>
      <c r="JS183" s="12"/>
      <c r="JT183" s="11"/>
      <c r="JU183" s="13"/>
      <c r="JV183" s="11">
        <v>33</v>
      </c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/>
      <c r="KN183" s="13"/>
      <c r="KO183" s="11"/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  <c r="LH183" s="11"/>
      <c r="LI183" s="13"/>
      <c r="LJ183" s="11"/>
      <c r="LK183" s="11"/>
      <c r="LL183" s="13"/>
      <c r="LM183" s="11"/>
      <c r="LN183" s="12"/>
      <c r="LO183" s="12"/>
      <c r="LP183" s="11"/>
      <c r="LQ183" s="13"/>
      <c r="LR183" s="11"/>
      <c r="LS183" s="11"/>
      <c r="LT183" s="13"/>
      <c r="LU183" s="11"/>
      <c r="LV183" s="12"/>
      <c r="LW183" s="12"/>
    </row>
    <row r="184">
      <c r="A184" s="10" t="s">
        <v>168</v>
      </c>
      <c r="B184" s="10" t="s">
        <v>117</v>
      </c>
      <c r="C184" s="10" t="s">
        <v>74</v>
      </c>
      <c r="D184" s="11">
        <v>1144</v>
      </c>
      <c r="E184" s="11">
        <f>=ROUNDDOWN(23.8333333333333,0)</f>
      </c>
      <c r="F184" s="11"/>
      <c r="G184" s="12"/>
      <c r="H184" s="11"/>
      <c r="I184" s="11">
        <f>=ROUNDDOWN({0},0)</f>
      </c>
      <c r="J184" s="11"/>
      <c r="K184" s="12"/>
      <c r="L184" s="11">
        <v>399</v>
      </c>
      <c r="M184" s="13">
        <v>15835.57</v>
      </c>
      <c r="N184" s="11">
        <v>6</v>
      </c>
      <c r="O184" s="14">
        <v>2639.26</v>
      </c>
      <c r="P184" s="11"/>
      <c r="Q184" s="13"/>
      <c r="R184" s="11"/>
      <c r="S184" s="14"/>
      <c r="T184" s="12"/>
      <c r="U184" s="12"/>
      <c r="V184" s="12"/>
      <c r="W184" s="12"/>
      <c r="X184" s="11">
        <v>127</v>
      </c>
      <c r="Y184" s="13">
        <v>5256.28</v>
      </c>
      <c r="Z184" s="11">
        <v>6</v>
      </c>
      <c r="AA184" s="11"/>
      <c r="AB184" s="13"/>
      <c r="AC184" s="11"/>
      <c r="AD184" s="12"/>
      <c r="AE184" s="12"/>
      <c r="AF184" s="11"/>
      <c r="AG184" s="13"/>
      <c r="AH184" s="11">
        <v>6</v>
      </c>
      <c r="AI184" s="11"/>
      <c r="AJ184" s="13"/>
      <c r="AK184" s="11"/>
      <c r="AL184" s="12"/>
      <c r="AM184" s="12"/>
      <c r="AN184" s="11">
        <v>52</v>
      </c>
      <c r="AO184" s="13">
        <v>2089.57</v>
      </c>
      <c r="AP184" s="11">
        <v>6</v>
      </c>
      <c r="AQ184" s="11"/>
      <c r="AR184" s="13"/>
      <c r="AS184" s="11"/>
      <c r="AT184" s="12"/>
      <c r="AU184" s="12"/>
      <c r="AV184" s="11">
        <v>80</v>
      </c>
      <c r="AW184" s="13">
        <v>3055.28</v>
      </c>
      <c r="AX184" s="11">
        <v>6</v>
      </c>
      <c r="AY184" s="11"/>
      <c r="AZ184" s="13"/>
      <c r="BA184" s="11"/>
      <c r="BB184" s="12"/>
      <c r="BC184" s="12"/>
      <c r="BD184" s="11">
        <v>22</v>
      </c>
      <c r="BE184" s="13">
        <v>860.9</v>
      </c>
      <c r="BF184" s="11">
        <v>6</v>
      </c>
      <c r="BG184" s="11"/>
      <c r="BH184" s="13"/>
      <c r="BI184" s="11"/>
      <c r="BJ184" s="12"/>
      <c r="BK184" s="12"/>
      <c r="BL184" s="11">
        <v>82</v>
      </c>
      <c r="BM184" s="13">
        <v>3139.26</v>
      </c>
      <c r="BN184" s="11">
        <v>6</v>
      </c>
      <c r="BO184" s="11"/>
      <c r="BP184" s="13"/>
      <c r="BQ184" s="11"/>
      <c r="BR184" s="12"/>
      <c r="BS184" s="12"/>
      <c r="BT184" s="11">
        <v>2</v>
      </c>
      <c r="BU184" s="13">
        <v>79.98</v>
      </c>
      <c r="BV184" s="11">
        <v>6</v>
      </c>
      <c r="BW184" s="11"/>
      <c r="BX184" s="13"/>
      <c r="BY184" s="11"/>
      <c r="BZ184" s="12"/>
      <c r="CA184" s="12"/>
      <c r="CB184" s="11">
        <v>34</v>
      </c>
      <c r="CC184" s="13">
        <v>1354.3</v>
      </c>
      <c r="CD184" s="11">
        <v>6</v>
      </c>
      <c r="CE184" s="11"/>
      <c r="CF184" s="13"/>
      <c r="CG184" s="11"/>
      <c r="CH184" s="12"/>
      <c r="CI184" s="12"/>
      <c r="CJ184" s="11"/>
      <c r="CK184" s="13"/>
      <c r="CL184" s="11">
        <v>6</v>
      </c>
      <c r="CM184" s="11"/>
      <c r="CN184" s="13"/>
      <c r="CO184" s="11"/>
      <c r="CP184" s="12"/>
      <c r="CQ184" s="12"/>
      <c r="CR184" s="11"/>
      <c r="CS184" s="13"/>
      <c r="CT184" s="11"/>
      <c r="CU184" s="11"/>
      <c r="CV184" s="13"/>
      <c r="CW184" s="11"/>
      <c r="CX184" s="12"/>
      <c r="CY184" s="12"/>
      <c r="CZ184" s="11"/>
      <c r="DA184" s="13"/>
      <c r="DB184" s="11"/>
      <c r="DC184" s="11"/>
      <c r="DD184" s="13"/>
      <c r="DE184" s="11"/>
      <c r="DF184" s="12"/>
      <c r="DG184" s="12"/>
      <c r="DH184" s="11"/>
      <c r="DI184" s="13"/>
      <c r="DJ184" s="11"/>
      <c r="DK184" s="11"/>
      <c r="DL184" s="13"/>
      <c r="DM184" s="11"/>
      <c r="DN184" s="12"/>
      <c r="DO184" s="12"/>
      <c r="DP184" s="11"/>
      <c r="DQ184" s="13"/>
      <c r="DR184" s="11">
        <v>6</v>
      </c>
      <c r="DS184" s="11"/>
      <c r="DT184" s="13"/>
      <c r="DU184" s="11"/>
      <c r="DV184" s="12"/>
      <c r="DW184" s="12"/>
      <c r="DX184" s="11"/>
      <c r="DY184" s="13"/>
      <c r="DZ184" s="11"/>
      <c r="EA184" s="11"/>
      <c r="EB184" s="13"/>
      <c r="EC184" s="11"/>
      <c r="ED184" s="12"/>
      <c r="EE184" s="12"/>
      <c r="EF184" s="11"/>
      <c r="EG184" s="13"/>
      <c r="EH184" s="11"/>
      <c r="EI184" s="11"/>
      <c r="EJ184" s="13"/>
      <c r="EK184" s="11"/>
      <c r="EL184" s="12"/>
      <c r="EM184" s="12"/>
      <c r="EN184" s="11"/>
      <c r="EO184" s="13"/>
      <c r="EP184" s="11">
        <v>6</v>
      </c>
      <c r="EQ184" s="11"/>
      <c r="ER184" s="13"/>
      <c r="ES184" s="11"/>
      <c r="ET184" s="12"/>
      <c r="EU184" s="12"/>
      <c r="EV184" s="11"/>
      <c r="EW184" s="13"/>
      <c r="EX184" s="11"/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/>
      <c r="GM184" s="11"/>
      <c r="GN184" s="13"/>
      <c r="GO184" s="11"/>
      <c r="GP184" s="12"/>
      <c r="GQ184" s="12"/>
      <c r="GR184" s="11"/>
      <c r="GS184" s="13"/>
      <c r="GT184" s="11"/>
      <c r="GU184" s="11"/>
      <c r="GV184" s="13"/>
      <c r="GW184" s="11"/>
      <c r="GX184" s="12"/>
      <c r="GY184" s="12"/>
      <c r="GZ184" s="11"/>
      <c r="HA184" s="13"/>
      <c r="HB184" s="11"/>
      <c r="HC184" s="11"/>
      <c r="HD184" s="13"/>
      <c r="HE184" s="11"/>
      <c r="HF184" s="12"/>
      <c r="HG184" s="12"/>
      <c r="HH184" s="11"/>
      <c r="HI184" s="13"/>
      <c r="HJ184" s="11"/>
      <c r="HK184" s="11"/>
      <c r="HL184" s="13"/>
      <c r="HM184" s="11"/>
      <c r="HN184" s="12"/>
      <c r="HO184" s="12"/>
      <c r="HP184" s="11"/>
      <c r="HQ184" s="13"/>
      <c r="HR184" s="11"/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/>
      <c r="IO184" s="13"/>
      <c r="IP184" s="11"/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/>
      <c r="JP184" s="13"/>
      <c r="JQ184" s="11"/>
      <c r="JR184" s="12"/>
      <c r="JS184" s="12"/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/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  <c r="LH184" s="11"/>
      <c r="LI184" s="13"/>
      <c r="LJ184" s="11"/>
      <c r="LK184" s="11"/>
      <c r="LL184" s="13"/>
      <c r="LM184" s="11"/>
      <c r="LN184" s="12"/>
      <c r="LO184" s="12"/>
      <c r="LP184" s="11"/>
      <c r="LQ184" s="13"/>
      <c r="LR184" s="11"/>
      <c r="LS184" s="11"/>
      <c r="LT184" s="13"/>
      <c r="LU184" s="11"/>
      <c r="LV184" s="12"/>
      <c r="LW184" s="12"/>
    </row>
    <row r="185">
      <c r="A185" s="10" t="s">
        <v>168</v>
      </c>
      <c r="B185" s="10" t="s">
        <v>117</v>
      </c>
      <c r="C185" s="10" t="s">
        <v>169</v>
      </c>
      <c r="D185" s="11">
        <v>1236</v>
      </c>
      <c r="E185" s="11">
        <f>=ROUNDDOWN(33.4054054054054,0)</f>
      </c>
      <c r="F185" s="11"/>
      <c r="G185" s="12"/>
      <c r="H185" s="11"/>
      <c r="I185" s="11">
        <f>=ROUNDDOWN({0},0)</f>
      </c>
      <c r="J185" s="11"/>
      <c r="K185" s="12"/>
      <c r="L185" s="11">
        <v>532</v>
      </c>
      <c r="M185" s="13">
        <v>9171.38</v>
      </c>
      <c r="N185" s="11">
        <v>2</v>
      </c>
      <c r="O185" s="14">
        <v>4585.69</v>
      </c>
      <c r="P185" s="11"/>
      <c r="Q185" s="13"/>
      <c r="R185" s="11"/>
      <c r="S185" s="14"/>
      <c r="T185" s="12"/>
      <c r="U185" s="12"/>
      <c r="V185" s="12"/>
      <c r="W185" s="12"/>
      <c r="X185" s="11">
        <v>226</v>
      </c>
      <c r="Y185" s="13">
        <v>3930.54</v>
      </c>
      <c r="Z185" s="11">
        <v>2</v>
      </c>
      <c r="AA185" s="11"/>
      <c r="AB185" s="13"/>
      <c r="AC185" s="11"/>
      <c r="AD185" s="12"/>
      <c r="AE185" s="12"/>
      <c r="AF185" s="11">
        <v>18</v>
      </c>
      <c r="AG185" s="13">
        <v>236.74</v>
      </c>
      <c r="AH185" s="11">
        <v>2</v>
      </c>
      <c r="AI185" s="11"/>
      <c r="AJ185" s="13"/>
      <c r="AK185" s="11"/>
      <c r="AL185" s="12"/>
      <c r="AM185" s="12"/>
      <c r="AN185" s="11">
        <v>51</v>
      </c>
      <c r="AO185" s="13">
        <v>803.82</v>
      </c>
      <c r="AP185" s="11">
        <v>2</v>
      </c>
      <c r="AQ185" s="11"/>
      <c r="AR185" s="13"/>
      <c r="AS185" s="11"/>
      <c r="AT185" s="12"/>
      <c r="AU185" s="12"/>
      <c r="AV185" s="11">
        <v>26</v>
      </c>
      <c r="AW185" s="13">
        <v>444.6</v>
      </c>
      <c r="AX185" s="11">
        <v>2</v>
      </c>
      <c r="AY185" s="11"/>
      <c r="AZ185" s="13"/>
      <c r="BA185" s="11"/>
      <c r="BB185" s="12"/>
      <c r="BC185" s="12"/>
      <c r="BD185" s="11">
        <v>22</v>
      </c>
      <c r="BE185" s="13">
        <v>377.05</v>
      </c>
      <c r="BF185" s="11">
        <v>2</v>
      </c>
      <c r="BG185" s="11"/>
      <c r="BH185" s="13"/>
      <c r="BI185" s="11"/>
      <c r="BJ185" s="12"/>
      <c r="BK185" s="12"/>
      <c r="BL185" s="11">
        <v>39</v>
      </c>
      <c r="BM185" s="13">
        <v>645.14</v>
      </c>
      <c r="BN185" s="11">
        <v>2</v>
      </c>
      <c r="BO185" s="11"/>
      <c r="BP185" s="13"/>
      <c r="BQ185" s="11"/>
      <c r="BR185" s="12"/>
      <c r="BS185" s="12"/>
      <c r="BT185" s="11">
        <v>124</v>
      </c>
      <c r="BU185" s="13">
        <v>2244.08</v>
      </c>
      <c r="BV185" s="11">
        <v>2</v>
      </c>
      <c r="BW185" s="11"/>
      <c r="BX185" s="13"/>
      <c r="BY185" s="11"/>
      <c r="BZ185" s="12"/>
      <c r="CA185" s="12"/>
      <c r="CB185" s="11">
        <v>14</v>
      </c>
      <c r="CC185" s="13">
        <v>222.8</v>
      </c>
      <c r="CD185" s="11">
        <v>2</v>
      </c>
      <c r="CE185" s="11"/>
      <c r="CF185" s="13"/>
      <c r="CG185" s="11"/>
      <c r="CH185" s="12"/>
      <c r="CI185" s="12"/>
      <c r="CJ185" s="11"/>
      <c r="CK185" s="13"/>
      <c r="CL185" s="11">
        <v>2</v>
      </c>
      <c r="CM185" s="11"/>
      <c r="CN185" s="13"/>
      <c r="CO185" s="11"/>
      <c r="CP185" s="12"/>
      <c r="CQ185" s="12"/>
      <c r="CR185" s="11"/>
      <c r="CS185" s="13"/>
      <c r="CT185" s="11"/>
      <c r="CU185" s="11"/>
      <c r="CV185" s="13"/>
      <c r="CW185" s="11"/>
      <c r="CX185" s="12"/>
      <c r="CY185" s="12"/>
      <c r="CZ185" s="11"/>
      <c r="DA185" s="13"/>
      <c r="DB185" s="11"/>
      <c r="DC185" s="11"/>
      <c r="DD185" s="13"/>
      <c r="DE185" s="11"/>
      <c r="DF185" s="12"/>
      <c r="DG185" s="12"/>
      <c r="DH185" s="11"/>
      <c r="DI185" s="13"/>
      <c r="DJ185" s="11"/>
      <c r="DK185" s="11"/>
      <c r="DL185" s="13"/>
      <c r="DM185" s="11"/>
      <c r="DN185" s="12"/>
      <c r="DO185" s="12"/>
      <c r="DP185" s="11">
        <v>3</v>
      </c>
      <c r="DQ185" s="13">
        <v>50.16</v>
      </c>
      <c r="DR185" s="11">
        <v>2</v>
      </c>
      <c r="DS185" s="11"/>
      <c r="DT185" s="13"/>
      <c r="DU185" s="11"/>
      <c r="DV185" s="12"/>
      <c r="DW185" s="12"/>
      <c r="DX185" s="11"/>
      <c r="DY185" s="13"/>
      <c r="DZ185" s="11"/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>
        <v>4</v>
      </c>
      <c r="EO185" s="13">
        <v>135.88</v>
      </c>
      <c r="EP185" s="11">
        <v>2</v>
      </c>
      <c r="EQ185" s="11"/>
      <c r="ER185" s="13"/>
      <c r="ES185" s="11"/>
      <c r="ET185" s="12"/>
      <c r="EU185" s="12"/>
      <c r="EV185" s="11"/>
      <c r="EW185" s="13"/>
      <c r="EX185" s="11"/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>
        <v>1</v>
      </c>
      <c r="FM185" s="13">
        <v>18.5</v>
      </c>
      <c r="FN185" s="11">
        <v>2</v>
      </c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/>
      <c r="GS185" s="13"/>
      <c r="GT185" s="11">
        <v>2</v>
      </c>
      <c r="GU185" s="11"/>
      <c r="GV185" s="13"/>
      <c r="GW185" s="11"/>
      <c r="GX185" s="12"/>
      <c r="GY185" s="12"/>
      <c r="GZ185" s="11"/>
      <c r="HA185" s="13"/>
      <c r="HB185" s="11"/>
      <c r="HC185" s="11"/>
      <c r="HD185" s="13"/>
      <c r="HE185" s="11"/>
      <c r="HF185" s="12"/>
      <c r="HG185" s="12"/>
      <c r="HH185" s="11">
        <v>3</v>
      </c>
      <c r="HI185" s="13">
        <v>44.93</v>
      </c>
      <c r="HJ185" s="11"/>
      <c r="HK185" s="11"/>
      <c r="HL185" s="13"/>
      <c r="HM185" s="11"/>
      <c r="HN185" s="12"/>
      <c r="HO185" s="12"/>
      <c r="HP185" s="11"/>
      <c r="HQ185" s="13"/>
      <c r="HR185" s="11"/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>
        <v>1</v>
      </c>
      <c r="IW185" s="13">
        <v>17.14</v>
      </c>
      <c r="IX185" s="11">
        <v>2</v>
      </c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>
        <v>2</v>
      </c>
      <c r="JW185" s="11"/>
      <c r="JX185" s="13"/>
      <c r="JY185" s="11"/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/>
      <c r="KM185" s="11"/>
      <c r="KN185" s="13"/>
      <c r="KO185" s="11"/>
      <c r="KP185" s="12"/>
      <c r="KQ185" s="12"/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  <c r="LH185" s="11"/>
      <c r="LI185" s="13"/>
      <c r="LJ185" s="11"/>
      <c r="LK185" s="11"/>
      <c r="LL185" s="13"/>
      <c r="LM185" s="11"/>
      <c r="LN185" s="12"/>
      <c r="LO185" s="12"/>
      <c r="LP185" s="11"/>
      <c r="LQ185" s="13"/>
      <c r="LR185" s="11"/>
      <c r="LS185" s="11"/>
      <c r="LT185" s="13"/>
      <c r="LU185" s="11"/>
      <c r="LV185" s="12"/>
      <c r="LW185" s="12"/>
    </row>
    <row r="186">
      <c r="A186" s="10" t="s">
        <v>168</v>
      </c>
      <c r="B186" s="10" t="s">
        <v>119</v>
      </c>
      <c r="C186" s="10" t="s">
        <v>77</v>
      </c>
      <c r="D186" s="11">
        <v>2380</v>
      </c>
      <c r="E186" s="11">
        <f>=ROUNDDOWN({0},0)</f>
      </c>
      <c r="F186" s="11"/>
      <c r="G186" s="12"/>
      <c r="H186" s="11"/>
      <c r="I186" s="11">
        <f>=ROUNDDOWN({0},0)</f>
      </c>
      <c r="J186" s="11"/>
      <c r="K186" s="12"/>
      <c r="L186" s="11">
        <v>931</v>
      </c>
      <c r="M186" s="13">
        <v>25006.95</v>
      </c>
      <c r="N186" s="11">
        <v>8</v>
      </c>
      <c r="O186" s="14">
        <v>3125.87</v>
      </c>
      <c r="P186" s="11"/>
      <c r="Q186" s="13"/>
      <c r="R186" s="11"/>
      <c r="S186" s="14"/>
      <c r="T186" s="12"/>
      <c r="U186" s="12"/>
      <c r="V186" s="12"/>
      <c r="W186" s="12"/>
      <c r="X186" s="11">
        <v>353</v>
      </c>
      <c r="Y186" s="13">
        <v>9186.82</v>
      </c>
      <c r="Z186" s="11">
        <v>8</v>
      </c>
      <c r="AA186" s="11"/>
      <c r="AB186" s="13"/>
      <c r="AC186" s="11"/>
      <c r="AD186" s="12"/>
      <c r="AE186" s="12"/>
      <c r="AF186" s="11">
        <v>18</v>
      </c>
      <c r="AG186" s="13">
        <v>236.74</v>
      </c>
      <c r="AH186" s="11">
        <v>8</v>
      </c>
      <c r="AI186" s="11"/>
      <c r="AJ186" s="13"/>
      <c r="AK186" s="11"/>
      <c r="AL186" s="12"/>
      <c r="AM186" s="12"/>
      <c r="AN186" s="11">
        <v>103</v>
      </c>
      <c r="AO186" s="13">
        <v>2893.39</v>
      </c>
      <c r="AP186" s="11">
        <v>8</v>
      </c>
      <c r="AQ186" s="11"/>
      <c r="AR186" s="13"/>
      <c r="AS186" s="11"/>
      <c r="AT186" s="12"/>
      <c r="AU186" s="12"/>
      <c r="AV186" s="11">
        <v>106</v>
      </c>
      <c r="AW186" s="13">
        <v>3499.88</v>
      </c>
      <c r="AX186" s="11">
        <v>8</v>
      </c>
      <c r="AY186" s="11"/>
      <c r="AZ186" s="13"/>
      <c r="BA186" s="11"/>
      <c r="BB186" s="12"/>
      <c r="BC186" s="12"/>
      <c r="BD186" s="11">
        <v>44</v>
      </c>
      <c r="BE186" s="13">
        <v>1237.95</v>
      </c>
      <c r="BF186" s="11">
        <v>8</v>
      </c>
      <c r="BG186" s="11"/>
      <c r="BH186" s="13"/>
      <c r="BI186" s="11"/>
      <c r="BJ186" s="12"/>
      <c r="BK186" s="12"/>
      <c r="BL186" s="11">
        <v>121</v>
      </c>
      <c r="BM186" s="13">
        <v>3784.4</v>
      </c>
      <c r="BN186" s="11">
        <v>8</v>
      </c>
      <c r="BO186" s="11"/>
      <c r="BP186" s="13"/>
      <c r="BQ186" s="11"/>
      <c r="BR186" s="12"/>
      <c r="BS186" s="12"/>
      <c r="BT186" s="11">
        <v>126</v>
      </c>
      <c r="BU186" s="13">
        <v>2324.06</v>
      </c>
      <c r="BV186" s="11">
        <v>8</v>
      </c>
      <c r="BW186" s="11"/>
      <c r="BX186" s="13"/>
      <c r="BY186" s="11"/>
      <c r="BZ186" s="12"/>
      <c r="CA186" s="12"/>
      <c r="CB186" s="11">
        <v>48</v>
      </c>
      <c r="CC186" s="13">
        <v>1577.1</v>
      </c>
      <c r="CD186" s="11">
        <v>8</v>
      </c>
      <c r="CE186" s="11"/>
      <c r="CF186" s="13"/>
      <c r="CG186" s="11"/>
      <c r="CH186" s="12"/>
      <c r="CI186" s="12"/>
      <c r="CJ186" s="11"/>
      <c r="CK186" s="13"/>
      <c r="CL186" s="11">
        <v>8</v>
      </c>
      <c r="CM186" s="11"/>
      <c r="CN186" s="13"/>
      <c r="CO186" s="11"/>
      <c r="CP186" s="12"/>
      <c r="CQ186" s="12"/>
      <c r="CR186" s="11"/>
      <c r="CS186" s="13"/>
      <c r="CT186" s="11"/>
      <c r="CU186" s="11"/>
      <c r="CV186" s="13"/>
      <c r="CW186" s="11"/>
      <c r="CX186" s="12"/>
      <c r="CY186" s="12"/>
      <c r="CZ186" s="11"/>
      <c r="DA186" s="13"/>
      <c r="DB186" s="11"/>
      <c r="DC186" s="11"/>
      <c r="DD186" s="13"/>
      <c r="DE186" s="11"/>
      <c r="DF186" s="12"/>
      <c r="DG186" s="12"/>
      <c r="DH186" s="11"/>
      <c r="DI186" s="13"/>
      <c r="DJ186" s="11"/>
      <c r="DK186" s="11"/>
      <c r="DL186" s="13"/>
      <c r="DM186" s="11"/>
      <c r="DN186" s="12"/>
      <c r="DO186" s="12"/>
      <c r="DP186" s="11">
        <v>3</v>
      </c>
      <c r="DQ186" s="13">
        <v>50.16</v>
      </c>
      <c r="DR186" s="11">
        <v>8</v>
      </c>
      <c r="DS186" s="11"/>
      <c r="DT186" s="13"/>
      <c r="DU186" s="11"/>
      <c r="DV186" s="12"/>
      <c r="DW186" s="12"/>
      <c r="DX186" s="11"/>
      <c r="DY186" s="13"/>
      <c r="DZ186" s="11"/>
      <c r="EA186" s="11"/>
      <c r="EB186" s="13"/>
      <c r="EC186" s="11"/>
      <c r="ED186" s="12"/>
      <c r="EE186" s="12"/>
      <c r="EF186" s="11"/>
      <c r="EG186" s="13"/>
      <c r="EH186" s="11"/>
      <c r="EI186" s="11"/>
      <c r="EJ186" s="13"/>
      <c r="EK186" s="11"/>
      <c r="EL186" s="12"/>
      <c r="EM186" s="12"/>
      <c r="EN186" s="11">
        <v>4</v>
      </c>
      <c r="EO186" s="13">
        <v>135.88</v>
      </c>
      <c r="EP186" s="11">
        <v>8</v>
      </c>
      <c r="EQ186" s="11"/>
      <c r="ER186" s="13"/>
      <c r="ES186" s="11"/>
      <c r="ET186" s="12"/>
      <c r="EU186" s="12"/>
      <c r="EV186" s="11"/>
      <c r="EW186" s="13"/>
      <c r="EX186" s="11"/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>
        <v>1</v>
      </c>
      <c r="FM186" s="13">
        <v>18.5</v>
      </c>
      <c r="FN186" s="11">
        <v>2</v>
      </c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/>
      <c r="GK186" s="13"/>
      <c r="GL186" s="11"/>
      <c r="GM186" s="11"/>
      <c r="GN186" s="13"/>
      <c r="GO186" s="11"/>
      <c r="GP186" s="12"/>
      <c r="GQ186" s="12"/>
      <c r="GR186" s="11"/>
      <c r="GS186" s="13"/>
      <c r="GT186" s="11">
        <v>2</v>
      </c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>
        <v>3</v>
      </c>
      <c r="HI186" s="13">
        <v>44.93</v>
      </c>
      <c r="HJ186" s="11"/>
      <c r="HK186" s="11"/>
      <c r="HL186" s="13"/>
      <c r="HM186" s="11"/>
      <c r="HN186" s="12"/>
      <c r="HO186" s="12"/>
      <c r="HP186" s="11"/>
      <c r="HQ186" s="13"/>
      <c r="HR186" s="11"/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/>
      <c r="IO186" s="13"/>
      <c r="IP186" s="11"/>
      <c r="IQ186" s="11"/>
      <c r="IR186" s="13"/>
      <c r="IS186" s="11"/>
      <c r="IT186" s="12"/>
      <c r="IU186" s="12"/>
      <c r="IV186" s="11">
        <v>1</v>
      </c>
      <c r="IW186" s="13">
        <v>17.14</v>
      </c>
      <c r="IX186" s="11">
        <v>2</v>
      </c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>
        <v>2</v>
      </c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/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  <c r="LH186" s="11"/>
      <c r="LI186" s="13"/>
      <c r="LJ186" s="11"/>
      <c r="LK186" s="11"/>
      <c r="LL186" s="13"/>
      <c r="LM186" s="11"/>
      <c r="LN186" s="12"/>
      <c r="LO186" s="12"/>
      <c r="LP186" s="11"/>
      <c r="LQ186" s="13"/>
      <c r="LR186" s="11"/>
      <c r="LS186" s="11"/>
      <c r="LT186" s="13"/>
      <c r="LU186" s="11"/>
      <c r="LV186" s="12"/>
      <c r="LW186" s="12"/>
    </row>
    <row r="187">
      <c r="A187" s="10" t="s">
        <v>168</v>
      </c>
      <c r="B187" s="10" t="s">
        <v>122</v>
      </c>
      <c r="C187" s="10" t="s">
        <v>74</v>
      </c>
      <c r="D187" s="11">
        <v>1928</v>
      </c>
      <c r="E187" s="11">
        <f>=ROUNDDOWN(34.4285714285714,0)</f>
      </c>
      <c r="F187" s="11">
        <v>1110</v>
      </c>
      <c r="G187" s="12">
        <v>1</v>
      </c>
      <c r="H187" s="11"/>
      <c r="I187" s="11">
        <f>=ROUNDDOWN({0},0)</f>
      </c>
      <c r="J187" s="11"/>
      <c r="K187" s="12"/>
      <c r="L187" s="11">
        <v>614</v>
      </c>
      <c r="M187" s="13">
        <v>47766.78</v>
      </c>
      <c r="N187" s="11">
        <v>8</v>
      </c>
      <c r="O187" s="14">
        <v>5970.85</v>
      </c>
      <c r="P187" s="11"/>
      <c r="Q187" s="13"/>
      <c r="R187" s="11"/>
      <c r="S187" s="14"/>
      <c r="T187" s="12"/>
      <c r="U187" s="12"/>
      <c r="V187" s="12"/>
      <c r="W187" s="12"/>
      <c r="X187" s="11">
        <v>20</v>
      </c>
      <c r="Y187" s="13">
        <v>2042.42</v>
      </c>
      <c r="Z187" s="11">
        <v>6</v>
      </c>
      <c r="AA187" s="11"/>
      <c r="AB187" s="13"/>
      <c r="AC187" s="11"/>
      <c r="AD187" s="12"/>
      <c r="AE187" s="12"/>
      <c r="AF187" s="11">
        <v>72</v>
      </c>
      <c r="AG187" s="13">
        <v>5795.49</v>
      </c>
      <c r="AH187" s="11">
        <v>8</v>
      </c>
      <c r="AI187" s="11"/>
      <c r="AJ187" s="13"/>
      <c r="AK187" s="11"/>
      <c r="AL187" s="12"/>
      <c r="AM187" s="12"/>
      <c r="AN187" s="11">
        <v>117</v>
      </c>
      <c r="AO187" s="13">
        <v>6527.71</v>
      </c>
      <c r="AP187" s="11">
        <v>8</v>
      </c>
      <c r="AQ187" s="11"/>
      <c r="AR187" s="13"/>
      <c r="AS187" s="11"/>
      <c r="AT187" s="12"/>
      <c r="AU187" s="12"/>
      <c r="AV187" s="11">
        <v>36</v>
      </c>
      <c r="AW187" s="13">
        <v>1672.1</v>
      </c>
      <c r="AX187" s="11">
        <v>1</v>
      </c>
      <c r="AY187" s="11"/>
      <c r="AZ187" s="13"/>
      <c r="BA187" s="11"/>
      <c r="BB187" s="12"/>
      <c r="BC187" s="12"/>
      <c r="BD187" s="11">
        <v>29</v>
      </c>
      <c r="BE187" s="13">
        <v>1265.63</v>
      </c>
      <c r="BF187" s="11">
        <v>8</v>
      </c>
      <c r="BG187" s="11"/>
      <c r="BH187" s="13"/>
      <c r="BI187" s="11"/>
      <c r="BJ187" s="12"/>
      <c r="BK187" s="12"/>
      <c r="BL187" s="11">
        <v>71</v>
      </c>
      <c r="BM187" s="13">
        <v>5832.13</v>
      </c>
      <c r="BN187" s="11">
        <v>8</v>
      </c>
      <c r="BO187" s="11"/>
      <c r="BP187" s="13"/>
      <c r="BQ187" s="11"/>
      <c r="BR187" s="12"/>
      <c r="BS187" s="12"/>
      <c r="BT187" s="11">
        <v>185</v>
      </c>
      <c r="BU187" s="13">
        <v>17224.6</v>
      </c>
      <c r="BV187" s="11">
        <v>8</v>
      </c>
      <c r="BW187" s="11"/>
      <c r="BX187" s="13"/>
      <c r="BY187" s="11"/>
      <c r="BZ187" s="12"/>
      <c r="CA187" s="12"/>
      <c r="CB187" s="11">
        <v>25</v>
      </c>
      <c r="CC187" s="13">
        <v>1846.59</v>
      </c>
      <c r="CD187" s="11">
        <v>8</v>
      </c>
      <c r="CE187" s="11"/>
      <c r="CF187" s="13"/>
      <c r="CG187" s="11"/>
      <c r="CH187" s="12"/>
      <c r="CI187" s="12"/>
      <c r="CJ187" s="11">
        <v>21</v>
      </c>
      <c r="CK187" s="13">
        <v>3471.31</v>
      </c>
      <c r="CL187" s="11">
        <v>8</v>
      </c>
      <c r="CM187" s="11"/>
      <c r="CN187" s="13"/>
      <c r="CO187" s="11"/>
      <c r="CP187" s="12"/>
      <c r="CQ187" s="12"/>
      <c r="CR187" s="11"/>
      <c r="CS187" s="13"/>
      <c r="CT187" s="11"/>
      <c r="CU187" s="11"/>
      <c r="CV187" s="13"/>
      <c r="CW187" s="11"/>
      <c r="CX187" s="12"/>
      <c r="CY187" s="12"/>
      <c r="CZ187" s="11"/>
      <c r="DA187" s="13"/>
      <c r="DB187" s="11"/>
      <c r="DC187" s="11"/>
      <c r="DD187" s="13"/>
      <c r="DE187" s="11"/>
      <c r="DF187" s="12"/>
      <c r="DG187" s="12"/>
      <c r="DH187" s="11"/>
      <c r="DI187" s="13"/>
      <c r="DJ187" s="11"/>
      <c r="DK187" s="11"/>
      <c r="DL187" s="13"/>
      <c r="DM187" s="11"/>
      <c r="DN187" s="12"/>
      <c r="DO187" s="12"/>
      <c r="DP187" s="11">
        <v>26</v>
      </c>
      <c r="DQ187" s="13">
        <v>1451.1</v>
      </c>
      <c r="DR187" s="11">
        <v>8</v>
      </c>
      <c r="DS187" s="11"/>
      <c r="DT187" s="13"/>
      <c r="DU187" s="11"/>
      <c r="DV187" s="12"/>
      <c r="DW187" s="12"/>
      <c r="DX187" s="11"/>
      <c r="DY187" s="13"/>
      <c r="DZ187" s="11"/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>
        <v>1</v>
      </c>
      <c r="EO187" s="13">
        <v>89.99</v>
      </c>
      <c r="EP187" s="11">
        <v>8</v>
      </c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>
        <v>3</v>
      </c>
      <c r="FE187" s="13">
        <v>148.71</v>
      </c>
      <c r="FF187" s="11">
        <v>1</v>
      </c>
      <c r="FG187" s="11"/>
      <c r="FH187" s="13"/>
      <c r="FI187" s="11"/>
      <c r="FJ187" s="12"/>
      <c r="FK187" s="12"/>
      <c r="FL187" s="11">
        <v>8</v>
      </c>
      <c r="FM187" s="13">
        <v>399</v>
      </c>
      <c r="FN187" s="11">
        <v>2</v>
      </c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>
        <v>3</v>
      </c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/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/>
      <c r="JG187" s="11"/>
      <c r="JH187" s="13"/>
      <c r="JI187" s="11"/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/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  <c r="LH187" s="11"/>
      <c r="LI187" s="13"/>
      <c r="LJ187" s="11"/>
      <c r="LK187" s="11"/>
      <c r="LL187" s="13"/>
      <c r="LM187" s="11"/>
      <c r="LN187" s="12"/>
      <c r="LO187" s="12"/>
      <c r="LP187" s="11"/>
      <c r="LQ187" s="13"/>
      <c r="LR187" s="11"/>
      <c r="LS187" s="11"/>
      <c r="LT187" s="13"/>
      <c r="LU187" s="11"/>
      <c r="LV187" s="12"/>
      <c r="LW187" s="12"/>
    </row>
    <row r="188">
      <c r="A188" s="10" t="s">
        <v>168</v>
      </c>
      <c r="B188" s="10" t="s">
        <v>122</v>
      </c>
      <c r="C188" s="10" t="s">
        <v>83</v>
      </c>
      <c r="D188" s="11">
        <v>2245</v>
      </c>
      <c r="E188" s="11">
        <f>=ROUNDDOWN(64.1428571428571,0)</f>
      </c>
      <c r="F188" s="11">
        <v>291</v>
      </c>
      <c r="G188" s="12">
        <v>1</v>
      </c>
      <c r="H188" s="11"/>
      <c r="I188" s="11">
        <f>=ROUNDDOWN({0},0)</f>
      </c>
      <c r="J188" s="11"/>
      <c r="K188" s="12"/>
      <c r="L188" s="11">
        <v>621</v>
      </c>
      <c r="M188" s="13">
        <v>45094.81</v>
      </c>
      <c r="N188" s="11">
        <v>6</v>
      </c>
      <c r="O188" s="14">
        <v>7515.8</v>
      </c>
      <c r="P188" s="11"/>
      <c r="Q188" s="13"/>
      <c r="R188" s="11"/>
      <c r="S188" s="14"/>
      <c r="T188" s="12"/>
      <c r="U188" s="12"/>
      <c r="V188" s="12"/>
      <c r="W188" s="12"/>
      <c r="X188" s="11"/>
      <c r="Y188" s="13"/>
      <c r="Z188" s="11"/>
      <c r="AA188" s="11"/>
      <c r="AB188" s="13"/>
      <c r="AC188" s="11"/>
      <c r="AD188" s="12"/>
      <c r="AE188" s="12"/>
      <c r="AF188" s="11">
        <v>377</v>
      </c>
      <c r="AG188" s="13">
        <v>25160.33</v>
      </c>
      <c r="AH188" s="11">
        <v>6</v>
      </c>
      <c r="AI188" s="11"/>
      <c r="AJ188" s="13"/>
      <c r="AK188" s="11"/>
      <c r="AL188" s="12"/>
      <c r="AM188" s="12"/>
      <c r="AN188" s="11">
        <v>20</v>
      </c>
      <c r="AO188" s="13">
        <v>1641.52</v>
      </c>
      <c r="AP188" s="11">
        <v>6</v>
      </c>
      <c r="AQ188" s="11"/>
      <c r="AR188" s="13"/>
      <c r="AS188" s="11"/>
      <c r="AT188" s="12"/>
      <c r="AU188" s="12"/>
      <c r="AV188" s="11"/>
      <c r="AW188" s="13"/>
      <c r="AX188" s="11"/>
      <c r="AY188" s="11"/>
      <c r="AZ188" s="13"/>
      <c r="BA188" s="11"/>
      <c r="BB188" s="12"/>
      <c r="BC188" s="12"/>
      <c r="BD188" s="11">
        <v>4</v>
      </c>
      <c r="BE188" s="13">
        <v>325.49</v>
      </c>
      <c r="BF188" s="11">
        <v>6</v>
      </c>
      <c r="BG188" s="11"/>
      <c r="BH188" s="13"/>
      <c r="BI188" s="11"/>
      <c r="BJ188" s="12"/>
      <c r="BK188" s="12"/>
      <c r="BL188" s="11">
        <v>126</v>
      </c>
      <c r="BM188" s="13">
        <v>9816.77</v>
      </c>
      <c r="BN188" s="11">
        <v>6</v>
      </c>
      <c r="BO188" s="11"/>
      <c r="BP188" s="13"/>
      <c r="BQ188" s="11"/>
      <c r="BR188" s="12"/>
      <c r="BS188" s="12"/>
      <c r="BT188" s="11">
        <v>58</v>
      </c>
      <c r="BU188" s="13">
        <v>4946.39</v>
      </c>
      <c r="BV188" s="11">
        <v>6</v>
      </c>
      <c r="BW188" s="11"/>
      <c r="BX188" s="13"/>
      <c r="BY188" s="11"/>
      <c r="BZ188" s="12"/>
      <c r="CA188" s="12"/>
      <c r="CB188" s="11">
        <v>30</v>
      </c>
      <c r="CC188" s="13">
        <v>2383.37</v>
      </c>
      <c r="CD188" s="11">
        <v>6</v>
      </c>
      <c r="CE188" s="11"/>
      <c r="CF188" s="13"/>
      <c r="CG188" s="11"/>
      <c r="CH188" s="12"/>
      <c r="CI188" s="12"/>
      <c r="CJ188" s="11">
        <v>6</v>
      </c>
      <c r="CK188" s="13">
        <v>820.94</v>
      </c>
      <c r="CL188" s="11">
        <v>6</v>
      </c>
      <c r="CM188" s="11"/>
      <c r="CN188" s="13"/>
      <c r="CO188" s="11"/>
      <c r="CP188" s="12"/>
      <c r="CQ188" s="12"/>
      <c r="CR188" s="11"/>
      <c r="CS188" s="13"/>
      <c r="CT188" s="11"/>
      <c r="CU188" s="11"/>
      <c r="CV188" s="13"/>
      <c r="CW188" s="11"/>
      <c r="CX188" s="12"/>
      <c r="CY188" s="12"/>
      <c r="CZ188" s="11"/>
      <c r="DA188" s="13"/>
      <c r="DB188" s="11"/>
      <c r="DC188" s="11"/>
      <c r="DD188" s="13"/>
      <c r="DE188" s="11"/>
      <c r="DF188" s="12"/>
      <c r="DG188" s="12"/>
      <c r="DH188" s="11"/>
      <c r="DI188" s="13"/>
      <c r="DJ188" s="11"/>
      <c r="DK188" s="11"/>
      <c r="DL188" s="13"/>
      <c r="DM188" s="11"/>
      <c r="DN188" s="12"/>
      <c r="DO188" s="12"/>
      <c r="DP188" s="11"/>
      <c r="DQ188" s="13"/>
      <c r="DR188" s="11"/>
      <c r="DS188" s="11"/>
      <c r="DT188" s="13"/>
      <c r="DU188" s="11"/>
      <c r="DV188" s="12"/>
      <c r="DW188" s="12"/>
      <c r="DX188" s="11"/>
      <c r="DY188" s="13"/>
      <c r="DZ188" s="11"/>
      <c r="EA188" s="11"/>
      <c r="EB188" s="13"/>
      <c r="EC188" s="11"/>
      <c r="ED188" s="12"/>
      <c r="EE188" s="12"/>
      <c r="EF188" s="11"/>
      <c r="EG188" s="13"/>
      <c r="EH188" s="11"/>
      <c r="EI188" s="11"/>
      <c r="EJ188" s="13"/>
      <c r="EK188" s="11"/>
      <c r="EL188" s="12"/>
      <c r="EM188" s="12"/>
      <c r="EN188" s="11"/>
      <c r="EO188" s="13"/>
      <c r="EP188" s="11">
        <v>6</v>
      </c>
      <c r="EQ188" s="11"/>
      <c r="ER188" s="13"/>
      <c r="ES188" s="11"/>
      <c r="ET188" s="12"/>
      <c r="EU188" s="12"/>
      <c r="EV188" s="11"/>
      <c r="EW188" s="13"/>
      <c r="EX188" s="11"/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/>
      <c r="FM188" s="13"/>
      <c r="FN188" s="11"/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/>
      <c r="GK188" s="13"/>
      <c r="GL188" s="11"/>
      <c r="GM188" s="11"/>
      <c r="GN188" s="13"/>
      <c r="GO188" s="11"/>
      <c r="GP188" s="12"/>
      <c r="GQ188" s="12"/>
      <c r="GR188" s="11"/>
      <c r="GS188" s="13"/>
      <c r="GT188" s="11"/>
      <c r="GU188" s="11"/>
      <c r="GV188" s="13"/>
      <c r="GW188" s="11"/>
      <c r="GX188" s="12"/>
      <c r="GY188" s="12"/>
      <c r="GZ188" s="11"/>
      <c r="HA188" s="13"/>
      <c r="HB188" s="11"/>
      <c r="HC188" s="11"/>
      <c r="HD188" s="13"/>
      <c r="HE188" s="11"/>
      <c r="HF188" s="12"/>
      <c r="HG188" s="12"/>
      <c r="HH188" s="11"/>
      <c r="HI188" s="13"/>
      <c r="HJ188" s="11"/>
      <c r="HK188" s="11"/>
      <c r="HL188" s="13"/>
      <c r="HM188" s="11"/>
      <c r="HN188" s="12"/>
      <c r="HO188" s="12"/>
      <c r="HP188" s="11"/>
      <c r="HQ188" s="13"/>
      <c r="HR188" s="11"/>
      <c r="HS188" s="11"/>
      <c r="HT188" s="13"/>
      <c r="HU188" s="11"/>
      <c r="HV188" s="12"/>
      <c r="HW188" s="12"/>
      <c r="HX188" s="11"/>
      <c r="HY188" s="13"/>
      <c r="HZ188" s="11"/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/>
      <c r="IO188" s="13"/>
      <c r="IP188" s="11"/>
      <c r="IQ188" s="11"/>
      <c r="IR188" s="13"/>
      <c r="IS188" s="11"/>
      <c r="IT188" s="12"/>
      <c r="IU188" s="12"/>
      <c r="IV188" s="11"/>
      <c r="IW188" s="13"/>
      <c r="IX188" s="11"/>
      <c r="IY188" s="11"/>
      <c r="IZ188" s="13"/>
      <c r="JA188" s="11"/>
      <c r="JB188" s="12"/>
      <c r="JC188" s="12"/>
      <c r="JD188" s="11"/>
      <c r="JE188" s="13"/>
      <c r="JF188" s="11"/>
      <c r="JG188" s="11"/>
      <c r="JH188" s="13"/>
      <c r="JI188" s="11"/>
      <c r="JJ188" s="12"/>
      <c r="JK188" s="12"/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/>
      <c r="JW188" s="11"/>
      <c r="JX188" s="13"/>
      <c r="JY188" s="11"/>
      <c r="JZ188" s="12"/>
      <c r="KA188" s="12"/>
      <c r="KB188" s="11"/>
      <c r="KC188" s="13"/>
      <c r="KD188" s="11"/>
      <c r="KE188" s="11"/>
      <c r="KF188" s="13"/>
      <c r="KG188" s="11"/>
      <c r="KH188" s="12"/>
      <c r="KI188" s="12"/>
      <c r="KJ188" s="11"/>
      <c r="KK188" s="13"/>
      <c r="KL188" s="11"/>
      <c r="KM188" s="11"/>
      <c r="KN188" s="13"/>
      <c r="KO188" s="11"/>
      <c r="KP188" s="12"/>
      <c r="KQ188" s="12"/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  <c r="LH188" s="11"/>
      <c r="LI188" s="13"/>
      <c r="LJ188" s="11"/>
      <c r="LK188" s="11"/>
      <c r="LL188" s="13"/>
      <c r="LM188" s="11"/>
      <c r="LN188" s="12"/>
      <c r="LO188" s="12"/>
      <c r="LP188" s="11"/>
      <c r="LQ188" s="13"/>
      <c r="LR188" s="11"/>
      <c r="LS188" s="11"/>
      <c r="LT188" s="13"/>
      <c r="LU188" s="11"/>
      <c r="LV188" s="12"/>
      <c r="LW188" s="12"/>
    </row>
    <row r="189">
      <c r="A189" s="10" t="s">
        <v>168</v>
      </c>
      <c r="B189" s="10" t="s">
        <v>122</v>
      </c>
      <c r="C189" s="10" t="s">
        <v>93</v>
      </c>
      <c r="D189" s="11">
        <v>718</v>
      </c>
      <c r="E189" s="11">
        <f>=ROUNDDOWN(21.7575757575758,0)</f>
      </c>
      <c r="F189" s="11"/>
      <c r="G189" s="12">
        <v>0.7391</v>
      </c>
      <c r="H189" s="11"/>
      <c r="I189" s="11">
        <f>=ROUNDDOWN({0},0)</f>
      </c>
      <c r="J189" s="11"/>
      <c r="K189" s="12"/>
      <c r="L189" s="11">
        <v>346</v>
      </c>
      <c r="M189" s="13">
        <v>6279.38</v>
      </c>
      <c r="N189" s="11">
        <v>1</v>
      </c>
      <c r="O189" s="14">
        <v>6279.38</v>
      </c>
      <c r="P189" s="11"/>
      <c r="Q189" s="13"/>
      <c r="R189" s="11"/>
      <c r="S189" s="14"/>
      <c r="T189" s="12"/>
      <c r="U189" s="12"/>
      <c r="V189" s="12"/>
      <c r="W189" s="12"/>
      <c r="X189" s="11"/>
      <c r="Y189" s="13"/>
      <c r="Z189" s="11"/>
      <c r="AA189" s="11"/>
      <c r="AB189" s="13"/>
      <c r="AC189" s="11"/>
      <c r="AD189" s="12"/>
      <c r="AE189" s="12"/>
      <c r="AF189" s="11">
        <v>133</v>
      </c>
      <c r="AG189" s="13">
        <v>2112.48</v>
      </c>
      <c r="AH189" s="11">
        <v>1</v>
      </c>
      <c r="AI189" s="11"/>
      <c r="AJ189" s="13"/>
      <c r="AK189" s="11"/>
      <c r="AL189" s="12"/>
      <c r="AM189" s="12"/>
      <c r="AN189" s="11">
        <v>4</v>
      </c>
      <c r="AO189" s="13">
        <v>72.2</v>
      </c>
      <c r="AP189" s="11">
        <v>1</v>
      </c>
      <c r="AQ189" s="11"/>
      <c r="AR189" s="13"/>
      <c r="AS189" s="11"/>
      <c r="AT189" s="12"/>
      <c r="AU189" s="12"/>
      <c r="AV189" s="11"/>
      <c r="AW189" s="13"/>
      <c r="AX189" s="11"/>
      <c r="AY189" s="11"/>
      <c r="AZ189" s="13"/>
      <c r="BA189" s="11"/>
      <c r="BB189" s="12"/>
      <c r="BC189" s="12"/>
      <c r="BD189" s="11">
        <v>12</v>
      </c>
      <c r="BE189" s="13">
        <v>220.32</v>
      </c>
      <c r="BF189" s="11">
        <v>1</v>
      </c>
      <c r="BG189" s="11"/>
      <c r="BH189" s="13"/>
      <c r="BI189" s="11"/>
      <c r="BJ189" s="12"/>
      <c r="BK189" s="12"/>
      <c r="BL189" s="11">
        <v>98</v>
      </c>
      <c r="BM189" s="13">
        <v>1839.46</v>
      </c>
      <c r="BN189" s="11">
        <v>1</v>
      </c>
      <c r="BO189" s="11"/>
      <c r="BP189" s="13"/>
      <c r="BQ189" s="11"/>
      <c r="BR189" s="12"/>
      <c r="BS189" s="12"/>
      <c r="BT189" s="11">
        <v>86</v>
      </c>
      <c r="BU189" s="13">
        <v>1788.96</v>
      </c>
      <c r="BV189" s="11">
        <v>1</v>
      </c>
      <c r="BW189" s="11"/>
      <c r="BX189" s="13"/>
      <c r="BY189" s="11"/>
      <c r="BZ189" s="12"/>
      <c r="CA189" s="12"/>
      <c r="CB189" s="11">
        <v>8</v>
      </c>
      <c r="CC189" s="13">
        <v>154.16</v>
      </c>
      <c r="CD189" s="11">
        <v>1</v>
      </c>
      <c r="CE189" s="11"/>
      <c r="CF189" s="13"/>
      <c r="CG189" s="11"/>
      <c r="CH189" s="12"/>
      <c r="CI189" s="12"/>
      <c r="CJ189" s="11"/>
      <c r="CK189" s="13"/>
      <c r="CL189" s="11">
        <v>1</v>
      </c>
      <c r="CM189" s="11"/>
      <c r="CN189" s="13"/>
      <c r="CO189" s="11"/>
      <c r="CP189" s="12"/>
      <c r="CQ189" s="12"/>
      <c r="CR189" s="11"/>
      <c r="CS189" s="13"/>
      <c r="CT189" s="11"/>
      <c r="CU189" s="11"/>
      <c r="CV189" s="13"/>
      <c r="CW189" s="11"/>
      <c r="CX189" s="12"/>
      <c r="CY189" s="12"/>
      <c r="CZ189" s="11"/>
      <c r="DA189" s="13"/>
      <c r="DB189" s="11"/>
      <c r="DC189" s="11"/>
      <c r="DD189" s="13"/>
      <c r="DE189" s="11"/>
      <c r="DF189" s="12"/>
      <c r="DG189" s="12"/>
      <c r="DH189" s="11"/>
      <c r="DI189" s="13"/>
      <c r="DJ189" s="11"/>
      <c r="DK189" s="11"/>
      <c r="DL189" s="13"/>
      <c r="DM189" s="11"/>
      <c r="DN189" s="12"/>
      <c r="DO189" s="12"/>
      <c r="DP189" s="11">
        <v>5</v>
      </c>
      <c r="DQ189" s="13">
        <v>91.8</v>
      </c>
      <c r="DR189" s="11">
        <v>1</v>
      </c>
      <c r="DS189" s="11"/>
      <c r="DT189" s="13"/>
      <c r="DU189" s="11"/>
      <c r="DV189" s="12"/>
      <c r="DW189" s="12"/>
      <c r="DX189" s="11"/>
      <c r="DY189" s="13"/>
      <c r="DZ189" s="11"/>
      <c r="EA189" s="11"/>
      <c r="EB189" s="13"/>
      <c r="EC189" s="11"/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>
        <v>1</v>
      </c>
      <c r="EQ189" s="11"/>
      <c r="ER189" s="13"/>
      <c r="ES189" s="11"/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/>
      <c r="GM189" s="11"/>
      <c r="GN189" s="13"/>
      <c r="GO189" s="11"/>
      <c r="GP189" s="12"/>
      <c r="GQ189" s="12"/>
      <c r="GR189" s="11"/>
      <c r="GS189" s="13"/>
      <c r="GT189" s="11">
        <v>1</v>
      </c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/>
      <c r="HK189" s="11"/>
      <c r="HL189" s="13"/>
      <c r="HM189" s="11"/>
      <c r="HN189" s="12"/>
      <c r="HO189" s="12"/>
      <c r="HP189" s="11"/>
      <c r="HQ189" s="13"/>
      <c r="HR189" s="11"/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/>
      <c r="IY189" s="11"/>
      <c r="IZ189" s="13"/>
      <c r="JA189" s="11"/>
      <c r="JB189" s="12"/>
      <c r="JC189" s="12"/>
      <c r="JD189" s="11"/>
      <c r="JE189" s="13"/>
      <c r="JF189" s="11"/>
      <c r="JG189" s="11"/>
      <c r="JH189" s="13"/>
      <c r="JI189" s="11"/>
      <c r="JJ189" s="12"/>
      <c r="JK189" s="12"/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>
        <v>1</v>
      </c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/>
      <c r="KN189" s="13"/>
      <c r="KO189" s="11"/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  <c r="LH189" s="11"/>
      <c r="LI189" s="13"/>
      <c r="LJ189" s="11"/>
      <c r="LK189" s="11"/>
      <c r="LL189" s="13"/>
      <c r="LM189" s="11"/>
      <c r="LN189" s="12"/>
      <c r="LO189" s="12"/>
      <c r="LP189" s="11"/>
      <c r="LQ189" s="13"/>
      <c r="LR189" s="11"/>
      <c r="LS189" s="11"/>
      <c r="LT189" s="13"/>
      <c r="LU189" s="11"/>
      <c r="LV189" s="12"/>
      <c r="LW189" s="12"/>
    </row>
    <row r="190">
      <c r="A190" s="10" t="s">
        <v>168</v>
      </c>
      <c r="B190" s="10" t="s">
        <v>123</v>
      </c>
      <c r="C190" s="10" t="s">
        <v>77</v>
      </c>
      <c r="D190" s="11">
        <v>4891</v>
      </c>
      <c r="E190" s="11">
        <f>=ROUNDDOWN({0},0)</f>
      </c>
      <c r="F190" s="11">
        <v>1401</v>
      </c>
      <c r="G190" s="12"/>
      <c r="H190" s="11"/>
      <c r="I190" s="11">
        <f>=ROUNDDOWN({0},0)</f>
      </c>
      <c r="J190" s="11"/>
      <c r="K190" s="12"/>
      <c r="L190" s="11">
        <v>1581</v>
      </c>
      <c r="M190" s="13">
        <v>99140.97</v>
      </c>
      <c r="N190" s="11">
        <v>15</v>
      </c>
      <c r="O190" s="14">
        <v>6609.4</v>
      </c>
      <c r="P190" s="11"/>
      <c r="Q190" s="13"/>
      <c r="R190" s="11"/>
      <c r="S190" s="14"/>
      <c r="T190" s="12"/>
      <c r="U190" s="12"/>
      <c r="V190" s="12"/>
      <c r="W190" s="12"/>
      <c r="X190" s="11">
        <v>20</v>
      </c>
      <c r="Y190" s="13">
        <v>2042.42</v>
      </c>
      <c r="Z190" s="11">
        <v>6</v>
      </c>
      <c r="AA190" s="11"/>
      <c r="AB190" s="13"/>
      <c r="AC190" s="11"/>
      <c r="AD190" s="12"/>
      <c r="AE190" s="12"/>
      <c r="AF190" s="11">
        <v>582</v>
      </c>
      <c r="AG190" s="13">
        <v>33068.3</v>
      </c>
      <c r="AH190" s="11">
        <v>15</v>
      </c>
      <c r="AI190" s="11"/>
      <c r="AJ190" s="13"/>
      <c r="AK190" s="11"/>
      <c r="AL190" s="12"/>
      <c r="AM190" s="12"/>
      <c r="AN190" s="11">
        <v>141</v>
      </c>
      <c r="AO190" s="13">
        <v>8241.43</v>
      </c>
      <c r="AP190" s="11">
        <v>15</v>
      </c>
      <c r="AQ190" s="11"/>
      <c r="AR190" s="13"/>
      <c r="AS190" s="11"/>
      <c r="AT190" s="12"/>
      <c r="AU190" s="12"/>
      <c r="AV190" s="11">
        <v>36</v>
      </c>
      <c r="AW190" s="13">
        <v>1672.1</v>
      </c>
      <c r="AX190" s="11">
        <v>1</v>
      </c>
      <c r="AY190" s="11"/>
      <c r="AZ190" s="13"/>
      <c r="BA190" s="11"/>
      <c r="BB190" s="12"/>
      <c r="BC190" s="12"/>
      <c r="BD190" s="11">
        <v>45</v>
      </c>
      <c r="BE190" s="13">
        <v>1811.44</v>
      </c>
      <c r="BF190" s="11">
        <v>15</v>
      </c>
      <c r="BG190" s="11"/>
      <c r="BH190" s="13"/>
      <c r="BI190" s="11"/>
      <c r="BJ190" s="12"/>
      <c r="BK190" s="12"/>
      <c r="BL190" s="11">
        <v>295</v>
      </c>
      <c r="BM190" s="13">
        <v>17488.36</v>
      </c>
      <c r="BN190" s="11">
        <v>15</v>
      </c>
      <c r="BO190" s="11"/>
      <c r="BP190" s="13"/>
      <c r="BQ190" s="11"/>
      <c r="BR190" s="12"/>
      <c r="BS190" s="12"/>
      <c r="BT190" s="11">
        <v>329</v>
      </c>
      <c r="BU190" s="13">
        <v>23959.95</v>
      </c>
      <c r="BV190" s="11">
        <v>15</v>
      </c>
      <c r="BW190" s="11"/>
      <c r="BX190" s="13"/>
      <c r="BY190" s="11"/>
      <c r="BZ190" s="12"/>
      <c r="CA190" s="12"/>
      <c r="CB190" s="11">
        <v>63</v>
      </c>
      <c r="CC190" s="13">
        <v>4384.12</v>
      </c>
      <c r="CD190" s="11">
        <v>15</v>
      </c>
      <c r="CE190" s="11"/>
      <c r="CF190" s="13"/>
      <c r="CG190" s="11"/>
      <c r="CH190" s="12"/>
      <c r="CI190" s="12"/>
      <c r="CJ190" s="11">
        <v>27</v>
      </c>
      <c r="CK190" s="13">
        <v>4292.25</v>
      </c>
      <c r="CL190" s="11">
        <v>15</v>
      </c>
      <c r="CM190" s="11"/>
      <c r="CN190" s="13"/>
      <c r="CO190" s="11"/>
      <c r="CP190" s="12"/>
      <c r="CQ190" s="12"/>
      <c r="CR190" s="11"/>
      <c r="CS190" s="13"/>
      <c r="CT190" s="11"/>
      <c r="CU190" s="11"/>
      <c r="CV190" s="13"/>
      <c r="CW190" s="11"/>
      <c r="CX190" s="12"/>
      <c r="CY190" s="12"/>
      <c r="CZ190" s="11"/>
      <c r="DA190" s="13"/>
      <c r="DB190" s="11"/>
      <c r="DC190" s="11"/>
      <c r="DD190" s="13"/>
      <c r="DE190" s="11"/>
      <c r="DF190" s="12"/>
      <c r="DG190" s="12"/>
      <c r="DH190" s="11"/>
      <c r="DI190" s="13"/>
      <c r="DJ190" s="11"/>
      <c r="DK190" s="11"/>
      <c r="DL190" s="13"/>
      <c r="DM190" s="11"/>
      <c r="DN190" s="12"/>
      <c r="DO190" s="12"/>
      <c r="DP190" s="11">
        <v>31</v>
      </c>
      <c r="DQ190" s="13">
        <v>1542.9</v>
      </c>
      <c r="DR190" s="11">
        <v>9</v>
      </c>
      <c r="DS190" s="11"/>
      <c r="DT190" s="13"/>
      <c r="DU190" s="11"/>
      <c r="DV190" s="12"/>
      <c r="DW190" s="12"/>
      <c r="DX190" s="11"/>
      <c r="DY190" s="13"/>
      <c r="DZ190" s="11"/>
      <c r="EA190" s="11"/>
      <c r="EB190" s="13"/>
      <c r="EC190" s="11"/>
      <c r="ED190" s="12"/>
      <c r="EE190" s="12"/>
      <c r="EF190" s="11"/>
      <c r="EG190" s="13"/>
      <c r="EH190" s="11"/>
      <c r="EI190" s="11"/>
      <c r="EJ190" s="13"/>
      <c r="EK190" s="11"/>
      <c r="EL190" s="12"/>
      <c r="EM190" s="12"/>
      <c r="EN190" s="11">
        <v>1</v>
      </c>
      <c r="EO190" s="13">
        <v>89.99</v>
      </c>
      <c r="EP190" s="11">
        <v>15</v>
      </c>
      <c r="EQ190" s="11"/>
      <c r="ER190" s="13"/>
      <c r="ES190" s="11"/>
      <c r="ET190" s="12"/>
      <c r="EU190" s="12"/>
      <c r="EV190" s="11"/>
      <c r="EW190" s="13"/>
      <c r="EX190" s="11"/>
      <c r="EY190" s="11"/>
      <c r="EZ190" s="13"/>
      <c r="FA190" s="11"/>
      <c r="FB190" s="12"/>
      <c r="FC190" s="12"/>
      <c r="FD190" s="11">
        <v>3</v>
      </c>
      <c r="FE190" s="13">
        <v>148.71</v>
      </c>
      <c r="FF190" s="11">
        <v>1</v>
      </c>
      <c r="FG190" s="11"/>
      <c r="FH190" s="13"/>
      <c r="FI190" s="11"/>
      <c r="FJ190" s="12"/>
      <c r="FK190" s="12"/>
      <c r="FL190" s="11">
        <v>8</v>
      </c>
      <c r="FM190" s="13">
        <v>399</v>
      </c>
      <c r="FN190" s="11">
        <v>2</v>
      </c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/>
      <c r="GK190" s="13"/>
      <c r="GL190" s="11"/>
      <c r="GM190" s="11"/>
      <c r="GN190" s="13"/>
      <c r="GO190" s="11"/>
      <c r="GP190" s="12"/>
      <c r="GQ190" s="12"/>
      <c r="GR190" s="11"/>
      <c r="GS190" s="13"/>
      <c r="GT190" s="11">
        <v>4</v>
      </c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/>
      <c r="HI190" s="13"/>
      <c r="HJ190" s="11"/>
      <c r="HK190" s="11"/>
      <c r="HL190" s="13"/>
      <c r="HM190" s="11"/>
      <c r="HN190" s="12"/>
      <c r="HO190" s="12"/>
      <c r="HP190" s="11"/>
      <c r="HQ190" s="13"/>
      <c r="HR190" s="11"/>
      <c r="HS190" s="11"/>
      <c r="HT190" s="13"/>
      <c r="HU190" s="11"/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/>
      <c r="IY190" s="11"/>
      <c r="IZ190" s="13"/>
      <c r="JA190" s="11"/>
      <c r="JB190" s="12"/>
      <c r="JC190" s="12"/>
      <c r="JD190" s="11"/>
      <c r="JE190" s="13"/>
      <c r="JF190" s="11"/>
      <c r="JG190" s="11"/>
      <c r="JH190" s="13"/>
      <c r="JI190" s="11"/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>
        <v>1</v>
      </c>
      <c r="JW190" s="11"/>
      <c r="JX190" s="13"/>
      <c r="JY190" s="11"/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/>
      <c r="KM190" s="11"/>
      <c r="KN190" s="13"/>
      <c r="KO190" s="11"/>
      <c r="KP190" s="12"/>
      <c r="KQ190" s="12"/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  <c r="LH190" s="11"/>
      <c r="LI190" s="13"/>
      <c r="LJ190" s="11"/>
      <c r="LK190" s="11"/>
      <c r="LL190" s="13"/>
      <c r="LM190" s="11"/>
      <c r="LN190" s="12"/>
      <c r="LO190" s="12"/>
      <c r="LP190" s="11"/>
      <c r="LQ190" s="13"/>
      <c r="LR190" s="11"/>
      <c r="LS190" s="11"/>
      <c r="LT190" s="13"/>
      <c r="LU190" s="11"/>
      <c r="LV190" s="12"/>
      <c r="LW190" s="12"/>
    </row>
    <row r="191">
      <c r="A191" s="10" t="s">
        <v>168</v>
      </c>
      <c r="B191" s="10" t="s">
        <v>124</v>
      </c>
      <c r="C191" s="10" t="s">
        <v>74</v>
      </c>
      <c r="D191" s="11">
        <v>41067</v>
      </c>
      <c r="E191" s="11">
        <f>=ROUNDDOWN(6.16501283533244,0)</f>
      </c>
      <c r="F191" s="11">
        <v>77370</v>
      </c>
      <c r="G191" s="12">
        <v>0.6305</v>
      </c>
      <c r="H191" s="11"/>
      <c r="I191" s="11">
        <f>=ROUNDDOWN({0},0)</f>
      </c>
      <c r="J191" s="11"/>
      <c r="K191" s="12"/>
      <c r="L191" s="11">
        <v>6</v>
      </c>
      <c r="M191" s="13">
        <v>84.66</v>
      </c>
      <c r="N191" s="11"/>
      <c r="O191" s="14"/>
      <c r="P191" s="11"/>
      <c r="Q191" s="13"/>
      <c r="R191" s="11"/>
      <c r="S191" s="14"/>
      <c r="T191" s="12"/>
      <c r="U191" s="12"/>
      <c r="V191" s="12"/>
      <c r="W191" s="12"/>
      <c r="X191" s="11"/>
      <c r="Y191" s="13"/>
      <c r="Z191" s="11"/>
      <c r="AA191" s="11"/>
      <c r="AB191" s="13"/>
      <c r="AC191" s="11"/>
      <c r="AD191" s="12"/>
      <c r="AE191" s="12"/>
      <c r="AF191" s="11"/>
      <c r="AG191" s="13"/>
      <c r="AH191" s="11"/>
      <c r="AI191" s="11"/>
      <c r="AJ191" s="13"/>
      <c r="AK191" s="11"/>
      <c r="AL191" s="12"/>
      <c r="AM191" s="12"/>
      <c r="AN191" s="11"/>
      <c r="AO191" s="13"/>
      <c r="AP191" s="11"/>
      <c r="AQ191" s="11"/>
      <c r="AR191" s="13"/>
      <c r="AS191" s="11"/>
      <c r="AT191" s="12"/>
      <c r="AU191" s="12"/>
      <c r="AV191" s="11"/>
      <c r="AW191" s="13"/>
      <c r="AX191" s="11"/>
      <c r="AY191" s="11"/>
      <c r="AZ191" s="13"/>
      <c r="BA191" s="11"/>
      <c r="BB191" s="12"/>
      <c r="BC191" s="12"/>
      <c r="BD191" s="11"/>
      <c r="BE191" s="13"/>
      <c r="BF191" s="11"/>
      <c r="BG191" s="11"/>
      <c r="BH191" s="13"/>
      <c r="BI191" s="11"/>
      <c r="BJ191" s="12"/>
      <c r="BK191" s="12"/>
      <c r="BL191" s="11"/>
      <c r="BM191" s="13"/>
      <c r="BN191" s="11"/>
      <c r="BO191" s="11"/>
      <c r="BP191" s="13"/>
      <c r="BQ191" s="11"/>
      <c r="BR191" s="12"/>
      <c r="BS191" s="12"/>
      <c r="BT191" s="11"/>
      <c r="BU191" s="13"/>
      <c r="BV191" s="11"/>
      <c r="BW191" s="11"/>
      <c r="BX191" s="13"/>
      <c r="BY191" s="11"/>
      <c r="BZ191" s="12"/>
      <c r="CA191" s="12"/>
      <c r="CB191" s="11"/>
      <c r="CC191" s="13"/>
      <c r="CD191" s="11"/>
      <c r="CE191" s="11"/>
      <c r="CF191" s="13"/>
      <c r="CG191" s="11"/>
      <c r="CH191" s="12"/>
      <c r="CI191" s="12"/>
      <c r="CJ191" s="11"/>
      <c r="CK191" s="13"/>
      <c r="CL191" s="11"/>
      <c r="CM191" s="11"/>
      <c r="CN191" s="13"/>
      <c r="CO191" s="11"/>
      <c r="CP191" s="12"/>
      <c r="CQ191" s="12"/>
      <c r="CR191" s="11"/>
      <c r="CS191" s="13"/>
      <c r="CT191" s="11"/>
      <c r="CU191" s="11"/>
      <c r="CV191" s="13"/>
      <c r="CW191" s="11"/>
      <c r="CX191" s="12"/>
      <c r="CY191" s="12"/>
      <c r="CZ191" s="11"/>
      <c r="DA191" s="13"/>
      <c r="DB191" s="11"/>
      <c r="DC191" s="11"/>
      <c r="DD191" s="13"/>
      <c r="DE191" s="11"/>
      <c r="DF191" s="12"/>
      <c r="DG191" s="12"/>
      <c r="DH191" s="11"/>
      <c r="DI191" s="13"/>
      <c r="DJ191" s="11"/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/>
      <c r="DY191" s="13"/>
      <c r="DZ191" s="11"/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>
        <v>6</v>
      </c>
      <c r="EW191" s="13">
        <v>84.66</v>
      </c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/>
      <c r="GK191" s="13"/>
      <c r="GL191" s="11"/>
      <c r="GM191" s="11"/>
      <c r="GN191" s="13"/>
      <c r="GO191" s="11"/>
      <c r="GP191" s="12"/>
      <c r="GQ191" s="12"/>
      <c r="GR191" s="11"/>
      <c r="GS191" s="13"/>
      <c r="GT191" s="11"/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/>
      <c r="HI191" s="13"/>
      <c r="HJ191" s="11"/>
      <c r="HK191" s="11"/>
      <c r="HL191" s="13"/>
      <c r="HM191" s="11"/>
      <c r="HN191" s="12"/>
      <c r="HO191" s="12"/>
      <c r="HP191" s="11"/>
      <c r="HQ191" s="13"/>
      <c r="HR191" s="11"/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/>
      <c r="JG191" s="11"/>
      <c r="JH191" s="13"/>
      <c r="JI191" s="11"/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/>
      <c r="KM191" s="11"/>
      <c r="KN191" s="13"/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  <c r="LH191" s="11"/>
      <c r="LI191" s="13"/>
      <c r="LJ191" s="11"/>
      <c r="LK191" s="11"/>
      <c r="LL191" s="13"/>
      <c r="LM191" s="11"/>
      <c r="LN191" s="12"/>
      <c r="LO191" s="12"/>
      <c r="LP191" s="11"/>
      <c r="LQ191" s="13"/>
      <c r="LR191" s="11"/>
      <c r="LS191" s="11"/>
      <c r="LT191" s="13"/>
      <c r="LU191" s="11"/>
      <c r="LV191" s="12"/>
      <c r="LW191" s="12"/>
    </row>
    <row r="192">
      <c r="A192" s="10" t="s">
        <v>168</v>
      </c>
      <c r="B192" s="10" t="s">
        <v>125</v>
      </c>
      <c r="C192" s="10" t="s">
        <v>77</v>
      </c>
      <c r="D192" s="11">
        <v>41067</v>
      </c>
      <c r="E192" s="11">
        <f>=ROUNDDOWN({0},0)</f>
      </c>
      <c r="F192" s="11">
        <v>77370</v>
      </c>
      <c r="G192" s="12"/>
      <c r="H192" s="11"/>
      <c r="I192" s="11">
        <f>=ROUNDDOWN({0},0)</f>
      </c>
      <c r="J192" s="11"/>
      <c r="K192" s="12"/>
      <c r="L192" s="11">
        <v>6</v>
      </c>
      <c r="M192" s="13">
        <v>84.66</v>
      </c>
      <c r="N192" s="11"/>
      <c r="O192" s="14"/>
      <c r="P192" s="11"/>
      <c r="Q192" s="13"/>
      <c r="R192" s="11"/>
      <c r="S192" s="14"/>
      <c r="T192" s="12"/>
      <c r="U192" s="12"/>
      <c r="V192" s="12"/>
      <c r="W192" s="12"/>
      <c r="X192" s="11"/>
      <c r="Y192" s="13"/>
      <c r="Z192" s="11"/>
      <c r="AA192" s="11"/>
      <c r="AB192" s="13"/>
      <c r="AC192" s="11"/>
      <c r="AD192" s="12"/>
      <c r="AE192" s="12"/>
      <c r="AF192" s="11"/>
      <c r="AG192" s="13"/>
      <c r="AH192" s="11"/>
      <c r="AI192" s="11"/>
      <c r="AJ192" s="13"/>
      <c r="AK192" s="11"/>
      <c r="AL192" s="12"/>
      <c r="AM192" s="12"/>
      <c r="AN192" s="11"/>
      <c r="AO192" s="13"/>
      <c r="AP192" s="11"/>
      <c r="AQ192" s="11"/>
      <c r="AR192" s="13"/>
      <c r="AS192" s="11"/>
      <c r="AT192" s="12"/>
      <c r="AU192" s="12"/>
      <c r="AV192" s="11"/>
      <c r="AW192" s="13"/>
      <c r="AX192" s="11"/>
      <c r="AY192" s="11"/>
      <c r="AZ192" s="13"/>
      <c r="BA192" s="11"/>
      <c r="BB192" s="12"/>
      <c r="BC192" s="12"/>
      <c r="BD192" s="11"/>
      <c r="BE192" s="13"/>
      <c r="BF192" s="11"/>
      <c r="BG192" s="11"/>
      <c r="BH192" s="13"/>
      <c r="BI192" s="11"/>
      <c r="BJ192" s="12"/>
      <c r="BK192" s="12"/>
      <c r="BL192" s="11"/>
      <c r="BM192" s="13"/>
      <c r="BN192" s="11"/>
      <c r="BO192" s="11"/>
      <c r="BP192" s="13"/>
      <c r="BQ192" s="11"/>
      <c r="BR192" s="12"/>
      <c r="BS192" s="12"/>
      <c r="BT192" s="11"/>
      <c r="BU192" s="13"/>
      <c r="BV192" s="11"/>
      <c r="BW192" s="11"/>
      <c r="BX192" s="13"/>
      <c r="BY192" s="11"/>
      <c r="BZ192" s="12"/>
      <c r="CA192" s="12"/>
      <c r="CB192" s="11"/>
      <c r="CC192" s="13"/>
      <c r="CD192" s="11"/>
      <c r="CE192" s="11"/>
      <c r="CF192" s="13"/>
      <c r="CG192" s="11"/>
      <c r="CH192" s="12"/>
      <c r="CI192" s="12"/>
      <c r="CJ192" s="11"/>
      <c r="CK192" s="13"/>
      <c r="CL192" s="11"/>
      <c r="CM192" s="11"/>
      <c r="CN192" s="13"/>
      <c r="CO192" s="11"/>
      <c r="CP192" s="12"/>
      <c r="CQ192" s="12"/>
      <c r="CR192" s="11"/>
      <c r="CS192" s="13"/>
      <c r="CT192" s="11"/>
      <c r="CU192" s="11"/>
      <c r="CV192" s="13"/>
      <c r="CW192" s="11"/>
      <c r="CX192" s="12"/>
      <c r="CY192" s="12"/>
      <c r="CZ192" s="11"/>
      <c r="DA192" s="13"/>
      <c r="DB192" s="11"/>
      <c r="DC192" s="11"/>
      <c r="DD192" s="13"/>
      <c r="DE192" s="11"/>
      <c r="DF192" s="12"/>
      <c r="DG192" s="12"/>
      <c r="DH192" s="11"/>
      <c r="DI192" s="13"/>
      <c r="DJ192" s="11"/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/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>
        <v>6</v>
      </c>
      <c r="EW192" s="13">
        <v>84.66</v>
      </c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/>
      <c r="GM192" s="11"/>
      <c r="GN192" s="13"/>
      <c r="GO192" s="11"/>
      <c r="GP192" s="12"/>
      <c r="GQ192" s="12"/>
      <c r="GR192" s="11"/>
      <c r="GS192" s="13"/>
      <c r="GT192" s="11"/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/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/>
      <c r="JG192" s="11"/>
      <c r="JH192" s="13"/>
      <c r="JI192" s="11"/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/>
      <c r="KN192" s="13"/>
      <c r="KO192" s="11"/>
      <c r="KP192" s="12"/>
      <c r="KQ192" s="12"/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  <c r="LH192" s="11"/>
      <c r="LI192" s="13"/>
      <c r="LJ192" s="11"/>
      <c r="LK192" s="11"/>
      <c r="LL192" s="13"/>
      <c r="LM192" s="11"/>
      <c r="LN192" s="12"/>
      <c r="LO192" s="12"/>
      <c r="LP192" s="11"/>
      <c r="LQ192" s="13"/>
      <c r="LR192" s="11"/>
      <c r="LS192" s="11"/>
      <c r="LT192" s="13"/>
      <c r="LU192" s="11"/>
      <c r="LV192" s="12"/>
      <c r="LW192" s="12"/>
    </row>
    <row r="193">
      <c r="A193" s="10" t="s">
        <v>168</v>
      </c>
      <c r="B193" s="10" t="s">
        <v>130</v>
      </c>
      <c r="C193" s="10" t="s">
        <v>172</v>
      </c>
      <c r="D193" s="11"/>
      <c r="E193" s="11">
        <f>=ROUNDDOWN({0},0)</f>
      </c>
      <c r="F193" s="11"/>
      <c r="G193" s="12"/>
      <c r="H193" s="11"/>
      <c r="I193" s="11">
        <f>=ROUNDDOWN({0},0)</f>
      </c>
      <c r="J193" s="11"/>
      <c r="K193" s="12"/>
      <c r="L193" s="11"/>
      <c r="M193" s="13"/>
      <c r="N193" s="11"/>
      <c r="O193" s="14"/>
      <c r="P193" s="11"/>
      <c r="Q193" s="13"/>
      <c r="R193" s="11"/>
      <c r="S193" s="14"/>
      <c r="T193" s="12"/>
      <c r="U193" s="12"/>
      <c r="V193" s="12"/>
      <c r="W193" s="12"/>
      <c r="X193" s="11"/>
      <c r="Y193" s="13"/>
      <c r="Z193" s="11"/>
      <c r="AA193" s="11"/>
      <c r="AB193" s="13"/>
      <c r="AC193" s="11"/>
      <c r="AD193" s="12"/>
      <c r="AE193" s="12"/>
      <c r="AF193" s="11"/>
      <c r="AG193" s="13"/>
      <c r="AH193" s="11"/>
      <c r="AI193" s="11"/>
      <c r="AJ193" s="13"/>
      <c r="AK193" s="11"/>
      <c r="AL193" s="12"/>
      <c r="AM193" s="12"/>
      <c r="AN193" s="11"/>
      <c r="AO193" s="13"/>
      <c r="AP193" s="11"/>
      <c r="AQ193" s="11"/>
      <c r="AR193" s="13"/>
      <c r="AS193" s="11"/>
      <c r="AT193" s="12"/>
      <c r="AU193" s="12"/>
      <c r="AV193" s="11"/>
      <c r="AW193" s="13"/>
      <c r="AX193" s="11"/>
      <c r="AY193" s="11"/>
      <c r="AZ193" s="13"/>
      <c r="BA193" s="11"/>
      <c r="BB193" s="12"/>
      <c r="BC193" s="12"/>
      <c r="BD193" s="11"/>
      <c r="BE193" s="13"/>
      <c r="BF193" s="11"/>
      <c r="BG193" s="11"/>
      <c r="BH193" s="13"/>
      <c r="BI193" s="11"/>
      <c r="BJ193" s="12"/>
      <c r="BK193" s="12"/>
      <c r="BL193" s="11"/>
      <c r="BM193" s="13"/>
      <c r="BN193" s="11"/>
      <c r="BO193" s="11"/>
      <c r="BP193" s="13"/>
      <c r="BQ193" s="11"/>
      <c r="BR193" s="12"/>
      <c r="BS193" s="12"/>
      <c r="BT193" s="11"/>
      <c r="BU193" s="13"/>
      <c r="BV193" s="11"/>
      <c r="BW193" s="11"/>
      <c r="BX193" s="13"/>
      <c r="BY193" s="11"/>
      <c r="BZ193" s="12"/>
      <c r="CA193" s="12"/>
      <c r="CB193" s="11"/>
      <c r="CC193" s="13"/>
      <c r="CD193" s="11"/>
      <c r="CE193" s="11"/>
      <c r="CF193" s="13"/>
      <c r="CG193" s="11"/>
      <c r="CH193" s="12"/>
      <c r="CI193" s="12"/>
      <c r="CJ193" s="11"/>
      <c r="CK193" s="13"/>
      <c r="CL193" s="11"/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/>
      <c r="DC193" s="11"/>
      <c r="DD193" s="13"/>
      <c r="DE193" s="11"/>
      <c r="DF193" s="12"/>
      <c r="DG193" s="12"/>
      <c r="DH193" s="11"/>
      <c r="DI193" s="13"/>
      <c r="DJ193" s="11"/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/>
      <c r="DY193" s="13"/>
      <c r="DZ193" s="11"/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/>
      <c r="GM193" s="11"/>
      <c r="GN193" s="13"/>
      <c r="GO193" s="11"/>
      <c r="GP193" s="12"/>
      <c r="GQ193" s="12"/>
      <c r="GR193" s="11"/>
      <c r="GS193" s="13"/>
      <c r="GT193" s="11"/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/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/>
      <c r="JG193" s="11"/>
      <c r="JH193" s="13"/>
      <c r="JI193" s="11"/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/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  <c r="LH193" s="11"/>
      <c r="LI193" s="13"/>
      <c r="LJ193" s="11"/>
      <c r="LK193" s="11"/>
      <c r="LL193" s="13"/>
      <c r="LM193" s="11"/>
      <c r="LN193" s="12"/>
      <c r="LO193" s="12"/>
      <c r="LP193" s="11"/>
      <c r="LQ193" s="13"/>
      <c r="LR193" s="11"/>
      <c r="LS193" s="11"/>
      <c r="LT193" s="13"/>
      <c r="LU193" s="11"/>
      <c r="LV193" s="12"/>
      <c r="LW193" s="12"/>
    </row>
    <row r="194">
      <c r="A194" s="10" t="s">
        <v>168</v>
      </c>
      <c r="B194" s="10" t="s">
        <v>131</v>
      </c>
      <c r="C194" s="10" t="s">
        <v>77</v>
      </c>
      <c r="D194" s="11"/>
      <c r="E194" s="11">
        <f>=ROUNDDOWN({0},0)</f>
      </c>
      <c r="F194" s="11"/>
      <c r="G194" s="12"/>
      <c r="H194" s="11"/>
      <c r="I194" s="11">
        <f>=ROUNDDOWN({0},0)</f>
      </c>
      <c r="J194" s="11"/>
      <c r="K194" s="12"/>
      <c r="L194" s="11"/>
      <c r="M194" s="13"/>
      <c r="N194" s="11"/>
      <c r="O194" s="14"/>
      <c r="P194" s="11"/>
      <c r="Q194" s="13"/>
      <c r="R194" s="11"/>
      <c r="S194" s="14"/>
      <c r="T194" s="12"/>
      <c r="U194" s="12"/>
      <c r="V194" s="12"/>
      <c r="W194" s="12"/>
      <c r="X194" s="11"/>
      <c r="Y194" s="13"/>
      <c r="Z194" s="11"/>
      <c r="AA194" s="11"/>
      <c r="AB194" s="13"/>
      <c r="AC194" s="11"/>
      <c r="AD194" s="12"/>
      <c r="AE194" s="12"/>
      <c r="AF194" s="11"/>
      <c r="AG194" s="13"/>
      <c r="AH194" s="11"/>
      <c r="AI194" s="11"/>
      <c r="AJ194" s="13"/>
      <c r="AK194" s="11"/>
      <c r="AL194" s="12"/>
      <c r="AM194" s="12"/>
      <c r="AN194" s="11"/>
      <c r="AO194" s="13"/>
      <c r="AP194" s="11"/>
      <c r="AQ194" s="11"/>
      <c r="AR194" s="13"/>
      <c r="AS194" s="11"/>
      <c r="AT194" s="12"/>
      <c r="AU194" s="12"/>
      <c r="AV194" s="11"/>
      <c r="AW194" s="13"/>
      <c r="AX194" s="11"/>
      <c r="AY194" s="11"/>
      <c r="AZ194" s="13"/>
      <c r="BA194" s="11"/>
      <c r="BB194" s="12"/>
      <c r="BC194" s="12"/>
      <c r="BD194" s="11"/>
      <c r="BE194" s="13"/>
      <c r="BF194" s="11"/>
      <c r="BG194" s="11"/>
      <c r="BH194" s="13"/>
      <c r="BI194" s="11"/>
      <c r="BJ194" s="12"/>
      <c r="BK194" s="12"/>
      <c r="BL194" s="11"/>
      <c r="BM194" s="13"/>
      <c r="BN194" s="11"/>
      <c r="BO194" s="11"/>
      <c r="BP194" s="13"/>
      <c r="BQ194" s="11"/>
      <c r="BR194" s="12"/>
      <c r="BS194" s="12"/>
      <c r="BT194" s="11"/>
      <c r="BU194" s="13"/>
      <c r="BV194" s="11"/>
      <c r="BW194" s="11"/>
      <c r="BX194" s="13"/>
      <c r="BY194" s="11"/>
      <c r="BZ194" s="12"/>
      <c r="CA194" s="12"/>
      <c r="CB194" s="11"/>
      <c r="CC194" s="13"/>
      <c r="CD194" s="11"/>
      <c r="CE194" s="11"/>
      <c r="CF194" s="13"/>
      <c r="CG194" s="11"/>
      <c r="CH194" s="12"/>
      <c r="CI194" s="12"/>
      <c r="CJ194" s="11"/>
      <c r="CK194" s="13"/>
      <c r="CL194" s="11"/>
      <c r="CM194" s="11"/>
      <c r="CN194" s="13"/>
      <c r="CO194" s="11"/>
      <c r="CP194" s="12"/>
      <c r="CQ194" s="12"/>
      <c r="CR194" s="11"/>
      <c r="CS194" s="13"/>
      <c r="CT194" s="11"/>
      <c r="CU194" s="11"/>
      <c r="CV194" s="13"/>
      <c r="CW194" s="11"/>
      <c r="CX194" s="12"/>
      <c r="CY194" s="12"/>
      <c r="CZ194" s="11"/>
      <c r="DA194" s="13"/>
      <c r="DB194" s="11"/>
      <c r="DC194" s="11"/>
      <c r="DD194" s="13"/>
      <c r="DE194" s="11"/>
      <c r="DF194" s="12"/>
      <c r="DG194" s="12"/>
      <c r="DH194" s="11"/>
      <c r="DI194" s="13"/>
      <c r="DJ194" s="11"/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/>
      <c r="DY194" s="13"/>
      <c r="DZ194" s="11"/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/>
      <c r="GM194" s="11"/>
      <c r="GN194" s="13"/>
      <c r="GO194" s="11"/>
      <c r="GP194" s="12"/>
      <c r="GQ194" s="12"/>
      <c r="GR194" s="11"/>
      <c r="GS194" s="13"/>
      <c r="GT194" s="11"/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/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/>
      <c r="JG194" s="11"/>
      <c r="JH194" s="13"/>
      <c r="JI194" s="11"/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/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  <c r="LH194" s="11"/>
      <c r="LI194" s="13"/>
      <c r="LJ194" s="11"/>
      <c r="LK194" s="11"/>
      <c r="LL194" s="13"/>
      <c r="LM194" s="11"/>
      <c r="LN194" s="12"/>
      <c r="LO194" s="12"/>
      <c r="LP194" s="11"/>
      <c r="LQ194" s="13"/>
      <c r="LR194" s="11"/>
      <c r="LS194" s="11"/>
      <c r="LT194" s="13"/>
      <c r="LU194" s="11"/>
      <c r="LV194" s="12"/>
      <c r="LW194" s="12"/>
    </row>
    <row r="195">
      <c r="A195" s="10" t="s">
        <v>168</v>
      </c>
      <c r="B195" s="10" t="s">
        <v>174</v>
      </c>
      <c r="C195" s="10" t="s">
        <v>172</v>
      </c>
      <c r="D195" s="11">
        <v>1802</v>
      </c>
      <c r="E195" s="11">
        <f>=ROUNDDOWN(53,0)</f>
      </c>
      <c r="F195" s="11">
        <v>600</v>
      </c>
      <c r="G195" s="12"/>
      <c r="H195" s="11"/>
      <c r="I195" s="11">
        <f>=ROUNDDOWN({0},0)</f>
      </c>
      <c r="J195" s="11"/>
      <c r="K195" s="12"/>
      <c r="L195" s="11">
        <v>200</v>
      </c>
      <c r="M195" s="13">
        <v>5947.47</v>
      </c>
      <c r="N195" s="11">
        <v>3</v>
      </c>
      <c r="O195" s="14">
        <v>1982.49</v>
      </c>
      <c r="P195" s="11"/>
      <c r="Q195" s="13"/>
      <c r="R195" s="11"/>
      <c r="S195" s="14"/>
      <c r="T195" s="12"/>
      <c r="U195" s="12"/>
      <c r="V195" s="12"/>
      <c r="W195" s="12"/>
      <c r="X195" s="11"/>
      <c r="Y195" s="13"/>
      <c r="Z195" s="11">
        <v>3</v>
      </c>
      <c r="AA195" s="11"/>
      <c r="AB195" s="13"/>
      <c r="AC195" s="11"/>
      <c r="AD195" s="12"/>
      <c r="AE195" s="12"/>
      <c r="AF195" s="11">
        <v>3</v>
      </c>
      <c r="AG195" s="13">
        <v>88.99</v>
      </c>
      <c r="AH195" s="11">
        <v>3</v>
      </c>
      <c r="AI195" s="11"/>
      <c r="AJ195" s="13"/>
      <c r="AK195" s="11"/>
      <c r="AL195" s="12"/>
      <c r="AM195" s="12"/>
      <c r="AN195" s="11">
        <v>50</v>
      </c>
      <c r="AO195" s="13">
        <v>1599.44</v>
      </c>
      <c r="AP195" s="11">
        <v>3</v>
      </c>
      <c r="AQ195" s="11"/>
      <c r="AR195" s="13"/>
      <c r="AS195" s="11"/>
      <c r="AT195" s="12"/>
      <c r="AU195" s="12"/>
      <c r="AV195" s="11">
        <v>52</v>
      </c>
      <c r="AW195" s="13">
        <v>1564.19</v>
      </c>
      <c r="AX195" s="11">
        <v>3</v>
      </c>
      <c r="AY195" s="11"/>
      <c r="AZ195" s="13"/>
      <c r="BA195" s="11"/>
      <c r="BB195" s="12"/>
      <c r="BC195" s="12"/>
      <c r="BD195" s="11">
        <v>37</v>
      </c>
      <c r="BE195" s="13">
        <v>1160.58</v>
      </c>
      <c r="BF195" s="11">
        <v>3</v>
      </c>
      <c r="BG195" s="11"/>
      <c r="BH195" s="13"/>
      <c r="BI195" s="11"/>
      <c r="BJ195" s="12"/>
      <c r="BK195" s="12"/>
      <c r="BL195" s="11">
        <v>2</v>
      </c>
      <c r="BM195" s="13">
        <v>68.24</v>
      </c>
      <c r="BN195" s="11">
        <v>3</v>
      </c>
      <c r="BO195" s="11"/>
      <c r="BP195" s="13"/>
      <c r="BQ195" s="11"/>
      <c r="BR195" s="12"/>
      <c r="BS195" s="12"/>
      <c r="BT195" s="11"/>
      <c r="BU195" s="13"/>
      <c r="BV195" s="11">
        <v>3</v>
      </c>
      <c r="BW195" s="11"/>
      <c r="BX195" s="13"/>
      <c r="BY195" s="11"/>
      <c r="BZ195" s="12"/>
      <c r="CA195" s="12"/>
      <c r="CB195" s="11"/>
      <c r="CC195" s="13"/>
      <c r="CD195" s="11">
        <v>3</v>
      </c>
      <c r="CE195" s="11"/>
      <c r="CF195" s="13"/>
      <c r="CG195" s="11"/>
      <c r="CH195" s="12"/>
      <c r="CI195" s="12"/>
      <c r="CJ195" s="11"/>
      <c r="CK195" s="13"/>
      <c r="CL195" s="11">
        <v>3</v>
      </c>
      <c r="CM195" s="11"/>
      <c r="CN195" s="13"/>
      <c r="CO195" s="11"/>
      <c r="CP195" s="12"/>
      <c r="CQ195" s="12"/>
      <c r="CR195" s="11"/>
      <c r="CS195" s="13"/>
      <c r="CT195" s="11"/>
      <c r="CU195" s="11"/>
      <c r="CV195" s="13"/>
      <c r="CW195" s="11"/>
      <c r="CX195" s="12"/>
      <c r="CY195" s="12"/>
      <c r="CZ195" s="11"/>
      <c r="DA195" s="13"/>
      <c r="DB195" s="11"/>
      <c r="DC195" s="11"/>
      <c r="DD195" s="13"/>
      <c r="DE195" s="11"/>
      <c r="DF195" s="12"/>
      <c r="DG195" s="12"/>
      <c r="DH195" s="11"/>
      <c r="DI195" s="13"/>
      <c r="DJ195" s="11"/>
      <c r="DK195" s="11"/>
      <c r="DL195" s="13"/>
      <c r="DM195" s="11"/>
      <c r="DN195" s="12"/>
      <c r="DO195" s="12"/>
      <c r="DP195" s="11">
        <v>6</v>
      </c>
      <c r="DQ195" s="13">
        <v>183.72</v>
      </c>
      <c r="DR195" s="11">
        <v>3</v>
      </c>
      <c r="DS195" s="11"/>
      <c r="DT195" s="13"/>
      <c r="DU195" s="11"/>
      <c r="DV195" s="12"/>
      <c r="DW195" s="12"/>
      <c r="DX195" s="11">
        <v>50</v>
      </c>
      <c r="DY195" s="13">
        <v>1282.31</v>
      </c>
      <c r="DZ195" s="11">
        <v>3</v>
      </c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/>
      <c r="EL195" s="12"/>
      <c r="EM195" s="12"/>
      <c r="EN195" s="11"/>
      <c r="EO195" s="13"/>
      <c r="EP195" s="11">
        <v>3</v>
      </c>
      <c r="EQ195" s="11"/>
      <c r="ER195" s="13"/>
      <c r="ES195" s="11"/>
      <c r="ET195" s="12"/>
      <c r="EU195" s="12"/>
      <c r="EV195" s="11"/>
      <c r="EW195" s="13"/>
      <c r="EX195" s="11"/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/>
      <c r="GK195" s="13"/>
      <c r="GL195" s="11"/>
      <c r="GM195" s="11"/>
      <c r="GN195" s="13"/>
      <c r="GO195" s="11"/>
      <c r="GP195" s="12"/>
      <c r="GQ195" s="12"/>
      <c r="GR195" s="11"/>
      <c r="GS195" s="13"/>
      <c r="GT195" s="11"/>
      <c r="GU195" s="11"/>
      <c r="GV195" s="13"/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/>
      <c r="KE195" s="11"/>
      <c r="KF195" s="13"/>
      <c r="KG195" s="11"/>
      <c r="KH195" s="12"/>
      <c r="KI195" s="12"/>
      <c r="KJ195" s="11"/>
      <c r="KK195" s="13"/>
      <c r="KL195" s="11"/>
      <c r="KM195" s="11"/>
      <c r="KN195" s="13"/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  <c r="LH195" s="11"/>
      <c r="LI195" s="13"/>
      <c r="LJ195" s="11"/>
      <c r="LK195" s="11"/>
      <c r="LL195" s="13"/>
      <c r="LM195" s="11"/>
      <c r="LN195" s="12"/>
      <c r="LO195" s="12"/>
      <c r="LP195" s="11"/>
      <c r="LQ195" s="13"/>
      <c r="LR195" s="11"/>
      <c r="LS195" s="11"/>
      <c r="LT195" s="13"/>
      <c r="LU195" s="11"/>
      <c r="LV195" s="12"/>
      <c r="LW195" s="12"/>
    </row>
    <row r="196">
      <c r="A196" s="10" t="s">
        <v>168</v>
      </c>
      <c r="B196" s="10" t="s">
        <v>174</v>
      </c>
      <c r="C196" s="10" t="s">
        <v>74</v>
      </c>
      <c r="D196" s="11">
        <v>1488</v>
      </c>
      <c r="E196" s="11">
        <f>=ROUNDDOWN(25.2203389830508,0)</f>
      </c>
      <c r="F196" s="11">
        <v>1300</v>
      </c>
      <c r="G196" s="12"/>
      <c r="H196" s="11"/>
      <c r="I196" s="11">
        <f>=ROUNDDOWN({0},0)</f>
      </c>
      <c r="J196" s="11"/>
      <c r="K196" s="12"/>
      <c r="L196" s="11">
        <v>439</v>
      </c>
      <c r="M196" s="13">
        <v>18192.97</v>
      </c>
      <c r="N196" s="11">
        <v>3</v>
      </c>
      <c r="O196" s="14">
        <v>6064.32</v>
      </c>
      <c r="P196" s="11"/>
      <c r="Q196" s="13"/>
      <c r="R196" s="11"/>
      <c r="S196" s="14"/>
      <c r="T196" s="12"/>
      <c r="U196" s="12"/>
      <c r="V196" s="12"/>
      <c r="W196" s="12"/>
      <c r="X196" s="11">
        <v>1</v>
      </c>
      <c r="Y196" s="13">
        <v>46.54</v>
      </c>
      <c r="Z196" s="11">
        <v>3</v>
      </c>
      <c r="AA196" s="11"/>
      <c r="AB196" s="13"/>
      <c r="AC196" s="11"/>
      <c r="AD196" s="12"/>
      <c r="AE196" s="12"/>
      <c r="AF196" s="11">
        <v>3</v>
      </c>
      <c r="AG196" s="13">
        <v>89.5</v>
      </c>
      <c r="AH196" s="11">
        <v>3</v>
      </c>
      <c r="AI196" s="11"/>
      <c r="AJ196" s="13"/>
      <c r="AK196" s="11"/>
      <c r="AL196" s="12"/>
      <c r="AM196" s="12"/>
      <c r="AN196" s="11">
        <v>206</v>
      </c>
      <c r="AO196" s="13">
        <v>9016.67</v>
      </c>
      <c r="AP196" s="11">
        <v>3</v>
      </c>
      <c r="AQ196" s="11"/>
      <c r="AR196" s="13"/>
      <c r="AS196" s="11"/>
      <c r="AT196" s="12"/>
      <c r="AU196" s="12"/>
      <c r="AV196" s="11">
        <v>91</v>
      </c>
      <c r="AW196" s="13">
        <v>3687.67</v>
      </c>
      <c r="AX196" s="11">
        <v>3</v>
      </c>
      <c r="AY196" s="11"/>
      <c r="AZ196" s="13"/>
      <c r="BA196" s="11"/>
      <c r="BB196" s="12"/>
      <c r="BC196" s="12"/>
      <c r="BD196" s="11">
        <v>51</v>
      </c>
      <c r="BE196" s="13">
        <v>2223.12</v>
      </c>
      <c r="BF196" s="11">
        <v>3</v>
      </c>
      <c r="BG196" s="11"/>
      <c r="BH196" s="13"/>
      <c r="BI196" s="11"/>
      <c r="BJ196" s="12"/>
      <c r="BK196" s="12"/>
      <c r="BL196" s="11">
        <v>12</v>
      </c>
      <c r="BM196" s="13">
        <v>498.69</v>
      </c>
      <c r="BN196" s="11">
        <v>3</v>
      </c>
      <c r="BO196" s="11"/>
      <c r="BP196" s="13"/>
      <c r="BQ196" s="11"/>
      <c r="BR196" s="12"/>
      <c r="BS196" s="12"/>
      <c r="BT196" s="11">
        <v>6</v>
      </c>
      <c r="BU196" s="13">
        <v>243.37</v>
      </c>
      <c r="BV196" s="11">
        <v>3</v>
      </c>
      <c r="BW196" s="11"/>
      <c r="BX196" s="13"/>
      <c r="BY196" s="11"/>
      <c r="BZ196" s="12"/>
      <c r="CA196" s="12"/>
      <c r="CB196" s="11"/>
      <c r="CC196" s="13"/>
      <c r="CD196" s="11">
        <v>3</v>
      </c>
      <c r="CE196" s="11"/>
      <c r="CF196" s="13"/>
      <c r="CG196" s="11"/>
      <c r="CH196" s="12"/>
      <c r="CI196" s="12"/>
      <c r="CJ196" s="11"/>
      <c r="CK196" s="13"/>
      <c r="CL196" s="11">
        <v>3</v>
      </c>
      <c r="CM196" s="11"/>
      <c r="CN196" s="13"/>
      <c r="CO196" s="11"/>
      <c r="CP196" s="12"/>
      <c r="CQ196" s="12"/>
      <c r="CR196" s="11"/>
      <c r="CS196" s="13"/>
      <c r="CT196" s="11"/>
      <c r="CU196" s="11"/>
      <c r="CV196" s="13"/>
      <c r="CW196" s="11"/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/>
      <c r="DL196" s="13"/>
      <c r="DM196" s="11"/>
      <c r="DN196" s="12"/>
      <c r="DO196" s="12"/>
      <c r="DP196" s="11">
        <v>1</v>
      </c>
      <c r="DQ196" s="13">
        <v>39.37</v>
      </c>
      <c r="DR196" s="11">
        <v>3</v>
      </c>
      <c r="DS196" s="11"/>
      <c r="DT196" s="13"/>
      <c r="DU196" s="11"/>
      <c r="DV196" s="12"/>
      <c r="DW196" s="12"/>
      <c r="DX196" s="11">
        <v>68</v>
      </c>
      <c r="DY196" s="13">
        <v>2348.04</v>
      </c>
      <c r="DZ196" s="11">
        <v>3</v>
      </c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/>
      <c r="EO196" s="13"/>
      <c r="EP196" s="11">
        <v>3</v>
      </c>
      <c r="EQ196" s="11"/>
      <c r="ER196" s="13"/>
      <c r="ES196" s="11"/>
      <c r="ET196" s="12"/>
      <c r="EU196" s="12"/>
      <c r="EV196" s="11"/>
      <c r="EW196" s="13"/>
      <c r="EX196" s="11"/>
      <c r="EY196" s="11"/>
      <c r="EZ196" s="13"/>
      <c r="FA196" s="11"/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/>
      <c r="JP196" s="13"/>
      <c r="JQ196" s="11"/>
      <c r="JR196" s="12"/>
      <c r="JS196" s="12"/>
      <c r="JT196" s="11"/>
      <c r="JU196" s="13"/>
      <c r="JV196" s="11"/>
      <c r="JW196" s="11"/>
      <c r="JX196" s="13"/>
      <c r="JY196" s="11"/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  <c r="LH196" s="11"/>
      <c r="LI196" s="13"/>
      <c r="LJ196" s="11"/>
      <c r="LK196" s="11"/>
      <c r="LL196" s="13"/>
      <c r="LM196" s="11"/>
      <c r="LN196" s="12"/>
      <c r="LO196" s="12"/>
      <c r="LP196" s="11"/>
      <c r="LQ196" s="13"/>
      <c r="LR196" s="11"/>
      <c r="LS196" s="11"/>
      <c r="LT196" s="13"/>
      <c r="LU196" s="11"/>
      <c r="LV196" s="12"/>
      <c r="LW196" s="12"/>
    </row>
    <row r="197">
      <c r="A197" s="10" t="s">
        <v>168</v>
      </c>
      <c r="B197" s="10" t="s">
        <v>174</v>
      </c>
      <c r="C197" s="10" t="s">
        <v>169</v>
      </c>
      <c r="D197" s="11">
        <v>1411</v>
      </c>
      <c r="E197" s="11">
        <f>=ROUNDDOWN(26.622641509434,0)</f>
      </c>
      <c r="F197" s="11">
        <v>400</v>
      </c>
      <c r="G197" s="12"/>
      <c r="H197" s="11"/>
      <c r="I197" s="11">
        <f>=ROUNDDOWN({0},0)</f>
      </c>
      <c r="J197" s="11"/>
      <c r="K197" s="12"/>
      <c r="L197" s="11">
        <v>123</v>
      </c>
      <c r="M197" s="13">
        <v>3756.49</v>
      </c>
      <c r="N197" s="11">
        <v>4</v>
      </c>
      <c r="O197" s="14">
        <v>939.12</v>
      </c>
      <c r="P197" s="11"/>
      <c r="Q197" s="13"/>
      <c r="R197" s="11"/>
      <c r="S197" s="14"/>
      <c r="T197" s="12"/>
      <c r="U197" s="12"/>
      <c r="V197" s="12"/>
      <c r="W197" s="12"/>
      <c r="X197" s="11"/>
      <c r="Y197" s="13"/>
      <c r="Z197" s="11">
        <v>4</v>
      </c>
      <c r="AA197" s="11"/>
      <c r="AB197" s="13"/>
      <c r="AC197" s="11"/>
      <c r="AD197" s="12"/>
      <c r="AE197" s="12"/>
      <c r="AF197" s="11">
        <v>7</v>
      </c>
      <c r="AG197" s="13">
        <v>195.7</v>
      </c>
      <c r="AH197" s="11">
        <v>4</v>
      </c>
      <c r="AI197" s="11"/>
      <c r="AJ197" s="13"/>
      <c r="AK197" s="11"/>
      <c r="AL197" s="12"/>
      <c r="AM197" s="12"/>
      <c r="AN197" s="11">
        <v>48</v>
      </c>
      <c r="AO197" s="13">
        <v>1599.16</v>
      </c>
      <c r="AP197" s="11">
        <v>4</v>
      </c>
      <c r="AQ197" s="11"/>
      <c r="AR197" s="13"/>
      <c r="AS197" s="11"/>
      <c r="AT197" s="12"/>
      <c r="AU197" s="12"/>
      <c r="AV197" s="11">
        <v>6</v>
      </c>
      <c r="AW197" s="13">
        <v>199.5</v>
      </c>
      <c r="AX197" s="11">
        <v>4</v>
      </c>
      <c r="AY197" s="11"/>
      <c r="AZ197" s="13"/>
      <c r="BA197" s="11"/>
      <c r="BB197" s="12"/>
      <c r="BC197" s="12"/>
      <c r="BD197" s="11">
        <v>19</v>
      </c>
      <c r="BE197" s="13">
        <v>608.99</v>
      </c>
      <c r="BF197" s="11">
        <v>4</v>
      </c>
      <c r="BG197" s="11"/>
      <c r="BH197" s="13"/>
      <c r="BI197" s="11"/>
      <c r="BJ197" s="12"/>
      <c r="BK197" s="12"/>
      <c r="BL197" s="11">
        <v>3</v>
      </c>
      <c r="BM197" s="13">
        <v>105</v>
      </c>
      <c r="BN197" s="11">
        <v>4</v>
      </c>
      <c r="BO197" s="11"/>
      <c r="BP197" s="13"/>
      <c r="BQ197" s="11"/>
      <c r="BR197" s="12"/>
      <c r="BS197" s="12"/>
      <c r="BT197" s="11">
        <v>5</v>
      </c>
      <c r="BU197" s="13">
        <v>125.1</v>
      </c>
      <c r="BV197" s="11">
        <v>4</v>
      </c>
      <c r="BW197" s="11"/>
      <c r="BX197" s="13"/>
      <c r="BY197" s="11"/>
      <c r="BZ197" s="12"/>
      <c r="CA197" s="12"/>
      <c r="CB197" s="11"/>
      <c r="CC197" s="13"/>
      <c r="CD197" s="11">
        <v>4</v>
      </c>
      <c r="CE197" s="11"/>
      <c r="CF197" s="13"/>
      <c r="CG197" s="11"/>
      <c r="CH197" s="12"/>
      <c r="CI197" s="12"/>
      <c r="CJ197" s="11"/>
      <c r="CK197" s="13"/>
      <c r="CL197" s="11">
        <v>4</v>
      </c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/>
      <c r="DL197" s="13"/>
      <c r="DM197" s="11"/>
      <c r="DN197" s="12"/>
      <c r="DO197" s="12"/>
      <c r="DP197" s="11">
        <v>6</v>
      </c>
      <c r="DQ197" s="13">
        <v>196.86</v>
      </c>
      <c r="DR197" s="11">
        <v>4</v>
      </c>
      <c r="DS197" s="11"/>
      <c r="DT197" s="13"/>
      <c r="DU197" s="11"/>
      <c r="DV197" s="12"/>
      <c r="DW197" s="12"/>
      <c r="DX197" s="11">
        <v>29</v>
      </c>
      <c r="DY197" s="13">
        <v>726.18</v>
      </c>
      <c r="DZ197" s="11">
        <v>4</v>
      </c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>
        <v>4</v>
      </c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/>
      <c r="GU197" s="11"/>
      <c r="GV197" s="13"/>
      <c r="GW197" s="11"/>
      <c r="GX197" s="12"/>
      <c r="GY197" s="12"/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/>
      <c r="JP197" s="13"/>
      <c r="JQ197" s="11"/>
      <c r="JR197" s="12"/>
      <c r="JS197" s="12"/>
      <c r="JT197" s="11"/>
      <c r="JU197" s="13"/>
      <c r="JV197" s="11"/>
      <c r="JW197" s="11"/>
      <c r="JX197" s="13"/>
      <c r="JY197" s="11"/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  <c r="LH197" s="11"/>
      <c r="LI197" s="13"/>
      <c r="LJ197" s="11"/>
      <c r="LK197" s="11"/>
      <c r="LL197" s="13"/>
      <c r="LM197" s="11"/>
      <c r="LN197" s="12"/>
      <c r="LO197" s="12"/>
      <c r="LP197" s="11"/>
      <c r="LQ197" s="13"/>
      <c r="LR197" s="11"/>
      <c r="LS197" s="11"/>
      <c r="LT197" s="13"/>
      <c r="LU197" s="11"/>
      <c r="LV197" s="12"/>
      <c r="LW197" s="12"/>
    </row>
    <row r="198">
      <c r="A198" s="10" t="s">
        <v>168</v>
      </c>
      <c r="B198" s="10" t="s">
        <v>174</v>
      </c>
      <c r="C198" s="10" t="s">
        <v>115</v>
      </c>
      <c r="D198" s="11">
        <v>2181</v>
      </c>
      <c r="E198" s="11">
        <f>=ROUNDDOWN(26.5975609756098,0)</f>
      </c>
      <c r="F198" s="11">
        <v>4000</v>
      </c>
      <c r="G198" s="12"/>
      <c r="H198" s="11"/>
      <c r="I198" s="11">
        <f>=ROUNDDOWN({0},0)</f>
      </c>
      <c r="J198" s="11"/>
      <c r="K198" s="12"/>
      <c r="L198" s="11">
        <v>391</v>
      </c>
      <c r="M198" s="13">
        <v>6442.2</v>
      </c>
      <c r="N198" s="11">
        <v>4</v>
      </c>
      <c r="O198" s="14">
        <v>1610.55</v>
      </c>
      <c r="P198" s="11"/>
      <c r="Q198" s="13"/>
      <c r="R198" s="11"/>
      <c r="S198" s="14"/>
      <c r="T198" s="12"/>
      <c r="U198" s="12"/>
      <c r="V198" s="12"/>
      <c r="W198" s="12"/>
      <c r="X198" s="11">
        <v>1</v>
      </c>
      <c r="Y198" s="13">
        <v>17.63</v>
      </c>
      <c r="Z198" s="11">
        <v>4</v>
      </c>
      <c r="AA198" s="11"/>
      <c r="AB198" s="13"/>
      <c r="AC198" s="11"/>
      <c r="AD198" s="12"/>
      <c r="AE198" s="12"/>
      <c r="AF198" s="11">
        <v>3</v>
      </c>
      <c r="AG198" s="13">
        <v>46.69</v>
      </c>
      <c r="AH198" s="11">
        <v>4</v>
      </c>
      <c r="AI198" s="11"/>
      <c r="AJ198" s="13"/>
      <c r="AK198" s="11"/>
      <c r="AL198" s="12"/>
      <c r="AM198" s="12"/>
      <c r="AN198" s="11">
        <v>242</v>
      </c>
      <c r="AO198" s="13">
        <v>4205.96</v>
      </c>
      <c r="AP198" s="11">
        <v>4</v>
      </c>
      <c r="AQ198" s="11"/>
      <c r="AR198" s="13"/>
      <c r="AS198" s="11"/>
      <c r="AT198" s="12"/>
      <c r="AU198" s="12"/>
      <c r="AV198" s="11">
        <v>25</v>
      </c>
      <c r="AW198" s="13">
        <v>422.5</v>
      </c>
      <c r="AX198" s="11">
        <v>4</v>
      </c>
      <c r="AY198" s="11"/>
      <c r="AZ198" s="13"/>
      <c r="BA198" s="11"/>
      <c r="BB198" s="12"/>
      <c r="BC198" s="12"/>
      <c r="BD198" s="11">
        <v>29</v>
      </c>
      <c r="BE198" s="13">
        <v>490.1</v>
      </c>
      <c r="BF198" s="11">
        <v>4</v>
      </c>
      <c r="BG198" s="11"/>
      <c r="BH198" s="13"/>
      <c r="BI198" s="11"/>
      <c r="BJ198" s="12"/>
      <c r="BK198" s="12"/>
      <c r="BL198" s="11"/>
      <c r="BM198" s="13"/>
      <c r="BN198" s="11">
        <v>4</v>
      </c>
      <c r="BO198" s="11"/>
      <c r="BP198" s="13"/>
      <c r="BQ198" s="11"/>
      <c r="BR198" s="12"/>
      <c r="BS198" s="12"/>
      <c r="BT198" s="11">
        <v>6</v>
      </c>
      <c r="BU198" s="13">
        <v>96.6</v>
      </c>
      <c r="BV198" s="11">
        <v>4</v>
      </c>
      <c r="BW198" s="11"/>
      <c r="BX198" s="13"/>
      <c r="BY198" s="11"/>
      <c r="BZ198" s="12"/>
      <c r="CA198" s="12"/>
      <c r="CB198" s="11"/>
      <c r="CC198" s="13"/>
      <c r="CD198" s="11"/>
      <c r="CE198" s="11"/>
      <c r="CF198" s="13"/>
      <c r="CG198" s="11"/>
      <c r="CH198" s="12"/>
      <c r="CI198" s="12"/>
      <c r="CJ198" s="11"/>
      <c r="CK198" s="13"/>
      <c r="CL198" s="11">
        <v>4</v>
      </c>
      <c r="CM198" s="11"/>
      <c r="CN198" s="13"/>
      <c r="CO198" s="11"/>
      <c r="CP198" s="12"/>
      <c r="CQ198" s="12"/>
      <c r="CR198" s="11"/>
      <c r="CS198" s="13"/>
      <c r="CT198" s="11"/>
      <c r="CU198" s="11"/>
      <c r="CV198" s="13"/>
      <c r="CW198" s="11"/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>
        <v>4</v>
      </c>
      <c r="DQ198" s="13">
        <v>67.6</v>
      </c>
      <c r="DR198" s="11">
        <v>4</v>
      </c>
      <c r="DS198" s="11"/>
      <c r="DT198" s="13"/>
      <c r="DU198" s="11"/>
      <c r="DV198" s="12"/>
      <c r="DW198" s="12"/>
      <c r="DX198" s="11">
        <v>81</v>
      </c>
      <c r="DY198" s="13">
        <v>1095.12</v>
      </c>
      <c r="DZ198" s="11">
        <v>4</v>
      </c>
      <c r="EA198" s="11"/>
      <c r="EB198" s="13"/>
      <c r="EC198" s="11"/>
      <c r="ED198" s="12"/>
      <c r="EE198" s="12"/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>
        <v>4</v>
      </c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/>
      <c r="JP198" s="13"/>
      <c r="JQ198" s="11"/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/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  <c r="LH198" s="11"/>
      <c r="LI198" s="13"/>
      <c r="LJ198" s="11"/>
      <c r="LK198" s="11"/>
      <c r="LL198" s="13"/>
      <c r="LM198" s="11"/>
      <c r="LN198" s="12"/>
      <c r="LO198" s="12"/>
      <c r="LP198" s="11"/>
      <c r="LQ198" s="13"/>
      <c r="LR198" s="11"/>
      <c r="LS198" s="11"/>
      <c r="LT198" s="13"/>
      <c r="LU198" s="11"/>
      <c r="LV198" s="12"/>
      <c r="LW198" s="12"/>
    </row>
    <row r="199">
      <c r="A199" s="10" t="s">
        <v>168</v>
      </c>
      <c r="B199" s="10" t="s">
        <v>175</v>
      </c>
      <c r="C199" s="10" t="s">
        <v>77</v>
      </c>
      <c r="D199" s="11">
        <v>6882</v>
      </c>
      <c r="E199" s="11">
        <f>=ROUNDDOWN({0},0)</f>
      </c>
      <c r="F199" s="11">
        <v>6300</v>
      </c>
      <c r="G199" s="12"/>
      <c r="H199" s="11"/>
      <c r="I199" s="11">
        <f>=ROUNDDOWN({0},0)</f>
      </c>
      <c r="J199" s="11"/>
      <c r="K199" s="12"/>
      <c r="L199" s="11">
        <v>1153</v>
      </c>
      <c r="M199" s="13">
        <v>34339.13</v>
      </c>
      <c r="N199" s="11">
        <v>14</v>
      </c>
      <c r="O199" s="14">
        <v>2452.8</v>
      </c>
      <c r="P199" s="11"/>
      <c r="Q199" s="13"/>
      <c r="R199" s="11"/>
      <c r="S199" s="14"/>
      <c r="T199" s="12"/>
      <c r="U199" s="12"/>
      <c r="V199" s="12"/>
      <c r="W199" s="12"/>
      <c r="X199" s="11">
        <v>2</v>
      </c>
      <c r="Y199" s="13">
        <v>64.17</v>
      </c>
      <c r="Z199" s="11">
        <v>14</v>
      </c>
      <c r="AA199" s="11"/>
      <c r="AB199" s="13"/>
      <c r="AC199" s="11"/>
      <c r="AD199" s="12"/>
      <c r="AE199" s="12"/>
      <c r="AF199" s="11">
        <v>16</v>
      </c>
      <c r="AG199" s="13">
        <v>420.88</v>
      </c>
      <c r="AH199" s="11">
        <v>14</v>
      </c>
      <c r="AI199" s="11"/>
      <c r="AJ199" s="13"/>
      <c r="AK199" s="11"/>
      <c r="AL199" s="12"/>
      <c r="AM199" s="12"/>
      <c r="AN199" s="11">
        <v>546</v>
      </c>
      <c r="AO199" s="13">
        <v>16421.23</v>
      </c>
      <c r="AP199" s="11">
        <v>14</v>
      </c>
      <c r="AQ199" s="11"/>
      <c r="AR199" s="13"/>
      <c r="AS199" s="11"/>
      <c r="AT199" s="12"/>
      <c r="AU199" s="12"/>
      <c r="AV199" s="11">
        <v>174</v>
      </c>
      <c r="AW199" s="13">
        <v>5873.86</v>
      </c>
      <c r="AX199" s="11">
        <v>14</v>
      </c>
      <c r="AY199" s="11"/>
      <c r="AZ199" s="13"/>
      <c r="BA199" s="11"/>
      <c r="BB199" s="12"/>
      <c r="BC199" s="12"/>
      <c r="BD199" s="11">
        <v>136</v>
      </c>
      <c r="BE199" s="13">
        <v>4482.79</v>
      </c>
      <c r="BF199" s="11">
        <v>14</v>
      </c>
      <c r="BG199" s="11"/>
      <c r="BH199" s="13"/>
      <c r="BI199" s="11"/>
      <c r="BJ199" s="12"/>
      <c r="BK199" s="12"/>
      <c r="BL199" s="11">
        <v>17</v>
      </c>
      <c r="BM199" s="13">
        <v>671.93</v>
      </c>
      <c r="BN199" s="11">
        <v>14</v>
      </c>
      <c r="BO199" s="11"/>
      <c r="BP199" s="13"/>
      <c r="BQ199" s="11"/>
      <c r="BR199" s="12"/>
      <c r="BS199" s="12"/>
      <c r="BT199" s="11">
        <v>17</v>
      </c>
      <c r="BU199" s="13">
        <v>465.07</v>
      </c>
      <c r="BV199" s="11">
        <v>14</v>
      </c>
      <c r="BW199" s="11"/>
      <c r="BX199" s="13"/>
      <c r="BY199" s="11"/>
      <c r="BZ199" s="12"/>
      <c r="CA199" s="12"/>
      <c r="CB199" s="11"/>
      <c r="CC199" s="13"/>
      <c r="CD199" s="11">
        <v>10</v>
      </c>
      <c r="CE199" s="11"/>
      <c r="CF199" s="13"/>
      <c r="CG199" s="11"/>
      <c r="CH199" s="12"/>
      <c r="CI199" s="12"/>
      <c r="CJ199" s="11"/>
      <c r="CK199" s="13"/>
      <c r="CL199" s="11">
        <v>14</v>
      </c>
      <c r="CM199" s="11"/>
      <c r="CN199" s="13"/>
      <c r="CO199" s="11"/>
      <c r="CP199" s="12"/>
      <c r="CQ199" s="12"/>
      <c r="CR199" s="11"/>
      <c r="CS199" s="13"/>
      <c r="CT199" s="11"/>
      <c r="CU199" s="11"/>
      <c r="CV199" s="13"/>
      <c r="CW199" s="11"/>
      <c r="CX199" s="12"/>
      <c r="CY199" s="12"/>
      <c r="CZ199" s="11"/>
      <c r="DA199" s="13"/>
      <c r="DB199" s="11"/>
      <c r="DC199" s="11"/>
      <c r="DD199" s="13"/>
      <c r="DE199" s="11"/>
      <c r="DF199" s="12"/>
      <c r="DG199" s="12"/>
      <c r="DH199" s="11"/>
      <c r="DI199" s="13"/>
      <c r="DJ199" s="11"/>
      <c r="DK199" s="11"/>
      <c r="DL199" s="13"/>
      <c r="DM199" s="11"/>
      <c r="DN199" s="12"/>
      <c r="DO199" s="12"/>
      <c r="DP199" s="11">
        <v>17</v>
      </c>
      <c r="DQ199" s="13">
        <v>487.55</v>
      </c>
      <c r="DR199" s="11">
        <v>14</v>
      </c>
      <c r="DS199" s="11"/>
      <c r="DT199" s="13"/>
      <c r="DU199" s="11"/>
      <c r="DV199" s="12"/>
      <c r="DW199" s="12"/>
      <c r="DX199" s="11">
        <v>228</v>
      </c>
      <c r="DY199" s="13">
        <v>5451.65</v>
      </c>
      <c r="DZ199" s="11">
        <v>14</v>
      </c>
      <c r="EA199" s="11"/>
      <c r="EB199" s="13"/>
      <c r="EC199" s="11"/>
      <c r="ED199" s="12"/>
      <c r="EE199" s="12"/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>
        <v>14</v>
      </c>
      <c r="EQ199" s="11"/>
      <c r="ER199" s="13"/>
      <c r="ES199" s="11"/>
      <c r="ET199" s="12"/>
      <c r="EU199" s="12"/>
      <c r="EV199" s="11"/>
      <c r="EW199" s="13"/>
      <c r="EX199" s="11"/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/>
      <c r="GM199" s="11"/>
      <c r="GN199" s="13"/>
      <c r="GO199" s="11"/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/>
      <c r="HA199" s="13"/>
      <c r="HB199" s="11"/>
      <c r="HC199" s="11"/>
      <c r="HD199" s="13"/>
      <c r="HE199" s="11"/>
      <c r="HF199" s="12"/>
      <c r="HG199" s="12"/>
      <c r="HH199" s="11"/>
      <c r="HI199" s="13"/>
      <c r="HJ199" s="11"/>
      <c r="HK199" s="11"/>
      <c r="HL199" s="13"/>
      <c r="HM199" s="11"/>
      <c r="HN199" s="12"/>
      <c r="HO199" s="12"/>
      <c r="HP199" s="11"/>
      <c r="HQ199" s="13"/>
      <c r="HR199" s="11"/>
      <c r="HS199" s="11"/>
      <c r="HT199" s="13"/>
      <c r="HU199" s="11"/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/>
      <c r="JP199" s="13"/>
      <c r="JQ199" s="11"/>
      <c r="JR199" s="12"/>
      <c r="JS199" s="12"/>
      <c r="JT199" s="11"/>
      <c r="JU199" s="13"/>
      <c r="JV199" s="11"/>
      <c r="JW199" s="11"/>
      <c r="JX199" s="13"/>
      <c r="JY199" s="11"/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/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  <c r="LH199" s="11"/>
      <c r="LI199" s="13"/>
      <c r="LJ199" s="11"/>
      <c r="LK199" s="11"/>
      <c r="LL199" s="13"/>
      <c r="LM199" s="11"/>
      <c r="LN199" s="12"/>
      <c r="LO199" s="12"/>
      <c r="LP199" s="11"/>
      <c r="LQ199" s="13"/>
      <c r="LR199" s="11"/>
      <c r="LS199" s="11"/>
      <c r="LT199" s="13"/>
      <c r="LU199" s="11"/>
      <c r="LV199" s="12"/>
      <c r="LW199" s="12"/>
    </row>
    <row r="200">
      <c r="A200" s="10" t="s">
        <v>168</v>
      </c>
      <c r="B200" s="10" t="s">
        <v>176</v>
      </c>
      <c r="C200" s="10" t="s">
        <v>172</v>
      </c>
      <c r="D200" s="11">
        <v>833</v>
      </c>
      <c r="E200" s="11">
        <f>=ROUNDDOWN(32.0384615384615,0)</f>
      </c>
      <c r="F200" s="11">
        <v>787</v>
      </c>
      <c r="G200" s="12">
        <v>1</v>
      </c>
      <c r="H200" s="11"/>
      <c r="I200" s="11">
        <f>=ROUNDDOWN({0},0)</f>
      </c>
      <c r="J200" s="11"/>
      <c r="K200" s="12"/>
      <c r="L200" s="11">
        <v>274</v>
      </c>
      <c r="M200" s="13">
        <v>12976.68</v>
      </c>
      <c r="N200" s="11">
        <v>3</v>
      </c>
      <c r="O200" s="14">
        <v>4325.56</v>
      </c>
      <c r="P200" s="11"/>
      <c r="Q200" s="13"/>
      <c r="R200" s="11"/>
      <c r="S200" s="14"/>
      <c r="T200" s="12"/>
      <c r="U200" s="12"/>
      <c r="V200" s="12"/>
      <c r="W200" s="12"/>
      <c r="X200" s="11">
        <v>130</v>
      </c>
      <c r="Y200" s="13">
        <v>6118.06</v>
      </c>
      <c r="Z200" s="11">
        <v>3</v>
      </c>
      <c r="AA200" s="11"/>
      <c r="AB200" s="13"/>
      <c r="AC200" s="11"/>
      <c r="AD200" s="12"/>
      <c r="AE200" s="12"/>
      <c r="AF200" s="11">
        <v>14</v>
      </c>
      <c r="AG200" s="13">
        <v>658.8</v>
      </c>
      <c r="AH200" s="11">
        <v>3</v>
      </c>
      <c r="AI200" s="11"/>
      <c r="AJ200" s="13"/>
      <c r="AK200" s="11"/>
      <c r="AL200" s="12"/>
      <c r="AM200" s="12"/>
      <c r="AN200" s="11">
        <v>8</v>
      </c>
      <c r="AO200" s="13">
        <v>390</v>
      </c>
      <c r="AP200" s="11">
        <v>3</v>
      </c>
      <c r="AQ200" s="11"/>
      <c r="AR200" s="13"/>
      <c r="AS200" s="11"/>
      <c r="AT200" s="12"/>
      <c r="AU200" s="12"/>
      <c r="AV200" s="11">
        <v>9</v>
      </c>
      <c r="AW200" s="13">
        <v>307.62</v>
      </c>
      <c r="AX200" s="11">
        <v>2</v>
      </c>
      <c r="AY200" s="11"/>
      <c r="AZ200" s="13"/>
      <c r="BA200" s="11"/>
      <c r="BB200" s="12"/>
      <c r="BC200" s="12"/>
      <c r="BD200" s="11">
        <v>82</v>
      </c>
      <c r="BE200" s="13">
        <v>3900</v>
      </c>
      <c r="BF200" s="11">
        <v>3</v>
      </c>
      <c r="BG200" s="11"/>
      <c r="BH200" s="13"/>
      <c r="BI200" s="11"/>
      <c r="BJ200" s="12"/>
      <c r="BK200" s="12"/>
      <c r="BL200" s="11">
        <v>15</v>
      </c>
      <c r="BM200" s="13">
        <v>763.57</v>
      </c>
      <c r="BN200" s="11">
        <v>3</v>
      </c>
      <c r="BO200" s="11"/>
      <c r="BP200" s="13"/>
      <c r="BQ200" s="11"/>
      <c r="BR200" s="12"/>
      <c r="BS200" s="12"/>
      <c r="BT200" s="11"/>
      <c r="BU200" s="13"/>
      <c r="BV200" s="11">
        <v>3</v>
      </c>
      <c r="BW200" s="11"/>
      <c r="BX200" s="13"/>
      <c r="BY200" s="11"/>
      <c r="BZ200" s="12"/>
      <c r="CA200" s="12"/>
      <c r="CB200" s="11">
        <v>2</v>
      </c>
      <c r="CC200" s="13">
        <v>100.78</v>
      </c>
      <c r="CD200" s="11">
        <v>3</v>
      </c>
      <c r="CE200" s="11"/>
      <c r="CF200" s="13"/>
      <c r="CG200" s="11"/>
      <c r="CH200" s="12"/>
      <c r="CI200" s="12"/>
      <c r="CJ200" s="11">
        <v>3</v>
      </c>
      <c r="CK200" s="13">
        <v>198.77</v>
      </c>
      <c r="CL200" s="11">
        <v>3</v>
      </c>
      <c r="CM200" s="11"/>
      <c r="CN200" s="13"/>
      <c r="CO200" s="11"/>
      <c r="CP200" s="12"/>
      <c r="CQ200" s="12"/>
      <c r="CR200" s="11"/>
      <c r="CS200" s="13"/>
      <c r="CT200" s="11"/>
      <c r="CU200" s="11"/>
      <c r="CV200" s="13"/>
      <c r="CW200" s="11"/>
      <c r="CX200" s="12"/>
      <c r="CY200" s="12"/>
      <c r="CZ200" s="11"/>
      <c r="DA200" s="13"/>
      <c r="DB200" s="11"/>
      <c r="DC200" s="11"/>
      <c r="DD200" s="13"/>
      <c r="DE200" s="11"/>
      <c r="DF200" s="12"/>
      <c r="DG200" s="12"/>
      <c r="DH200" s="11"/>
      <c r="DI200" s="13"/>
      <c r="DJ200" s="11"/>
      <c r="DK200" s="11"/>
      <c r="DL200" s="13"/>
      <c r="DM200" s="11"/>
      <c r="DN200" s="12"/>
      <c r="DO200" s="12"/>
      <c r="DP200" s="11">
        <v>3</v>
      </c>
      <c r="DQ200" s="13">
        <v>167.46</v>
      </c>
      <c r="DR200" s="11">
        <v>3</v>
      </c>
      <c r="DS200" s="11"/>
      <c r="DT200" s="13"/>
      <c r="DU200" s="11"/>
      <c r="DV200" s="12"/>
      <c r="DW200" s="12"/>
      <c r="DX200" s="11">
        <v>5</v>
      </c>
      <c r="DY200" s="13">
        <v>205.88</v>
      </c>
      <c r="DZ200" s="11">
        <v>3</v>
      </c>
      <c r="EA200" s="11"/>
      <c r="EB200" s="13"/>
      <c r="EC200" s="11"/>
      <c r="ED200" s="12"/>
      <c r="EE200" s="12"/>
      <c r="EF200" s="11"/>
      <c r="EG200" s="13"/>
      <c r="EH200" s="11"/>
      <c r="EI200" s="11"/>
      <c r="EJ200" s="13"/>
      <c r="EK200" s="11"/>
      <c r="EL200" s="12"/>
      <c r="EM200" s="12"/>
      <c r="EN200" s="11"/>
      <c r="EO200" s="13"/>
      <c r="EP200" s="11">
        <v>3</v>
      </c>
      <c r="EQ200" s="11"/>
      <c r="ER200" s="13"/>
      <c r="ES200" s="11"/>
      <c r="ET200" s="12"/>
      <c r="EU200" s="12"/>
      <c r="EV200" s="11">
        <v>1</v>
      </c>
      <c r="EW200" s="13">
        <v>43.54</v>
      </c>
      <c r="EX200" s="11">
        <v>2</v>
      </c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/>
      <c r="GM200" s="11"/>
      <c r="GN200" s="13"/>
      <c r="GO200" s="11"/>
      <c r="GP200" s="12"/>
      <c r="GQ200" s="12"/>
      <c r="GR200" s="11"/>
      <c r="GS200" s="13"/>
      <c r="GT200" s="11">
        <v>3</v>
      </c>
      <c r="GU200" s="11"/>
      <c r="GV200" s="13"/>
      <c r="GW200" s="11"/>
      <c r="GX200" s="12"/>
      <c r="GY200" s="12"/>
      <c r="GZ200" s="11">
        <v>2</v>
      </c>
      <c r="HA200" s="13">
        <v>122.2</v>
      </c>
      <c r="HB200" s="11">
        <v>1</v>
      </c>
      <c r="HC200" s="11"/>
      <c r="HD200" s="13"/>
      <c r="HE200" s="11"/>
      <c r="HF200" s="12"/>
      <c r="HG200" s="12"/>
      <c r="HH200" s="11"/>
      <c r="HI200" s="13"/>
      <c r="HJ200" s="11"/>
      <c r="HK200" s="11"/>
      <c r="HL200" s="13"/>
      <c r="HM200" s="11"/>
      <c r="HN200" s="12"/>
      <c r="HO200" s="12"/>
      <c r="HP200" s="11"/>
      <c r="HQ200" s="13"/>
      <c r="HR200" s="11"/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/>
      <c r="JO200" s="11"/>
      <c r="JP200" s="13"/>
      <c r="JQ200" s="11"/>
      <c r="JR200" s="12"/>
      <c r="JS200" s="12"/>
      <c r="JT200" s="11"/>
      <c r="JU200" s="13"/>
      <c r="JV200" s="11"/>
      <c r="JW200" s="11"/>
      <c r="JX200" s="13"/>
      <c r="JY200" s="11"/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/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  <c r="LH200" s="11"/>
      <c r="LI200" s="13"/>
      <c r="LJ200" s="11"/>
      <c r="LK200" s="11"/>
      <c r="LL200" s="13"/>
      <c r="LM200" s="11"/>
      <c r="LN200" s="12"/>
      <c r="LO200" s="12"/>
      <c r="LP200" s="11"/>
      <c r="LQ200" s="13"/>
      <c r="LR200" s="11"/>
      <c r="LS200" s="11"/>
      <c r="LT200" s="13"/>
      <c r="LU200" s="11"/>
      <c r="LV200" s="12"/>
      <c r="LW200" s="12"/>
    </row>
    <row r="201">
      <c r="A201" s="10" t="s">
        <v>168</v>
      </c>
      <c r="B201" s="10" t="s">
        <v>176</v>
      </c>
      <c r="C201" s="10" t="s">
        <v>74</v>
      </c>
      <c r="D201" s="11">
        <v>5852</v>
      </c>
      <c r="E201" s="11">
        <f>=ROUNDDOWN(34.4235294117647,0)</f>
      </c>
      <c r="F201" s="11">
        <v>802</v>
      </c>
      <c r="G201" s="12">
        <v>0.9755</v>
      </c>
      <c r="H201" s="11"/>
      <c r="I201" s="11">
        <f>=ROUNDDOWN({0},0)</f>
      </c>
      <c r="J201" s="11"/>
      <c r="K201" s="12"/>
      <c r="L201" s="11">
        <v>1455</v>
      </c>
      <c r="M201" s="13">
        <v>49730.04</v>
      </c>
      <c r="N201" s="11">
        <v>19</v>
      </c>
      <c r="O201" s="14">
        <v>2617.37</v>
      </c>
      <c r="P201" s="11"/>
      <c r="Q201" s="13"/>
      <c r="R201" s="11"/>
      <c r="S201" s="14"/>
      <c r="T201" s="12"/>
      <c r="U201" s="12"/>
      <c r="V201" s="12"/>
      <c r="W201" s="12"/>
      <c r="X201" s="11">
        <v>491</v>
      </c>
      <c r="Y201" s="13">
        <v>14829.65</v>
      </c>
      <c r="Z201" s="11">
        <v>13</v>
      </c>
      <c r="AA201" s="11"/>
      <c r="AB201" s="13"/>
      <c r="AC201" s="11"/>
      <c r="AD201" s="12"/>
      <c r="AE201" s="12"/>
      <c r="AF201" s="11">
        <v>95</v>
      </c>
      <c r="AG201" s="13">
        <v>2778.13</v>
      </c>
      <c r="AH201" s="11">
        <v>19</v>
      </c>
      <c r="AI201" s="11"/>
      <c r="AJ201" s="13"/>
      <c r="AK201" s="11"/>
      <c r="AL201" s="12"/>
      <c r="AM201" s="12"/>
      <c r="AN201" s="11">
        <v>120</v>
      </c>
      <c r="AO201" s="13">
        <v>5005.57</v>
      </c>
      <c r="AP201" s="11">
        <v>19</v>
      </c>
      <c r="AQ201" s="11"/>
      <c r="AR201" s="13"/>
      <c r="AS201" s="11"/>
      <c r="AT201" s="12"/>
      <c r="AU201" s="12"/>
      <c r="AV201" s="11">
        <v>230</v>
      </c>
      <c r="AW201" s="13">
        <v>7653.12</v>
      </c>
      <c r="AX201" s="11">
        <v>19</v>
      </c>
      <c r="AY201" s="11"/>
      <c r="AZ201" s="13"/>
      <c r="BA201" s="11"/>
      <c r="BB201" s="12"/>
      <c r="BC201" s="12"/>
      <c r="BD201" s="11">
        <v>86</v>
      </c>
      <c r="BE201" s="13">
        <v>2728.81</v>
      </c>
      <c r="BF201" s="11">
        <v>19</v>
      </c>
      <c r="BG201" s="11"/>
      <c r="BH201" s="13"/>
      <c r="BI201" s="11"/>
      <c r="BJ201" s="12"/>
      <c r="BK201" s="12"/>
      <c r="BL201" s="11">
        <v>42</v>
      </c>
      <c r="BM201" s="13">
        <v>1682.87</v>
      </c>
      <c r="BN201" s="11">
        <v>19</v>
      </c>
      <c r="BO201" s="11"/>
      <c r="BP201" s="13"/>
      <c r="BQ201" s="11"/>
      <c r="BR201" s="12"/>
      <c r="BS201" s="12"/>
      <c r="BT201" s="11">
        <v>221</v>
      </c>
      <c r="BU201" s="13">
        <v>8678.1</v>
      </c>
      <c r="BV201" s="11">
        <v>19</v>
      </c>
      <c r="BW201" s="11"/>
      <c r="BX201" s="13"/>
      <c r="BY201" s="11"/>
      <c r="BZ201" s="12"/>
      <c r="CA201" s="12"/>
      <c r="CB201" s="11">
        <v>89</v>
      </c>
      <c r="CC201" s="13">
        <v>3472.66</v>
      </c>
      <c r="CD201" s="11">
        <v>19</v>
      </c>
      <c r="CE201" s="11"/>
      <c r="CF201" s="13"/>
      <c r="CG201" s="11"/>
      <c r="CH201" s="12"/>
      <c r="CI201" s="12"/>
      <c r="CJ201" s="11">
        <v>1</v>
      </c>
      <c r="CK201" s="13">
        <v>43.99</v>
      </c>
      <c r="CL201" s="11">
        <v>19</v>
      </c>
      <c r="CM201" s="11"/>
      <c r="CN201" s="13"/>
      <c r="CO201" s="11"/>
      <c r="CP201" s="12"/>
      <c r="CQ201" s="12"/>
      <c r="CR201" s="11"/>
      <c r="CS201" s="13"/>
      <c r="CT201" s="11"/>
      <c r="CU201" s="11"/>
      <c r="CV201" s="13"/>
      <c r="CW201" s="11"/>
      <c r="CX201" s="12"/>
      <c r="CY201" s="12"/>
      <c r="CZ201" s="11">
        <v>1</v>
      </c>
      <c r="DA201" s="13">
        <v>41.1</v>
      </c>
      <c r="DB201" s="11">
        <v>1</v>
      </c>
      <c r="DC201" s="11"/>
      <c r="DD201" s="13"/>
      <c r="DE201" s="11"/>
      <c r="DF201" s="12"/>
      <c r="DG201" s="12"/>
      <c r="DH201" s="11"/>
      <c r="DI201" s="13"/>
      <c r="DJ201" s="11"/>
      <c r="DK201" s="11"/>
      <c r="DL201" s="13"/>
      <c r="DM201" s="11"/>
      <c r="DN201" s="12"/>
      <c r="DO201" s="12"/>
      <c r="DP201" s="11">
        <v>37</v>
      </c>
      <c r="DQ201" s="13">
        <v>1315.23</v>
      </c>
      <c r="DR201" s="11">
        <v>19</v>
      </c>
      <c r="DS201" s="11"/>
      <c r="DT201" s="13"/>
      <c r="DU201" s="11"/>
      <c r="DV201" s="12"/>
      <c r="DW201" s="12"/>
      <c r="DX201" s="11"/>
      <c r="DY201" s="13"/>
      <c r="DZ201" s="11"/>
      <c r="EA201" s="11"/>
      <c r="EB201" s="13"/>
      <c r="EC201" s="11"/>
      <c r="ED201" s="12"/>
      <c r="EE201" s="12"/>
      <c r="EF201" s="11"/>
      <c r="EG201" s="13"/>
      <c r="EH201" s="11"/>
      <c r="EI201" s="11"/>
      <c r="EJ201" s="13"/>
      <c r="EK201" s="11"/>
      <c r="EL201" s="12"/>
      <c r="EM201" s="12"/>
      <c r="EN201" s="11">
        <v>2</v>
      </c>
      <c r="EO201" s="13">
        <v>89.98</v>
      </c>
      <c r="EP201" s="11">
        <v>19</v>
      </c>
      <c r="EQ201" s="11"/>
      <c r="ER201" s="13"/>
      <c r="ES201" s="11"/>
      <c r="ET201" s="12"/>
      <c r="EU201" s="12"/>
      <c r="EV201" s="11">
        <v>5</v>
      </c>
      <c r="EW201" s="13">
        <v>173.41</v>
      </c>
      <c r="EX201" s="11">
        <v>12</v>
      </c>
      <c r="EY201" s="11"/>
      <c r="EZ201" s="13"/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>
        <v>24</v>
      </c>
      <c r="FM201" s="13">
        <v>798.29</v>
      </c>
      <c r="FN201" s="11">
        <v>3</v>
      </c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>
        <v>9</v>
      </c>
      <c r="GC201" s="13">
        <v>372.63</v>
      </c>
      <c r="GD201" s="11">
        <v>2</v>
      </c>
      <c r="GE201" s="11"/>
      <c r="GF201" s="13"/>
      <c r="GG201" s="11"/>
      <c r="GH201" s="12"/>
      <c r="GI201" s="12"/>
      <c r="GJ201" s="11"/>
      <c r="GK201" s="13"/>
      <c r="GL201" s="11"/>
      <c r="GM201" s="11"/>
      <c r="GN201" s="13"/>
      <c r="GO201" s="11"/>
      <c r="GP201" s="12"/>
      <c r="GQ201" s="12"/>
      <c r="GR201" s="11"/>
      <c r="GS201" s="13"/>
      <c r="GT201" s="11">
        <v>18</v>
      </c>
      <c r="GU201" s="11"/>
      <c r="GV201" s="13"/>
      <c r="GW201" s="11"/>
      <c r="GX201" s="12"/>
      <c r="GY201" s="12"/>
      <c r="GZ201" s="11"/>
      <c r="HA201" s="13"/>
      <c r="HB201" s="11">
        <v>2</v>
      </c>
      <c r="HC201" s="11"/>
      <c r="HD201" s="13"/>
      <c r="HE201" s="11"/>
      <c r="HF201" s="12"/>
      <c r="HG201" s="12"/>
      <c r="HH201" s="11">
        <v>1</v>
      </c>
      <c r="HI201" s="13">
        <v>31.5</v>
      </c>
      <c r="HJ201" s="11"/>
      <c r="HK201" s="11"/>
      <c r="HL201" s="13"/>
      <c r="HM201" s="11"/>
      <c r="HN201" s="12"/>
      <c r="HO201" s="12"/>
      <c r="HP201" s="11"/>
      <c r="HQ201" s="13"/>
      <c r="HR201" s="11"/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>
        <v>1</v>
      </c>
      <c r="IW201" s="13">
        <v>35</v>
      </c>
      <c r="IX201" s="11">
        <v>3</v>
      </c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/>
      <c r="JO201" s="11"/>
      <c r="JP201" s="13"/>
      <c r="JQ201" s="11"/>
      <c r="JR201" s="12"/>
      <c r="JS201" s="12"/>
      <c r="JT201" s="11"/>
      <c r="JU201" s="13"/>
      <c r="JV201" s="11"/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  <c r="LH201" s="11"/>
      <c r="LI201" s="13"/>
      <c r="LJ201" s="11"/>
      <c r="LK201" s="11"/>
      <c r="LL201" s="13"/>
      <c r="LM201" s="11"/>
      <c r="LN201" s="12"/>
      <c r="LO201" s="12"/>
      <c r="LP201" s="11"/>
      <c r="LQ201" s="13"/>
      <c r="LR201" s="11"/>
      <c r="LS201" s="11"/>
      <c r="LT201" s="13"/>
      <c r="LU201" s="11"/>
      <c r="LV201" s="12"/>
      <c r="LW201" s="12"/>
    </row>
    <row r="202">
      <c r="A202" s="10" t="s">
        <v>168</v>
      </c>
      <c r="B202" s="10" t="s">
        <v>176</v>
      </c>
      <c r="C202" s="10" t="s">
        <v>169</v>
      </c>
      <c r="D202" s="11">
        <v>35550</v>
      </c>
      <c r="E202" s="11">
        <f>=ROUNDDOWN(20.6350127699094,0)</f>
      </c>
      <c r="F202" s="11">
        <v>25857</v>
      </c>
      <c r="G202" s="12">
        <v>0.9937</v>
      </c>
      <c r="H202" s="11"/>
      <c r="I202" s="11">
        <f>=ROUNDDOWN({0},0)</f>
      </c>
      <c r="J202" s="11"/>
      <c r="K202" s="12"/>
      <c r="L202" s="11">
        <v>26748</v>
      </c>
      <c r="M202" s="13">
        <v>815775.82</v>
      </c>
      <c r="N202" s="11">
        <v>63</v>
      </c>
      <c r="O202" s="14">
        <v>12948.82</v>
      </c>
      <c r="P202" s="11"/>
      <c r="Q202" s="13"/>
      <c r="R202" s="11"/>
      <c r="S202" s="14"/>
      <c r="T202" s="12"/>
      <c r="U202" s="12"/>
      <c r="V202" s="12"/>
      <c r="W202" s="12"/>
      <c r="X202" s="11">
        <v>10111</v>
      </c>
      <c r="Y202" s="13">
        <v>290998.3</v>
      </c>
      <c r="Z202" s="11">
        <v>38</v>
      </c>
      <c r="AA202" s="11"/>
      <c r="AB202" s="13"/>
      <c r="AC202" s="11"/>
      <c r="AD202" s="12"/>
      <c r="AE202" s="12"/>
      <c r="AF202" s="11">
        <v>844</v>
      </c>
      <c r="AG202" s="13">
        <v>25893.55</v>
      </c>
      <c r="AH202" s="11">
        <v>63</v>
      </c>
      <c r="AI202" s="11"/>
      <c r="AJ202" s="13"/>
      <c r="AK202" s="11"/>
      <c r="AL202" s="12"/>
      <c r="AM202" s="12"/>
      <c r="AN202" s="11">
        <v>3423</v>
      </c>
      <c r="AO202" s="13">
        <v>72508.54</v>
      </c>
      <c r="AP202" s="11">
        <v>63</v>
      </c>
      <c r="AQ202" s="11"/>
      <c r="AR202" s="13"/>
      <c r="AS202" s="11"/>
      <c r="AT202" s="12"/>
      <c r="AU202" s="12"/>
      <c r="AV202" s="11">
        <v>5616</v>
      </c>
      <c r="AW202" s="13">
        <v>230638.51</v>
      </c>
      <c r="AX202" s="11">
        <v>48</v>
      </c>
      <c r="AY202" s="11"/>
      <c r="AZ202" s="13"/>
      <c r="BA202" s="11"/>
      <c r="BB202" s="12"/>
      <c r="BC202" s="12"/>
      <c r="BD202" s="11">
        <v>705</v>
      </c>
      <c r="BE202" s="13">
        <v>25927.06</v>
      </c>
      <c r="BF202" s="11">
        <v>63</v>
      </c>
      <c r="BG202" s="11"/>
      <c r="BH202" s="13"/>
      <c r="BI202" s="11"/>
      <c r="BJ202" s="12"/>
      <c r="BK202" s="12"/>
      <c r="BL202" s="11">
        <v>1973</v>
      </c>
      <c r="BM202" s="13">
        <v>48834.68</v>
      </c>
      <c r="BN202" s="11">
        <v>63</v>
      </c>
      <c r="BO202" s="11"/>
      <c r="BP202" s="13"/>
      <c r="BQ202" s="11"/>
      <c r="BR202" s="12"/>
      <c r="BS202" s="12"/>
      <c r="BT202" s="11">
        <v>467</v>
      </c>
      <c r="BU202" s="13">
        <v>19845.64</v>
      </c>
      <c r="BV202" s="11">
        <v>63</v>
      </c>
      <c r="BW202" s="11"/>
      <c r="BX202" s="13"/>
      <c r="BY202" s="11"/>
      <c r="BZ202" s="12"/>
      <c r="CA202" s="12"/>
      <c r="CB202" s="11">
        <v>1441</v>
      </c>
      <c r="CC202" s="13">
        <v>36195.32</v>
      </c>
      <c r="CD202" s="11">
        <v>58</v>
      </c>
      <c r="CE202" s="11"/>
      <c r="CF202" s="13"/>
      <c r="CG202" s="11"/>
      <c r="CH202" s="12"/>
      <c r="CI202" s="12"/>
      <c r="CJ202" s="11">
        <v>71</v>
      </c>
      <c r="CK202" s="13">
        <v>2305.49</v>
      </c>
      <c r="CL202" s="11">
        <v>63</v>
      </c>
      <c r="CM202" s="11"/>
      <c r="CN202" s="13"/>
      <c r="CO202" s="11"/>
      <c r="CP202" s="12"/>
      <c r="CQ202" s="12"/>
      <c r="CR202" s="11"/>
      <c r="CS202" s="13"/>
      <c r="CT202" s="11"/>
      <c r="CU202" s="11"/>
      <c r="CV202" s="13"/>
      <c r="CW202" s="11"/>
      <c r="CX202" s="12"/>
      <c r="CY202" s="12"/>
      <c r="CZ202" s="11"/>
      <c r="DA202" s="13"/>
      <c r="DB202" s="11"/>
      <c r="DC202" s="11"/>
      <c r="DD202" s="13"/>
      <c r="DE202" s="11"/>
      <c r="DF202" s="12"/>
      <c r="DG202" s="12"/>
      <c r="DH202" s="11"/>
      <c r="DI202" s="13"/>
      <c r="DJ202" s="11"/>
      <c r="DK202" s="11"/>
      <c r="DL202" s="13"/>
      <c r="DM202" s="11"/>
      <c r="DN202" s="12"/>
      <c r="DO202" s="12"/>
      <c r="DP202" s="11">
        <v>650</v>
      </c>
      <c r="DQ202" s="13">
        <v>17554.63</v>
      </c>
      <c r="DR202" s="11">
        <v>60</v>
      </c>
      <c r="DS202" s="11"/>
      <c r="DT202" s="13"/>
      <c r="DU202" s="11"/>
      <c r="DV202" s="12"/>
      <c r="DW202" s="12"/>
      <c r="DX202" s="11">
        <v>1028</v>
      </c>
      <c r="DY202" s="13">
        <v>25384.15</v>
      </c>
      <c r="DZ202" s="11">
        <v>19</v>
      </c>
      <c r="EA202" s="11"/>
      <c r="EB202" s="13"/>
      <c r="EC202" s="11"/>
      <c r="ED202" s="12"/>
      <c r="EE202" s="12"/>
      <c r="EF202" s="11"/>
      <c r="EG202" s="13"/>
      <c r="EH202" s="11"/>
      <c r="EI202" s="11"/>
      <c r="EJ202" s="13"/>
      <c r="EK202" s="11"/>
      <c r="EL202" s="12"/>
      <c r="EM202" s="12"/>
      <c r="EN202" s="11">
        <v>16</v>
      </c>
      <c r="EO202" s="13">
        <v>947.6</v>
      </c>
      <c r="EP202" s="11">
        <v>63</v>
      </c>
      <c r="EQ202" s="11"/>
      <c r="ER202" s="13"/>
      <c r="ES202" s="11"/>
      <c r="ET202" s="12"/>
      <c r="EU202" s="12"/>
      <c r="EV202" s="11">
        <v>91</v>
      </c>
      <c r="EW202" s="13">
        <v>3031.13</v>
      </c>
      <c r="EX202" s="11">
        <v>46</v>
      </c>
      <c r="EY202" s="11"/>
      <c r="EZ202" s="13"/>
      <c r="FA202" s="11"/>
      <c r="FB202" s="12"/>
      <c r="FC202" s="12"/>
      <c r="FD202" s="11">
        <v>67</v>
      </c>
      <c r="FE202" s="13">
        <v>1116.97</v>
      </c>
      <c r="FF202" s="11">
        <v>3</v>
      </c>
      <c r="FG202" s="11"/>
      <c r="FH202" s="13"/>
      <c r="FI202" s="11"/>
      <c r="FJ202" s="12"/>
      <c r="FK202" s="12"/>
      <c r="FL202" s="11">
        <v>131</v>
      </c>
      <c r="FM202" s="13">
        <v>8794.15</v>
      </c>
      <c r="FN202" s="11">
        <v>49</v>
      </c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/>
      <c r="GM202" s="11"/>
      <c r="GN202" s="13"/>
      <c r="GO202" s="11"/>
      <c r="GP202" s="12"/>
      <c r="GQ202" s="12"/>
      <c r="GR202" s="11">
        <v>1</v>
      </c>
      <c r="GS202" s="13">
        <v>126.2</v>
      </c>
      <c r="GT202" s="11">
        <v>49</v>
      </c>
      <c r="GU202" s="11"/>
      <c r="GV202" s="13"/>
      <c r="GW202" s="11"/>
      <c r="GX202" s="12"/>
      <c r="GY202" s="12"/>
      <c r="GZ202" s="11">
        <v>5</v>
      </c>
      <c r="HA202" s="13">
        <v>317.16</v>
      </c>
      <c r="HB202" s="11">
        <v>14</v>
      </c>
      <c r="HC202" s="11"/>
      <c r="HD202" s="13"/>
      <c r="HE202" s="11"/>
      <c r="HF202" s="12"/>
      <c r="HG202" s="12"/>
      <c r="HH202" s="11">
        <v>39</v>
      </c>
      <c r="HI202" s="13">
        <v>753.84</v>
      </c>
      <c r="HJ202" s="11"/>
      <c r="HK202" s="11"/>
      <c r="HL202" s="13"/>
      <c r="HM202" s="11"/>
      <c r="HN202" s="12"/>
      <c r="HO202" s="12"/>
      <c r="HP202" s="11"/>
      <c r="HQ202" s="13"/>
      <c r="HR202" s="11"/>
      <c r="HS202" s="11"/>
      <c r="HT202" s="13"/>
      <c r="HU202" s="11"/>
      <c r="HV202" s="12"/>
      <c r="HW202" s="12"/>
      <c r="HX202" s="11">
        <v>64</v>
      </c>
      <c r="HY202" s="13">
        <v>4177.04</v>
      </c>
      <c r="HZ202" s="11">
        <v>28</v>
      </c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>
        <v>5</v>
      </c>
      <c r="IW202" s="13">
        <v>425.86</v>
      </c>
      <c r="IX202" s="11">
        <v>34</v>
      </c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/>
      <c r="JO202" s="11"/>
      <c r="JP202" s="13"/>
      <c r="JQ202" s="11"/>
      <c r="JR202" s="12"/>
      <c r="JS202" s="12"/>
      <c r="JT202" s="11"/>
      <c r="JU202" s="13"/>
      <c r="JV202" s="11">
        <v>26</v>
      </c>
      <c r="JW202" s="11"/>
      <c r="JX202" s="13"/>
      <c r="JY202" s="11"/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  <c r="LH202" s="11"/>
      <c r="LI202" s="13"/>
      <c r="LJ202" s="11"/>
      <c r="LK202" s="11"/>
      <c r="LL202" s="13"/>
      <c r="LM202" s="11"/>
      <c r="LN202" s="12"/>
      <c r="LO202" s="12"/>
      <c r="LP202" s="11"/>
      <c r="LQ202" s="13"/>
      <c r="LR202" s="11"/>
      <c r="LS202" s="11"/>
      <c r="LT202" s="13"/>
      <c r="LU202" s="11"/>
      <c r="LV202" s="12"/>
      <c r="LW202" s="12"/>
    </row>
    <row r="203">
      <c r="A203" s="10" t="s">
        <v>168</v>
      </c>
      <c r="B203" s="10" t="s">
        <v>176</v>
      </c>
      <c r="C203" s="10" t="s">
        <v>93</v>
      </c>
      <c r="D203" s="11">
        <v>4373</v>
      </c>
      <c r="E203" s="11">
        <f>=ROUNDDOWN(32.3925925925926,0)</f>
      </c>
      <c r="F203" s="11">
        <v>1500</v>
      </c>
      <c r="G203" s="12">
        <v>1</v>
      </c>
      <c r="H203" s="11"/>
      <c r="I203" s="11">
        <f>=ROUNDDOWN({0},0)</f>
      </c>
      <c r="J203" s="11"/>
      <c r="K203" s="12"/>
      <c r="L203" s="11">
        <v>1637</v>
      </c>
      <c r="M203" s="13">
        <v>32666.06</v>
      </c>
      <c r="N203" s="11">
        <v>5</v>
      </c>
      <c r="O203" s="14">
        <v>6533.21</v>
      </c>
      <c r="P203" s="11"/>
      <c r="Q203" s="13"/>
      <c r="R203" s="11"/>
      <c r="S203" s="14"/>
      <c r="T203" s="12"/>
      <c r="U203" s="12"/>
      <c r="V203" s="12"/>
      <c r="W203" s="12"/>
      <c r="X203" s="11">
        <v>256</v>
      </c>
      <c r="Y203" s="13">
        <v>4291.44</v>
      </c>
      <c r="Z203" s="11">
        <v>2</v>
      </c>
      <c r="AA203" s="11"/>
      <c r="AB203" s="13"/>
      <c r="AC203" s="11"/>
      <c r="AD203" s="12"/>
      <c r="AE203" s="12"/>
      <c r="AF203" s="11">
        <v>4</v>
      </c>
      <c r="AG203" s="13">
        <v>63.1</v>
      </c>
      <c r="AH203" s="11">
        <v>5</v>
      </c>
      <c r="AI203" s="11"/>
      <c r="AJ203" s="13"/>
      <c r="AK203" s="11"/>
      <c r="AL203" s="12"/>
      <c r="AM203" s="12"/>
      <c r="AN203" s="11">
        <v>213</v>
      </c>
      <c r="AO203" s="13">
        <v>4554.07</v>
      </c>
      <c r="AP203" s="11">
        <v>5</v>
      </c>
      <c r="AQ203" s="11"/>
      <c r="AR203" s="13"/>
      <c r="AS203" s="11"/>
      <c r="AT203" s="12"/>
      <c r="AU203" s="12"/>
      <c r="AV203" s="11">
        <v>504</v>
      </c>
      <c r="AW203" s="13">
        <v>10474.68</v>
      </c>
      <c r="AX203" s="11">
        <v>5</v>
      </c>
      <c r="AY203" s="11"/>
      <c r="AZ203" s="13"/>
      <c r="BA203" s="11"/>
      <c r="BB203" s="12"/>
      <c r="BC203" s="12"/>
      <c r="BD203" s="11">
        <v>155</v>
      </c>
      <c r="BE203" s="13">
        <v>3229.48</v>
      </c>
      <c r="BF203" s="11">
        <v>5</v>
      </c>
      <c r="BG203" s="11"/>
      <c r="BH203" s="13"/>
      <c r="BI203" s="11"/>
      <c r="BJ203" s="12"/>
      <c r="BK203" s="12"/>
      <c r="BL203" s="11">
        <v>10</v>
      </c>
      <c r="BM203" s="13">
        <v>216.72</v>
      </c>
      <c r="BN203" s="11">
        <v>5</v>
      </c>
      <c r="BO203" s="11"/>
      <c r="BP203" s="13"/>
      <c r="BQ203" s="11"/>
      <c r="BR203" s="12"/>
      <c r="BS203" s="12"/>
      <c r="BT203" s="11">
        <v>140</v>
      </c>
      <c r="BU203" s="13">
        <v>2789.15</v>
      </c>
      <c r="BV203" s="11">
        <v>5</v>
      </c>
      <c r="BW203" s="11"/>
      <c r="BX203" s="13"/>
      <c r="BY203" s="11"/>
      <c r="BZ203" s="12"/>
      <c r="CA203" s="12"/>
      <c r="CB203" s="11">
        <v>210</v>
      </c>
      <c r="CC203" s="13">
        <v>4259.24</v>
      </c>
      <c r="CD203" s="11">
        <v>5</v>
      </c>
      <c r="CE203" s="11"/>
      <c r="CF203" s="13"/>
      <c r="CG203" s="11"/>
      <c r="CH203" s="12"/>
      <c r="CI203" s="12"/>
      <c r="CJ203" s="11">
        <v>3</v>
      </c>
      <c r="CK203" s="13">
        <v>85.37</v>
      </c>
      <c r="CL203" s="11">
        <v>5</v>
      </c>
      <c r="CM203" s="11"/>
      <c r="CN203" s="13"/>
      <c r="CO203" s="11"/>
      <c r="CP203" s="12"/>
      <c r="CQ203" s="12"/>
      <c r="CR203" s="11"/>
      <c r="CS203" s="13"/>
      <c r="CT203" s="11"/>
      <c r="CU203" s="11"/>
      <c r="CV203" s="13"/>
      <c r="CW203" s="11"/>
      <c r="CX203" s="12"/>
      <c r="CY203" s="12"/>
      <c r="CZ203" s="11"/>
      <c r="DA203" s="13"/>
      <c r="DB203" s="11"/>
      <c r="DC203" s="11"/>
      <c r="DD203" s="13"/>
      <c r="DE203" s="11"/>
      <c r="DF203" s="12"/>
      <c r="DG203" s="12"/>
      <c r="DH203" s="11"/>
      <c r="DI203" s="13"/>
      <c r="DJ203" s="11"/>
      <c r="DK203" s="11"/>
      <c r="DL203" s="13"/>
      <c r="DM203" s="11"/>
      <c r="DN203" s="12"/>
      <c r="DO203" s="12"/>
      <c r="DP203" s="11">
        <v>29</v>
      </c>
      <c r="DQ203" s="13">
        <v>537.99</v>
      </c>
      <c r="DR203" s="11">
        <v>5</v>
      </c>
      <c r="DS203" s="11"/>
      <c r="DT203" s="13"/>
      <c r="DU203" s="11"/>
      <c r="DV203" s="12"/>
      <c r="DW203" s="12"/>
      <c r="DX203" s="11">
        <v>1</v>
      </c>
      <c r="DY203" s="13">
        <v>17.24</v>
      </c>
      <c r="DZ203" s="11">
        <v>3</v>
      </c>
      <c r="EA203" s="11"/>
      <c r="EB203" s="13"/>
      <c r="EC203" s="11"/>
      <c r="ED203" s="12"/>
      <c r="EE203" s="12"/>
      <c r="EF203" s="11"/>
      <c r="EG203" s="13"/>
      <c r="EH203" s="11"/>
      <c r="EI203" s="11"/>
      <c r="EJ203" s="13"/>
      <c r="EK203" s="11"/>
      <c r="EL203" s="12"/>
      <c r="EM203" s="12"/>
      <c r="EN203" s="11"/>
      <c r="EO203" s="13"/>
      <c r="EP203" s="11">
        <v>5</v>
      </c>
      <c r="EQ203" s="11"/>
      <c r="ER203" s="13"/>
      <c r="ES203" s="11"/>
      <c r="ET203" s="12"/>
      <c r="EU203" s="12"/>
      <c r="EV203" s="11">
        <v>4</v>
      </c>
      <c r="EW203" s="13">
        <v>45.36</v>
      </c>
      <c r="EX203" s="11">
        <v>4</v>
      </c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>
        <v>94</v>
      </c>
      <c r="FM203" s="13">
        <v>1768.54</v>
      </c>
      <c r="FN203" s="11">
        <v>5</v>
      </c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/>
      <c r="GK203" s="13"/>
      <c r="GL203" s="11"/>
      <c r="GM203" s="11"/>
      <c r="GN203" s="13"/>
      <c r="GO203" s="11"/>
      <c r="GP203" s="12"/>
      <c r="GQ203" s="12"/>
      <c r="GR203" s="11"/>
      <c r="GS203" s="13"/>
      <c r="GT203" s="11">
        <v>5</v>
      </c>
      <c r="GU203" s="11"/>
      <c r="GV203" s="13"/>
      <c r="GW203" s="11"/>
      <c r="GX203" s="12"/>
      <c r="GY203" s="12"/>
      <c r="GZ203" s="11">
        <v>12</v>
      </c>
      <c r="HA203" s="13">
        <v>299.64</v>
      </c>
      <c r="HB203" s="11">
        <v>4</v>
      </c>
      <c r="HC203" s="11"/>
      <c r="HD203" s="13"/>
      <c r="HE203" s="11"/>
      <c r="HF203" s="12"/>
      <c r="HG203" s="12"/>
      <c r="HH203" s="11"/>
      <c r="HI203" s="13"/>
      <c r="HJ203" s="11"/>
      <c r="HK203" s="11"/>
      <c r="HL203" s="13"/>
      <c r="HM203" s="11"/>
      <c r="HN203" s="12"/>
      <c r="HO203" s="12"/>
      <c r="HP203" s="11"/>
      <c r="HQ203" s="13"/>
      <c r="HR203" s="11"/>
      <c r="HS203" s="11"/>
      <c r="HT203" s="13"/>
      <c r="HU203" s="11"/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>
        <v>2</v>
      </c>
      <c r="IW203" s="13">
        <v>34.04</v>
      </c>
      <c r="IX203" s="11">
        <v>2</v>
      </c>
      <c r="IY203" s="11"/>
      <c r="IZ203" s="13"/>
      <c r="JA203" s="11"/>
      <c r="JB203" s="12"/>
      <c r="JC203" s="12"/>
      <c r="JD203" s="11"/>
      <c r="JE203" s="13"/>
      <c r="JF203" s="11"/>
      <c r="JG203" s="11"/>
      <c r="JH203" s="13"/>
      <c r="JI203" s="11"/>
      <c r="JJ203" s="12"/>
      <c r="JK203" s="12"/>
      <c r="JL203" s="11"/>
      <c r="JM203" s="13"/>
      <c r="JN203" s="11"/>
      <c r="JO203" s="11"/>
      <c r="JP203" s="13"/>
      <c r="JQ203" s="11"/>
      <c r="JR203" s="12"/>
      <c r="JS203" s="12"/>
      <c r="JT203" s="11"/>
      <c r="JU203" s="13"/>
      <c r="JV203" s="11">
        <v>4</v>
      </c>
      <c r="JW203" s="11"/>
      <c r="JX203" s="13"/>
      <c r="JY203" s="11"/>
      <c r="JZ203" s="12"/>
      <c r="KA203" s="12"/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/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  <c r="LH203" s="11"/>
      <c r="LI203" s="13"/>
      <c r="LJ203" s="11"/>
      <c r="LK203" s="11"/>
      <c r="LL203" s="13"/>
      <c r="LM203" s="11"/>
      <c r="LN203" s="12"/>
      <c r="LO203" s="12"/>
      <c r="LP203" s="11"/>
      <c r="LQ203" s="13"/>
      <c r="LR203" s="11"/>
      <c r="LS203" s="11"/>
      <c r="LT203" s="13"/>
      <c r="LU203" s="11"/>
      <c r="LV203" s="12"/>
      <c r="LW203" s="12"/>
    </row>
    <row r="204">
      <c r="A204" s="10" t="s">
        <v>168</v>
      </c>
      <c r="B204" s="10" t="s">
        <v>176</v>
      </c>
      <c r="C204" s="10" t="s">
        <v>173</v>
      </c>
      <c r="D204" s="11">
        <v>34</v>
      </c>
      <c r="E204" s="11">
        <f>=ROUNDDOWN(1.7,0)</f>
      </c>
      <c r="F204" s="11"/>
      <c r="G204" s="12"/>
      <c r="H204" s="11"/>
      <c r="I204" s="11">
        <f>=ROUNDDOWN({0},0)</f>
      </c>
      <c r="J204" s="11"/>
      <c r="K204" s="12"/>
      <c r="L204" s="11">
        <v>122</v>
      </c>
      <c r="M204" s="13">
        <v>1150.05</v>
      </c>
      <c r="N204" s="11">
        <v>1</v>
      </c>
      <c r="O204" s="14">
        <v>1150.05</v>
      </c>
      <c r="P204" s="11"/>
      <c r="Q204" s="13"/>
      <c r="R204" s="11"/>
      <c r="S204" s="14"/>
      <c r="T204" s="12"/>
      <c r="U204" s="12"/>
      <c r="V204" s="12"/>
      <c r="W204" s="12"/>
      <c r="X204" s="11"/>
      <c r="Y204" s="13"/>
      <c r="Z204" s="11"/>
      <c r="AA204" s="11"/>
      <c r="AB204" s="13"/>
      <c r="AC204" s="11"/>
      <c r="AD204" s="12"/>
      <c r="AE204" s="12"/>
      <c r="AF204" s="11">
        <v>8</v>
      </c>
      <c r="AG204" s="13">
        <v>38.98</v>
      </c>
      <c r="AH204" s="11">
        <v>1</v>
      </c>
      <c r="AI204" s="11"/>
      <c r="AJ204" s="13"/>
      <c r="AK204" s="11"/>
      <c r="AL204" s="12"/>
      <c r="AM204" s="12"/>
      <c r="AN204" s="11">
        <v>4</v>
      </c>
      <c r="AO204" s="13">
        <v>48.11</v>
      </c>
      <c r="AP204" s="11">
        <v>1</v>
      </c>
      <c r="AQ204" s="11"/>
      <c r="AR204" s="13"/>
      <c r="AS204" s="11"/>
      <c r="AT204" s="12"/>
      <c r="AU204" s="12"/>
      <c r="AV204" s="11">
        <v>9</v>
      </c>
      <c r="AW204" s="13">
        <v>78.45</v>
      </c>
      <c r="AX204" s="11">
        <v>1</v>
      </c>
      <c r="AY204" s="11"/>
      <c r="AZ204" s="13"/>
      <c r="BA204" s="11"/>
      <c r="BB204" s="12"/>
      <c r="BC204" s="12"/>
      <c r="BD204" s="11">
        <v>3</v>
      </c>
      <c r="BE204" s="13">
        <v>30</v>
      </c>
      <c r="BF204" s="11">
        <v>1</v>
      </c>
      <c r="BG204" s="11"/>
      <c r="BH204" s="13"/>
      <c r="BI204" s="11"/>
      <c r="BJ204" s="12"/>
      <c r="BK204" s="12"/>
      <c r="BL204" s="11">
        <v>12</v>
      </c>
      <c r="BM204" s="13">
        <v>143.52</v>
      </c>
      <c r="BN204" s="11">
        <v>1</v>
      </c>
      <c r="BO204" s="11"/>
      <c r="BP204" s="13"/>
      <c r="BQ204" s="11"/>
      <c r="BR204" s="12"/>
      <c r="BS204" s="12"/>
      <c r="BT204" s="11">
        <v>80</v>
      </c>
      <c r="BU204" s="13">
        <v>753.85</v>
      </c>
      <c r="BV204" s="11">
        <v>1</v>
      </c>
      <c r="BW204" s="11"/>
      <c r="BX204" s="13"/>
      <c r="BY204" s="11"/>
      <c r="BZ204" s="12"/>
      <c r="CA204" s="12"/>
      <c r="CB204" s="11"/>
      <c r="CC204" s="13"/>
      <c r="CD204" s="11"/>
      <c r="CE204" s="11"/>
      <c r="CF204" s="13"/>
      <c r="CG204" s="11"/>
      <c r="CH204" s="12"/>
      <c r="CI204" s="12"/>
      <c r="CJ204" s="11">
        <v>1</v>
      </c>
      <c r="CK204" s="13">
        <v>14.39</v>
      </c>
      <c r="CL204" s="11">
        <v>1</v>
      </c>
      <c r="CM204" s="11"/>
      <c r="CN204" s="13"/>
      <c r="CO204" s="11"/>
      <c r="CP204" s="12"/>
      <c r="CQ204" s="12"/>
      <c r="CR204" s="11"/>
      <c r="CS204" s="13"/>
      <c r="CT204" s="11"/>
      <c r="CU204" s="11"/>
      <c r="CV204" s="13"/>
      <c r="CW204" s="11"/>
      <c r="CX204" s="12"/>
      <c r="CY204" s="12"/>
      <c r="CZ204" s="11"/>
      <c r="DA204" s="13"/>
      <c r="DB204" s="11"/>
      <c r="DC204" s="11"/>
      <c r="DD204" s="13"/>
      <c r="DE204" s="11"/>
      <c r="DF204" s="12"/>
      <c r="DG204" s="12"/>
      <c r="DH204" s="11"/>
      <c r="DI204" s="13"/>
      <c r="DJ204" s="11"/>
      <c r="DK204" s="11"/>
      <c r="DL204" s="13"/>
      <c r="DM204" s="11"/>
      <c r="DN204" s="12"/>
      <c r="DO204" s="12"/>
      <c r="DP204" s="11">
        <v>3</v>
      </c>
      <c r="DQ204" s="13">
        <v>24.42</v>
      </c>
      <c r="DR204" s="11">
        <v>1</v>
      </c>
      <c r="DS204" s="11"/>
      <c r="DT204" s="13"/>
      <c r="DU204" s="11"/>
      <c r="DV204" s="12"/>
      <c r="DW204" s="12"/>
      <c r="DX204" s="11"/>
      <c r="DY204" s="13"/>
      <c r="DZ204" s="11"/>
      <c r="EA204" s="11"/>
      <c r="EB204" s="13"/>
      <c r="EC204" s="11"/>
      <c r="ED204" s="12"/>
      <c r="EE204" s="12"/>
      <c r="EF204" s="11"/>
      <c r="EG204" s="13"/>
      <c r="EH204" s="11"/>
      <c r="EI204" s="11"/>
      <c r="EJ204" s="13"/>
      <c r="EK204" s="11"/>
      <c r="EL204" s="12"/>
      <c r="EM204" s="12"/>
      <c r="EN204" s="11"/>
      <c r="EO204" s="13"/>
      <c r="EP204" s="11">
        <v>1</v>
      </c>
      <c r="EQ204" s="11"/>
      <c r="ER204" s="13"/>
      <c r="ES204" s="11"/>
      <c r="ET204" s="12"/>
      <c r="EU204" s="12"/>
      <c r="EV204" s="11"/>
      <c r="EW204" s="13"/>
      <c r="EX204" s="11">
        <v>1</v>
      </c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>
        <v>2</v>
      </c>
      <c r="FM204" s="13">
        <v>18.33</v>
      </c>
      <c r="FN204" s="11">
        <v>1</v>
      </c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/>
      <c r="GM204" s="11"/>
      <c r="GN204" s="13"/>
      <c r="GO204" s="11"/>
      <c r="GP204" s="12"/>
      <c r="GQ204" s="12"/>
      <c r="GR204" s="11"/>
      <c r="GS204" s="13"/>
      <c r="GT204" s="11">
        <v>1</v>
      </c>
      <c r="GU204" s="11"/>
      <c r="GV204" s="13"/>
      <c r="GW204" s="11"/>
      <c r="GX204" s="12"/>
      <c r="GY204" s="12"/>
      <c r="GZ204" s="11"/>
      <c r="HA204" s="13"/>
      <c r="HB204" s="11"/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/>
      <c r="HQ204" s="13"/>
      <c r="HR204" s="11"/>
      <c r="HS204" s="11"/>
      <c r="HT204" s="13"/>
      <c r="HU204" s="11"/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/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/>
      <c r="JO204" s="11"/>
      <c r="JP204" s="13"/>
      <c r="JQ204" s="11"/>
      <c r="JR204" s="12"/>
      <c r="JS204" s="12"/>
      <c r="JT204" s="11"/>
      <c r="JU204" s="13"/>
      <c r="JV204" s="11">
        <v>1</v>
      </c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/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  <c r="LH204" s="11"/>
      <c r="LI204" s="13"/>
      <c r="LJ204" s="11"/>
      <c r="LK204" s="11"/>
      <c r="LL204" s="13"/>
      <c r="LM204" s="11"/>
      <c r="LN204" s="12"/>
      <c r="LO204" s="12"/>
      <c r="LP204" s="11"/>
      <c r="LQ204" s="13"/>
      <c r="LR204" s="11"/>
      <c r="LS204" s="11"/>
      <c r="LT204" s="13"/>
      <c r="LU204" s="11"/>
      <c r="LV204" s="12"/>
      <c r="LW204" s="12"/>
    </row>
    <row r="205">
      <c r="A205" s="10" t="s">
        <v>168</v>
      </c>
      <c r="B205" s="10" t="s">
        <v>177</v>
      </c>
      <c r="C205" s="10" t="s">
        <v>77</v>
      </c>
      <c r="D205" s="11">
        <v>46642</v>
      </c>
      <c r="E205" s="11">
        <f>=ROUNDDOWN({0},0)</f>
      </c>
      <c r="F205" s="11">
        <v>28946</v>
      </c>
      <c r="G205" s="12"/>
      <c r="H205" s="11"/>
      <c r="I205" s="11">
        <f>=ROUNDDOWN({0},0)</f>
      </c>
      <c r="J205" s="11"/>
      <c r="K205" s="12"/>
      <c r="L205" s="11">
        <v>30236</v>
      </c>
      <c r="M205" s="13">
        <v>912298.65</v>
      </c>
      <c r="N205" s="11">
        <v>91</v>
      </c>
      <c r="O205" s="14">
        <v>10025.26</v>
      </c>
      <c r="P205" s="11"/>
      <c r="Q205" s="13"/>
      <c r="R205" s="11"/>
      <c r="S205" s="14"/>
      <c r="T205" s="12"/>
      <c r="U205" s="12"/>
      <c r="V205" s="12"/>
      <c r="W205" s="12"/>
      <c r="X205" s="11">
        <v>10988</v>
      </c>
      <c r="Y205" s="13">
        <v>316237.45</v>
      </c>
      <c r="Z205" s="11">
        <v>56</v>
      </c>
      <c r="AA205" s="11"/>
      <c r="AB205" s="13"/>
      <c r="AC205" s="11"/>
      <c r="AD205" s="12"/>
      <c r="AE205" s="12"/>
      <c r="AF205" s="11">
        <v>965</v>
      </c>
      <c r="AG205" s="13">
        <v>29432.56</v>
      </c>
      <c r="AH205" s="11">
        <v>91</v>
      </c>
      <c r="AI205" s="11"/>
      <c r="AJ205" s="13"/>
      <c r="AK205" s="11"/>
      <c r="AL205" s="12"/>
      <c r="AM205" s="12"/>
      <c r="AN205" s="11">
        <v>3768</v>
      </c>
      <c r="AO205" s="13">
        <v>82506.29</v>
      </c>
      <c r="AP205" s="11">
        <v>91</v>
      </c>
      <c r="AQ205" s="11"/>
      <c r="AR205" s="13"/>
      <c r="AS205" s="11"/>
      <c r="AT205" s="12"/>
      <c r="AU205" s="12"/>
      <c r="AV205" s="11">
        <v>6368</v>
      </c>
      <c r="AW205" s="13">
        <v>249152.38</v>
      </c>
      <c r="AX205" s="11">
        <v>75</v>
      </c>
      <c r="AY205" s="11"/>
      <c r="AZ205" s="13"/>
      <c r="BA205" s="11"/>
      <c r="BB205" s="12"/>
      <c r="BC205" s="12"/>
      <c r="BD205" s="11">
        <v>1031</v>
      </c>
      <c r="BE205" s="13">
        <v>35815.35</v>
      </c>
      <c r="BF205" s="11">
        <v>91</v>
      </c>
      <c r="BG205" s="11"/>
      <c r="BH205" s="13"/>
      <c r="BI205" s="11"/>
      <c r="BJ205" s="12"/>
      <c r="BK205" s="12"/>
      <c r="BL205" s="11">
        <v>2052</v>
      </c>
      <c r="BM205" s="13">
        <v>51641.36</v>
      </c>
      <c r="BN205" s="11">
        <v>91</v>
      </c>
      <c r="BO205" s="11"/>
      <c r="BP205" s="13"/>
      <c r="BQ205" s="11"/>
      <c r="BR205" s="12"/>
      <c r="BS205" s="12"/>
      <c r="BT205" s="11">
        <v>908</v>
      </c>
      <c r="BU205" s="13">
        <v>32066.74</v>
      </c>
      <c r="BV205" s="11">
        <v>91</v>
      </c>
      <c r="BW205" s="11"/>
      <c r="BX205" s="13"/>
      <c r="BY205" s="11"/>
      <c r="BZ205" s="12"/>
      <c r="CA205" s="12"/>
      <c r="CB205" s="11">
        <v>1742</v>
      </c>
      <c r="CC205" s="13">
        <v>44028</v>
      </c>
      <c r="CD205" s="11">
        <v>85</v>
      </c>
      <c r="CE205" s="11"/>
      <c r="CF205" s="13"/>
      <c r="CG205" s="11"/>
      <c r="CH205" s="12"/>
      <c r="CI205" s="12"/>
      <c r="CJ205" s="11">
        <v>79</v>
      </c>
      <c r="CK205" s="13">
        <v>2648.01</v>
      </c>
      <c r="CL205" s="11">
        <v>91</v>
      </c>
      <c r="CM205" s="11"/>
      <c r="CN205" s="13"/>
      <c r="CO205" s="11"/>
      <c r="CP205" s="12"/>
      <c r="CQ205" s="12"/>
      <c r="CR205" s="11"/>
      <c r="CS205" s="13"/>
      <c r="CT205" s="11"/>
      <c r="CU205" s="11"/>
      <c r="CV205" s="13"/>
      <c r="CW205" s="11"/>
      <c r="CX205" s="12"/>
      <c r="CY205" s="12"/>
      <c r="CZ205" s="11">
        <v>1</v>
      </c>
      <c r="DA205" s="13">
        <v>41.1</v>
      </c>
      <c r="DB205" s="11">
        <v>1</v>
      </c>
      <c r="DC205" s="11"/>
      <c r="DD205" s="13"/>
      <c r="DE205" s="11"/>
      <c r="DF205" s="12"/>
      <c r="DG205" s="12"/>
      <c r="DH205" s="11"/>
      <c r="DI205" s="13"/>
      <c r="DJ205" s="11"/>
      <c r="DK205" s="11"/>
      <c r="DL205" s="13"/>
      <c r="DM205" s="11"/>
      <c r="DN205" s="12"/>
      <c r="DO205" s="12"/>
      <c r="DP205" s="11">
        <v>722</v>
      </c>
      <c r="DQ205" s="13">
        <v>19599.73</v>
      </c>
      <c r="DR205" s="11">
        <v>88</v>
      </c>
      <c r="DS205" s="11"/>
      <c r="DT205" s="13"/>
      <c r="DU205" s="11"/>
      <c r="DV205" s="12"/>
      <c r="DW205" s="12"/>
      <c r="DX205" s="11">
        <v>1034</v>
      </c>
      <c r="DY205" s="13">
        <v>25607.27</v>
      </c>
      <c r="DZ205" s="11">
        <v>25</v>
      </c>
      <c r="EA205" s="11"/>
      <c r="EB205" s="13"/>
      <c r="EC205" s="11"/>
      <c r="ED205" s="12"/>
      <c r="EE205" s="12"/>
      <c r="EF205" s="11"/>
      <c r="EG205" s="13"/>
      <c r="EH205" s="11"/>
      <c r="EI205" s="11"/>
      <c r="EJ205" s="13"/>
      <c r="EK205" s="11"/>
      <c r="EL205" s="12"/>
      <c r="EM205" s="12"/>
      <c r="EN205" s="11">
        <v>18</v>
      </c>
      <c r="EO205" s="13">
        <v>1037.58</v>
      </c>
      <c r="EP205" s="11">
        <v>91</v>
      </c>
      <c r="EQ205" s="11"/>
      <c r="ER205" s="13"/>
      <c r="ES205" s="11"/>
      <c r="ET205" s="12"/>
      <c r="EU205" s="12"/>
      <c r="EV205" s="11">
        <v>101</v>
      </c>
      <c r="EW205" s="13">
        <v>3293.44</v>
      </c>
      <c r="EX205" s="11">
        <v>65</v>
      </c>
      <c r="EY205" s="11"/>
      <c r="EZ205" s="13"/>
      <c r="FA205" s="11"/>
      <c r="FB205" s="12"/>
      <c r="FC205" s="12"/>
      <c r="FD205" s="11">
        <v>67</v>
      </c>
      <c r="FE205" s="13">
        <v>1116.97</v>
      </c>
      <c r="FF205" s="11">
        <v>3</v>
      </c>
      <c r="FG205" s="11"/>
      <c r="FH205" s="13"/>
      <c r="FI205" s="11"/>
      <c r="FJ205" s="12"/>
      <c r="FK205" s="12"/>
      <c r="FL205" s="11">
        <v>251</v>
      </c>
      <c r="FM205" s="13">
        <v>11379.31</v>
      </c>
      <c r="FN205" s="11">
        <v>58</v>
      </c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>
        <v>9</v>
      </c>
      <c r="GC205" s="13">
        <v>372.63</v>
      </c>
      <c r="GD205" s="11">
        <v>2</v>
      </c>
      <c r="GE205" s="11"/>
      <c r="GF205" s="13"/>
      <c r="GG205" s="11"/>
      <c r="GH205" s="12"/>
      <c r="GI205" s="12"/>
      <c r="GJ205" s="11"/>
      <c r="GK205" s="13"/>
      <c r="GL205" s="11"/>
      <c r="GM205" s="11"/>
      <c r="GN205" s="13"/>
      <c r="GO205" s="11"/>
      <c r="GP205" s="12"/>
      <c r="GQ205" s="12"/>
      <c r="GR205" s="11">
        <v>1</v>
      </c>
      <c r="GS205" s="13">
        <v>126.2</v>
      </c>
      <c r="GT205" s="11">
        <v>76</v>
      </c>
      <c r="GU205" s="11"/>
      <c r="GV205" s="13"/>
      <c r="GW205" s="11"/>
      <c r="GX205" s="12"/>
      <c r="GY205" s="12"/>
      <c r="GZ205" s="11">
        <v>19</v>
      </c>
      <c r="HA205" s="13">
        <v>739</v>
      </c>
      <c r="HB205" s="11">
        <v>21</v>
      </c>
      <c r="HC205" s="11"/>
      <c r="HD205" s="13"/>
      <c r="HE205" s="11"/>
      <c r="HF205" s="12"/>
      <c r="HG205" s="12"/>
      <c r="HH205" s="11">
        <v>40</v>
      </c>
      <c r="HI205" s="13">
        <v>785.34</v>
      </c>
      <c r="HJ205" s="11"/>
      <c r="HK205" s="11"/>
      <c r="HL205" s="13"/>
      <c r="HM205" s="11"/>
      <c r="HN205" s="12"/>
      <c r="HO205" s="12"/>
      <c r="HP205" s="11"/>
      <c r="HQ205" s="13"/>
      <c r="HR205" s="11"/>
      <c r="HS205" s="11"/>
      <c r="HT205" s="13"/>
      <c r="HU205" s="11"/>
      <c r="HV205" s="12"/>
      <c r="HW205" s="12"/>
      <c r="HX205" s="11">
        <v>64</v>
      </c>
      <c r="HY205" s="13">
        <v>4177.04</v>
      </c>
      <c r="HZ205" s="11">
        <v>28</v>
      </c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>
        <v>8</v>
      </c>
      <c r="IW205" s="13">
        <v>494.9</v>
      </c>
      <c r="IX205" s="11">
        <v>39</v>
      </c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/>
      <c r="JO205" s="11"/>
      <c r="JP205" s="13"/>
      <c r="JQ205" s="11"/>
      <c r="JR205" s="12"/>
      <c r="JS205" s="12"/>
      <c r="JT205" s="11"/>
      <c r="JU205" s="13"/>
      <c r="JV205" s="11">
        <v>31</v>
      </c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/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  <c r="LH205" s="11"/>
      <c r="LI205" s="13"/>
      <c r="LJ205" s="11"/>
      <c r="LK205" s="11"/>
      <c r="LL205" s="13"/>
      <c r="LM205" s="11"/>
      <c r="LN205" s="12"/>
      <c r="LO205" s="12"/>
      <c r="LP205" s="11"/>
      <c r="LQ205" s="13"/>
      <c r="LR205" s="11"/>
      <c r="LS205" s="11"/>
      <c r="LT205" s="13"/>
      <c r="LU205" s="11"/>
      <c r="LV205" s="12"/>
      <c r="LW205" s="12"/>
    </row>
    <row r="206">
      <c r="A206" s="10" t="s">
        <v>168</v>
      </c>
      <c r="B206" s="10" t="s">
        <v>178</v>
      </c>
      <c r="C206" s="10" t="s">
        <v>172</v>
      </c>
      <c r="D206" s="11">
        <v>154</v>
      </c>
      <c r="E206" s="11">
        <f>=ROUNDDOWN(5.13333333333333,0)</f>
      </c>
      <c r="F206" s="11"/>
      <c r="G206" s="12"/>
      <c r="H206" s="11"/>
      <c r="I206" s="11">
        <f>=ROUNDDOWN({0},0)</f>
      </c>
      <c r="J206" s="11"/>
      <c r="K206" s="12"/>
      <c r="L206" s="11">
        <v>196</v>
      </c>
      <c r="M206" s="13">
        <v>6891.98</v>
      </c>
      <c r="N206" s="11">
        <v>3</v>
      </c>
      <c r="O206" s="14">
        <v>2297.33</v>
      </c>
      <c r="P206" s="11"/>
      <c r="Q206" s="13"/>
      <c r="R206" s="11"/>
      <c r="S206" s="14"/>
      <c r="T206" s="12"/>
      <c r="U206" s="12"/>
      <c r="V206" s="12"/>
      <c r="W206" s="12"/>
      <c r="X206" s="11"/>
      <c r="Y206" s="13"/>
      <c r="Z206" s="11">
        <v>3</v>
      </c>
      <c r="AA206" s="11"/>
      <c r="AB206" s="13"/>
      <c r="AC206" s="11"/>
      <c r="AD206" s="12"/>
      <c r="AE206" s="12"/>
      <c r="AF206" s="11">
        <v>18</v>
      </c>
      <c r="AG206" s="13">
        <v>465.94</v>
      </c>
      <c r="AH206" s="11">
        <v>3</v>
      </c>
      <c r="AI206" s="11"/>
      <c r="AJ206" s="13"/>
      <c r="AK206" s="11"/>
      <c r="AL206" s="12"/>
      <c r="AM206" s="12"/>
      <c r="AN206" s="11">
        <v>76</v>
      </c>
      <c r="AO206" s="13">
        <v>2410.22</v>
      </c>
      <c r="AP206" s="11">
        <v>3</v>
      </c>
      <c r="AQ206" s="11"/>
      <c r="AR206" s="13"/>
      <c r="AS206" s="11"/>
      <c r="AT206" s="12"/>
      <c r="AU206" s="12"/>
      <c r="AV206" s="11">
        <v>33</v>
      </c>
      <c r="AW206" s="13">
        <v>1228.42</v>
      </c>
      <c r="AX206" s="11">
        <v>3</v>
      </c>
      <c r="AY206" s="11"/>
      <c r="AZ206" s="13"/>
      <c r="BA206" s="11"/>
      <c r="BB206" s="12"/>
      <c r="BC206" s="12"/>
      <c r="BD206" s="11">
        <v>35</v>
      </c>
      <c r="BE206" s="13">
        <v>1339.11</v>
      </c>
      <c r="BF206" s="11">
        <v>3</v>
      </c>
      <c r="BG206" s="11"/>
      <c r="BH206" s="13"/>
      <c r="BI206" s="11"/>
      <c r="BJ206" s="12"/>
      <c r="BK206" s="12"/>
      <c r="BL206" s="11">
        <v>2</v>
      </c>
      <c r="BM206" s="13">
        <v>83.98</v>
      </c>
      <c r="BN206" s="11">
        <v>3</v>
      </c>
      <c r="BO206" s="11"/>
      <c r="BP206" s="13"/>
      <c r="BQ206" s="11"/>
      <c r="BR206" s="12"/>
      <c r="BS206" s="12"/>
      <c r="BT206" s="11">
        <v>9</v>
      </c>
      <c r="BU206" s="13">
        <v>367.23</v>
      </c>
      <c r="BV206" s="11">
        <v>3</v>
      </c>
      <c r="BW206" s="11"/>
      <c r="BX206" s="13"/>
      <c r="BY206" s="11"/>
      <c r="BZ206" s="12"/>
      <c r="CA206" s="12"/>
      <c r="CB206" s="11">
        <v>11</v>
      </c>
      <c r="CC206" s="13">
        <v>335.95</v>
      </c>
      <c r="CD206" s="11">
        <v>3</v>
      </c>
      <c r="CE206" s="11"/>
      <c r="CF206" s="13"/>
      <c r="CG206" s="11"/>
      <c r="CH206" s="12"/>
      <c r="CI206" s="12"/>
      <c r="CJ206" s="11">
        <v>6</v>
      </c>
      <c r="CK206" s="13">
        <v>261.19</v>
      </c>
      <c r="CL206" s="11">
        <v>3</v>
      </c>
      <c r="CM206" s="11"/>
      <c r="CN206" s="13"/>
      <c r="CO206" s="11"/>
      <c r="CP206" s="12"/>
      <c r="CQ206" s="12"/>
      <c r="CR206" s="11"/>
      <c r="CS206" s="13"/>
      <c r="CT206" s="11"/>
      <c r="CU206" s="11"/>
      <c r="CV206" s="13"/>
      <c r="CW206" s="11"/>
      <c r="CX206" s="12"/>
      <c r="CY206" s="12"/>
      <c r="CZ206" s="11"/>
      <c r="DA206" s="13"/>
      <c r="DB206" s="11"/>
      <c r="DC206" s="11"/>
      <c r="DD206" s="13"/>
      <c r="DE206" s="11"/>
      <c r="DF206" s="12"/>
      <c r="DG206" s="12"/>
      <c r="DH206" s="11"/>
      <c r="DI206" s="13"/>
      <c r="DJ206" s="11"/>
      <c r="DK206" s="11"/>
      <c r="DL206" s="13"/>
      <c r="DM206" s="11"/>
      <c r="DN206" s="12"/>
      <c r="DO206" s="12"/>
      <c r="DP206" s="11"/>
      <c r="DQ206" s="13"/>
      <c r="DR206" s="11"/>
      <c r="DS206" s="11"/>
      <c r="DT206" s="13"/>
      <c r="DU206" s="11"/>
      <c r="DV206" s="12"/>
      <c r="DW206" s="12"/>
      <c r="DX206" s="11"/>
      <c r="DY206" s="13"/>
      <c r="DZ206" s="11"/>
      <c r="EA206" s="11"/>
      <c r="EB206" s="13"/>
      <c r="EC206" s="11"/>
      <c r="ED206" s="12"/>
      <c r="EE206" s="12"/>
      <c r="EF206" s="11"/>
      <c r="EG206" s="13"/>
      <c r="EH206" s="11"/>
      <c r="EI206" s="11"/>
      <c r="EJ206" s="13"/>
      <c r="EK206" s="11"/>
      <c r="EL206" s="12"/>
      <c r="EM206" s="12"/>
      <c r="EN206" s="11">
        <v>6</v>
      </c>
      <c r="EO206" s="13">
        <v>399.94</v>
      </c>
      <c r="EP206" s="11">
        <v>3</v>
      </c>
      <c r="EQ206" s="11"/>
      <c r="ER206" s="13"/>
      <c r="ES206" s="11"/>
      <c r="ET206" s="12"/>
      <c r="EU206" s="12"/>
      <c r="EV206" s="11"/>
      <c r="EW206" s="13"/>
      <c r="EX206" s="11"/>
      <c r="EY206" s="11"/>
      <c r="EZ206" s="13"/>
      <c r="FA206" s="11"/>
      <c r="FB206" s="12"/>
      <c r="FC206" s="12"/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/>
      <c r="FU206" s="13"/>
      <c r="FV206" s="11"/>
      <c r="FW206" s="11"/>
      <c r="FX206" s="13"/>
      <c r="FY206" s="11"/>
      <c r="FZ206" s="12"/>
      <c r="GA206" s="12"/>
      <c r="GB206" s="11"/>
      <c r="GC206" s="13"/>
      <c r="GD206" s="11"/>
      <c r="GE206" s="11"/>
      <c r="GF206" s="13"/>
      <c r="GG206" s="11"/>
      <c r="GH206" s="12"/>
      <c r="GI206" s="12"/>
      <c r="GJ206" s="11"/>
      <c r="GK206" s="13"/>
      <c r="GL206" s="11"/>
      <c r="GM206" s="11"/>
      <c r="GN206" s="13"/>
      <c r="GO206" s="11"/>
      <c r="GP206" s="12"/>
      <c r="GQ206" s="12"/>
      <c r="GR206" s="11"/>
      <c r="GS206" s="13"/>
      <c r="GT206" s="11">
        <v>3</v>
      </c>
      <c r="GU206" s="11"/>
      <c r="GV206" s="13"/>
      <c r="GW206" s="11"/>
      <c r="GX206" s="12"/>
      <c r="GY206" s="12"/>
      <c r="GZ206" s="11"/>
      <c r="HA206" s="13"/>
      <c r="HB206" s="11"/>
      <c r="HC206" s="11"/>
      <c r="HD206" s="13"/>
      <c r="HE206" s="11"/>
      <c r="HF206" s="12"/>
      <c r="HG206" s="12"/>
      <c r="HH206" s="11"/>
      <c r="HI206" s="13"/>
      <c r="HJ206" s="11"/>
      <c r="HK206" s="11"/>
      <c r="HL206" s="13"/>
      <c r="HM206" s="11"/>
      <c r="HN206" s="12"/>
      <c r="HO206" s="12"/>
      <c r="HP206" s="11"/>
      <c r="HQ206" s="13"/>
      <c r="HR206" s="11"/>
      <c r="HS206" s="11"/>
      <c r="HT206" s="13"/>
      <c r="HU206" s="11"/>
      <c r="HV206" s="12"/>
      <c r="HW206" s="12"/>
      <c r="HX206" s="11"/>
      <c r="HY206" s="13"/>
      <c r="HZ206" s="11"/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/>
      <c r="IO206" s="13"/>
      <c r="IP206" s="11"/>
      <c r="IQ206" s="11"/>
      <c r="IR206" s="13"/>
      <c r="IS206" s="11"/>
      <c r="IT206" s="12"/>
      <c r="IU206" s="12"/>
      <c r="IV206" s="11"/>
      <c r="IW206" s="13"/>
      <c r="IX206" s="11"/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/>
      <c r="JO206" s="11"/>
      <c r="JP206" s="13"/>
      <c r="JQ206" s="11"/>
      <c r="JR206" s="12"/>
      <c r="JS206" s="12"/>
      <c r="JT206" s="11"/>
      <c r="JU206" s="13"/>
      <c r="JV206" s="11"/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/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  <c r="LH206" s="11"/>
      <c r="LI206" s="13"/>
      <c r="LJ206" s="11"/>
      <c r="LK206" s="11"/>
      <c r="LL206" s="13"/>
      <c r="LM206" s="11"/>
      <c r="LN206" s="12"/>
      <c r="LO206" s="12"/>
      <c r="LP206" s="11"/>
      <c r="LQ206" s="13"/>
      <c r="LR206" s="11"/>
      <c r="LS206" s="11"/>
      <c r="LT206" s="13"/>
      <c r="LU206" s="11"/>
      <c r="LV206" s="12"/>
      <c r="LW206" s="12"/>
    </row>
    <row r="207">
      <c r="A207" s="10" t="s">
        <v>168</v>
      </c>
      <c r="B207" s="10" t="s">
        <v>178</v>
      </c>
      <c r="C207" s="10" t="s">
        <v>74</v>
      </c>
      <c r="D207" s="11">
        <v>1393</v>
      </c>
      <c r="E207" s="11">
        <f>=ROUNDDOWN(8.70625,0)</f>
      </c>
      <c r="F207" s="11">
        <v>2530</v>
      </c>
      <c r="G207" s="12">
        <v>1</v>
      </c>
      <c r="H207" s="11"/>
      <c r="I207" s="11">
        <f>=ROUNDDOWN({0},0)</f>
      </c>
      <c r="J207" s="11"/>
      <c r="K207" s="12"/>
      <c r="L207" s="11">
        <v>1084</v>
      </c>
      <c r="M207" s="13">
        <v>61645.66</v>
      </c>
      <c r="N207" s="11">
        <v>15</v>
      </c>
      <c r="O207" s="14">
        <v>4109.71</v>
      </c>
      <c r="P207" s="11"/>
      <c r="Q207" s="13"/>
      <c r="R207" s="11"/>
      <c r="S207" s="14"/>
      <c r="T207" s="12"/>
      <c r="U207" s="12"/>
      <c r="V207" s="12"/>
      <c r="W207" s="12"/>
      <c r="X207" s="11">
        <v>6</v>
      </c>
      <c r="Y207" s="13">
        <v>324.11</v>
      </c>
      <c r="Z207" s="11">
        <v>9</v>
      </c>
      <c r="AA207" s="11"/>
      <c r="AB207" s="13"/>
      <c r="AC207" s="11"/>
      <c r="AD207" s="12"/>
      <c r="AE207" s="12"/>
      <c r="AF207" s="11">
        <v>35</v>
      </c>
      <c r="AG207" s="13">
        <v>1377.64</v>
      </c>
      <c r="AH207" s="11">
        <v>12</v>
      </c>
      <c r="AI207" s="11"/>
      <c r="AJ207" s="13"/>
      <c r="AK207" s="11"/>
      <c r="AL207" s="12"/>
      <c r="AM207" s="12"/>
      <c r="AN207" s="11">
        <v>376</v>
      </c>
      <c r="AO207" s="13">
        <v>21110.52</v>
      </c>
      <c r="AP207" s="11">
        <v>15</v>
      </c>
      <c r="AQ207" s="11"/>
      <c r="AR207" s="13"/>
      <c r="AS207" s="11"/>
      <c r="AT207" s="12"/>
      <c r="AU207" s="12"/>
      <c r="AV207" s="11">
        <v>127</v>
      </c>
      <c r="AW207" s="13">
        <v>7185.5</v>
      </c>
      <c r="AX207" s="11">
        <v>12</v>
      </c>
      <c r="AY207" s="11"/>
      <c r="AZ207" s="13"/>
      <c r="BA207" s="11"/>
      <c r="BB207" s="12"/>
      <c r="BC207" s="12"/>
      <c r="BD207" s="11">
        <v>250</v>
      </c>
      <c r="BE207" s="13">
        <v>13086.44</v>
      </c>
      <c r="BF207" s="11">
        <v>15</v>
      </c>
      <c r="BG207" s="11"/>
      <c r="BH207" s="13"/>
      <c r="BI207" s="11"/>
      <c r="BJ207" s="12"/>
      <c r="BK207" s="12"/>
      <c r="BL207" s="11">
        <v>75</v>
      </c>
      <c r="BM207" s="13">
        <v>4988.55</v>
      </c>
      <c r="BN207" s="11">
        <v>12</v>
      </c>
      <c r="BO207" s="11"/>
      <c r="BP207" s="13"/>
      <c r="BQ207" s="11"/>
      <c r="BR207" s="12"/>
      <c r="BS207" s="12"/>
      <c r="BT207" s="11">
        <v>111</v>
      </c>
      <c r="BU207" s="13">
        <v>7331.64</v>
      </c>
      <c r="BV207" s="11">
        <v>15</v>
      </c>
      <c r="BW207" s="11"/>
      <c r="BX207" s="13"/>
      <c r="BY207" s="11"/>
      <c r="BZ207" s="12"/>
      <c r="CA207" s="12"/>
      <c r="CB207" s="11">
        <v>58</v>
      </c>
      <c r="CC207" s="13">
        <v>2991.34</v>
      </c>
      <c r="CD207" s="11">
        <v>6</v>
      </c>
      <c r="CE207" s="11"/>
      <c r="CF207" s="13"/>
      <c r="CG207" s="11"/>
      <c r="CH207" s="12"/>
      <c r="CI207" s="12"/>
      <c r="CJ207" s="11">
        <v>3</v>
      </c>
      <c r="CK207" s="13">
        <v>334.97</v>
      </c>
      <c r="CL207" s="11">
        <v>9</v>
      </c>
      <c r="CM207" s="11"/>
      <c r="CN207" s="13"/>
      <c r="CO207" s="11"/>
      <c r="CP207" s="12"/>
      <c r="CQ207" s="12"/>
      <c r="CR207" s="11"/>
      <c r="CS207" s="13"/>
      <c r="CT207" s="11"/>
      <c r="CU207" s="11"/>
      <c r="CV207" s="13"/>
      <c r="CW207" s="11"/>
      <c r="CX207" s="12"/>
      <c r="CY207" s="12"/>
      <c r="CZ207" s="11"/>
      <c r="DA207" s="13"/>
      <c r="DB207" s="11"/>
      <c r="DC207" s="11"/>
      <c r="DD207" s="13"/>
      <c r="DE207" s="11"/>
      <c r="DF207" s="12"/>
      <c r="DG207" s="12"/>
      <c r="DH207" s="11"/>
      <c r="DI207" s="13"/>
      <c r="DJ207" s="11"/>
      <c r="DK207" s="11"/>
      <c r="DL207" s="13"/>
      <c r="DM207" s="11"/>
      <c r="DN207" s="12"/>
      <c r="DO207" s="12"/>
      <c r="DP207" s="11">
        <v>22</v>
      </c>
      <c r="DQ207" s="13">
        <v>1178.58</v>
      </c>
      <c r="DR207" s="11">
        <v>12</v>
      </c>
      <c r="DS207" s="11"/>
      <c r="DT207" s="13"/>
      <c r="DU207" s="11"/>
      <c r="DV207" s="12"/>
      <c r="DW207" s="12"/>
      <c r="DX207" s="11"/>
      <c r="DY207" s="13"/>
      <c r="DZ207" s="11"/>
      <c r="EA207" s="11"/>
      <c r="EB207" s="13"/>
      <c r="EC207" s="11"/>
      <c r="ED207" s="12"/>
      <c r="EE207" s="12"/>
      <c r="EF207" s="11"/>
      <c r="EG207" s="13"/>
      <c r="EH207" s="11"/>
      <c r="EI207" s="11"/>
      <c r="EJ207" s="13"/>
      <c r="EK207" s="11"/>
      <c r="EL207" s="12"/>
      <c r="EM207" s="12"/>
      <c r="EN207" s="11"/>
      <c r="EO207" s="13"/>
      <c r="EP207" s="11">
        <v>15</v>
      </c>
      <c r="EQ207" s="11"/>
      <c r="ER207" s="13"/>
      <c r="ES207" s="11"/>
      <c r="ET207" s="12"/>
      <c r="EU207" s="12"/>
      <c r="EV207" s="11">
        <v>3</v>
      </c>
      <c r="EW207" s="13">
        <v>248.61</v>
      </c>
      <c r="EX207" s="11">
        <v>3</v>
      </c>
      <c r="EY207" s="11"/>
      <c r="EZ207" s="13"/>
      <c r="FA207" s="11"/>
      <c r="FB207" s="12"/>
      <c r="FC207" s="12"/>
      <c r="FD207" s="11">
        <v>4</v>
      </c>
      <c r="FE207" s="13">
        <v>357.06</v>
      </c>
      <c r="FF207" s="11">
        <v>1</v>
      </c>
      <c r="FG207" s="11"/>
      <c r="FH207" s="13"/>
      <c r="FI207" s="11"/>
      <c r="FJ207" s="12"/>
      <c r="FK207" s="12"/>
      <c r="FL207" s="11">
        <v>3</v>
      </c>
      <c r="FM207" s="13">
        <v>332.03</v>
      </c>
      <c r="FN207" s="11"/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/>
      <c r="GC207" s="13"/>
      <c r="GD207" s="11"/>
      <c r="GE207" s="11"/>
      <c r="GF207" s="13"/>
      <c r="GG207" s="11"/>
      <c r="GH207" s="12"/>
      <c r="GI207" s="12"/>
      <c r="GJ207" s="11"/>
      <c r="GK207" s="13"/>
      <c r="GL207" s="11"/>
      <c r="GM207" s="11"/>
      <c r="GN207" s="13"/>
      <c r="GO207" s="11"/>
      <c r="GP207" s="12"/>
      <c r="GQ207" s="12"/>
      <c r="GR207" s="11"/>
      <c r="GS207" s="13"/>
      <c r="GT207" s="11">
        <v>15</v>
      </c>
      <c r="GU207" s="11"/>
      <c r="GV207" s="13"/>
      <c r="GW207" s="11"/>
      <c r="GX207" s="12"/>
      <c r="GY207" s="12"/>
      <c r="GZ207" s="11">
        <v>11</v>
      </c>
      <c r="HA207" s="13">
        <v>798.67</v>
      </c>
      <c r="HB207" s="11">
        <v>2</v>
      </c>
      <c r="HC207" s="11"/>
      <c r="HD207" s="13"/>
      <c r="HE207" s="11"/>
      <c r="HF207" s="12"/>
      <c r="HG207" s="12"/>
      <c r="HH207" s="11"/>
      <c r="HI207" s="13"/>
      <c r="HJ207" s="11"/>
      <c r="HK207" s="11"/>
      <c r="HL207" s="13"/>
      <c r="HM207" s="11"/>
      <c r="HN207" s="12"/>
      <c r="HO207" s="12"/>
      <c r="HP207" s="11"/>
      <c r="HQ207" s="13"/>
      <c r="HR207" s="11"/>
      <c r="HS207" s="11"/>
      <c r="HT207" s="13"/>
      <c r="HU207" s="11"/>
      <c r="HV207" s="12"/>
      <c r="HW207" s="12"/>
      <c r="HX207" s="11"/>
      <c r="HY207" s="13"/>
      <c r="HZ207" s="11"/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/>
      <c r="IO207" s="13"/>
      <c r="IP207" s="11"/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/>
      <c r="JO207" s="11"/>
      <c r="JP207" s="13"/>
      <c r="JQ207" s="11"/>
      <c r="JR207" s="12"/>
      <c r="JS207" s="12"/>
      <c r="JT207" s="11"/>
      <c r="JU207" s="13"/>
      <c r="JV207" s="11">
        <v>12</v>
      </c>
      <c r="JW207" s="11"/>
      <c r="JX207" s="13"/>
      <c r="JY207" s="11"/>
      <c r="JZ207" s="12"/>
      <c r="KA207" s="12"/>
      <c r="KB207" s="11"/>
      <c r="KC207" s="13"/>
      <c r="KD207" s="11"/>
      <c r="KE207" s="11"/>
      <c r="KF207" s="13"/>
      <c r="KG207" s="11"/>
      <c r="KH207" s="12"/>
      <c r="KI207" s="12"/>
      <c r="KJ207" s="11"/>
      <c r="KK207" s="13"/>
      <c r="KL207" s="11"/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  <c r="LH207" s="11"/>
      <c r="LI207" s="13"/>
      <c r="LJ207" s="11"/>
      <c r="LK207" s="11"/>
      <c r="LL207" s="13"/>
      <c r="LM207" s="11"/>
      <c r="LN207" s="12"/>
      <c r="LO207" s="12"/>
      <c r="LP207" s="11"/>
      <c r="LQ207" s="13"/>
      <c r="LR207" s="11"/>
      <c r="LS207" s="11"/>
      <c r="LT207" s="13"/>
      <c r="LU207" s="11"/>
      <c r="LV207" s="12"/>
      <c r="LW207" s="12"/>
    </row>
    <row r="208">
      <c r="A208" s="10" t="s">
        <v>168</v>
      </c>
      <c r="B208" s="10" t="s">
        <v>178</v>
      </c>
      <c r="C208" s="10" t="s">
        <v>115</v>
      </c>
      <c r="D208" s="11">
        <v>1847</v>
      </c>
      <c r="E208" s="11">
        <f>=ROUNDDOWN(61.5666666666667,0)</f>
      </c>
      <c r="F208" s="11"/>
      <c r="G208" s="12">
        <v>1</v>
      </c>
      <c r="H208" s="11"/>
      <c r="I208" s="11">
        <f>=ROUNDDOWN({0},0)</f>
      </c>
      <c r="J208" s="11"/>
      <c r="K208" s="12"/>
      <c r="L208" s="11">
        <v>114</v>
      </c>
      <c r="M208" s="13">
        <v>3408.78</v>
      </c>
      <c r="N208" s="11">
        <v>3</v>
      </c>
      <c r="O208" s="14">
        <v>1136.26</v>
      </c>
      <c r="P208" s="11"/>
      <c r="Q208" s="13"/>
      <c r="R208" s="11"/>
      <c r="S208" s="14"/>
      <c r="T208" s="12"/>
      <c r="U208" s="12"/>
      <c r="V208" s="12"/>
      <c r="W208" s="12"/>
      <c r="X208" s="11">
        <v>87</v>
      </c>
      <c r="Y208" s="13">
        <v>2515.17</v>
      </c>
      <c r="Z208" s="11">
        <v>3</v>
      </c>
      <c r="AA208" s="11"/>
      <c r="AB208" s="13"/>
      <c r="AC208" s="11"/>
      <c r="AD208" s="12"/>
      <c r="AE208" s="12"/>
      <c r="AF208" s="11"/>
      <c r="AG208" s="13"/>
      <c r="AH208" s="11">
        <v>3</v>
      </c>
      <c r="AI208" s="11"/>
      <c r="AJ208" s="13"/>
      <c r="AK208" s="11"/>
      <c r="AL208" s="12"/>
      <c r="AM208" s="12"/>
      <c r="AN208" s="11">
        <v>5</v>
      </c>
      <c r="AO208" s="13">
        <v>142.55</v>
      </c>
      <c r="AP208" s="11">
        <v>3</v>
      </c>
      <c r="AQ208" s="11"/>
      <c r="AR208" s="13"/>
      <c r="AS208" s="11"/>
      <c r="AT208" s="12"/>
      <c r="AU208" s="12"/>
      <c r="AV208" s="11">
        <v>2</v>
      </c>
      <c r="AW208" s="13">
        <v>55.44</v>
      </c>
      <c r="AX208" s="11">
        <v>2</v>
      </c>
      <c r="AY208" s="11"/>
      <c r="AZ208" s="13"/>
      <c r="BA208" s="11"/>
      <c r="BB208" s="12"/>
      <c r="BC208" s="12"/>
      <c r="BD208" s="11">
        <v>11</v>
      </c>
      <c r="BE208" s="13">
        <v>360.1</v>
      </c>
      <c r="BF208" s="11">
        <v>3</v>
      </c>
      <c r="BG208" s="11"/>
      <c r="BH208" s="13"/>
      <c r="BI208" s="11"/>
      <c r="BJ208" s="12"/>
      <c r="BK208" s="12"/>
      <c r="BL208" s="11"/>
      <c r="BM208" s="13"/>
      <c r="BN208" s="11">
        <v>3</v>
      </c>
      <c r="BO208" s="11"/>
      <c r="BP208" s="13"/>
      <c r="BQ208" s="11"/>
      <c r="BR208" s="12"/>
      <c r="BS208" s="12"/>
      <c r="BT208" s="11">
        <v>8</v>
      </c>
      <c r="BU208" s="13">
        <v>307.8</v>
      </c>
      <c r="BV208" s="11">
        <v>3</v>
      </c>
      <c r="BW208" s="11"/>
      <c r="BX208" s="13"/>
      <c r="BY208" s="11"/>
      <c r="BZ208" s="12"/>
      <c r="CA208" s="12"/>
      <c r="CB208" s="11"/>
      <c r="CC208" s="13"/>
      <c r="CD208" s="11"/>
      <c r="CE208" s="11"/>
      <c r="CF208" s="13"/>
      <c r="CG208" s="11"/>
      <c r="CH208" s="12"/>
      <c r="CI208" s="12"/>
      <c r="CJ208" s="11"/>
      <c r="CK208" s="13"/>
      <c r="CL208" s="11">
        <v>3</v>
      </c>
      <c r="CM208" s="11"/>
      <c r="CN208" s="13"/>
      <c r="CO208" s="11"/>
      <c r="CP208" s="12"/>
      <c r="CQ208" s="12"/>
      <c r="CR208" s="11"/>
      <c r="CS208" s="13"/>
      <c r="CT208" s="11"/>
      <c r="CU208" s="11"/>
      <c r="CV208" s="13"/>
      <c r="CW208" s="11"/>
      <c r="CX208" s="12"/>
      <c r="CY208" s="12"/>
      <c r="CZ208" s="11"/>
      <c r="DA208" s="13"/>
      <c r="DB208" s="11"/>
      <c r="DC208" s="11"/>
      <c r="DD208" s="13"/>
      <c r="DE208" s="11"/>
      <c r="DF208" s="12"/>
      <c r="DG208" s="12"/>
      <c r="DH208" s="11"/>
      <c r="DI208" s="13"/>
      <c r="DJ208" s="11"/>
      <c r="DK208" s="11"/>
      <c r="DL208" s="13"/>
      <c r="DM208" s="11"/>
      <c r="DN208" s="12"/>
      <c r="DO208" s="12"/>
      <c r="DP208" s="11">
        <v>1</v>
      </c>
      <c r="DQ208" s="13">
        <v>27.72</v>
      </c>
      <c r="DR208" s="11">
        <v>3</v>
      </c>
      <c r="DS208" s="11"/>
      <c r="DT208" s="13"/>
      <c r="DU208" s="11"/>
      <c r="DV208" s="12"/>
      <c r="DW208" s="12"/>
      <c r="DX208" s="11"/>
      <c r="DY208" s="13"/>
      <c r="DZ208" s="11"/>
      <c r="EA208" s="11"/>
      <c r="EB208" s="13"/>
      <c r="EC208" s="11"/>
      <c r="ED208" s="12"/>
      <c r="EE208" s="12"/>
      <c r="EF208" s="11"/>
      <c r="EG208" s="13"/>
      <c r="EH208" s="11"/>
      <c r="EI208" s="11"/>
      <c r="EJ208" s="13"/>
      <c r="EK208" s="11"/>
      <c r="EL208" s="12"/>
      <c r="EM208" s="12"/>
      <c r="EN208" s="11"/>
      <c r="EO208" s="13"/>
      <c r="EP208" s="11">
        <v>3</v>
      </c>
      <c r="EQ208" s="11"/>
      <c r="ER208" s="13"/>
      <c r="ES208" s="11"/>
      <c r="ET208" s="12"/>
      <c r="EU208" s="12"/>
      <c r="EV208" s="11"/>
      <c r="EW208" s="13"/>
      <c r="EX208" s="11"/>
      <c r="EY208" s="11"/>
      <c r="EZ208" s="13"/>
      <c r="FA208" s="11"/>
      <c r="FB208" s="12"/>
      <c r="FC208" s="12"/>
      <c r="FD208" s="11"/>
      <c r="FE208" s="13"/>
      <c r="FF208" s="11"/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/>
      <c r="FU208" s="13"/>
      <c r="FV208" s="11"/>
      <c r="FW208" s="11"/>
      <c r="FX208" s="13"/>
      <c r="FY208" s="11"/>
      <c r="FZ208" s="12"/>
      <c r="GA208" s="12"/>
      <c r="GB208" s="11"/>
      <c r="GC208" s="13"/>
      <c r="GD208" s="11"/>
      <c r="GE208" s="11"/>
      <c r="GF208" s="13"/>
      <c r="GG208" s="11"/>
      <c r="GH208" s="12"/>
      <c r="GI208" s="12"/>
      <c r="GJ208" s="11"/>
      <c r="GK208" s="13"/>
      <c r="GL208" s="11"/>
      <c r="GM208" s="11"/>
      <c r="GN208" s="13"/>
      <c r="GO208" s="11"/>
      <c r="GP208" s="12"/>
      <c r="GQ208" s="12"/>
      <c r="GR208" s="11"/>
      <c r="GS208" s="13"/>
      <c r="GT208" s="11">
        <v>1</v>
      </c>
      <c r="GU208" s="11"/>
      <c r="GV208" s="13"/>
      <c r="GW208" s="11"/>
      <c r="GX208" s="12"/>
      <c r="GY208" s="12"/>
      <c r="GZ208" s="11"/>
      <c r="HA208" s="13"/>
      <c r="HB208" s="11"/>
      <c r="HC208" s="11"/>
      <c r="HD208" s="13"/>
      <c r="HE208" s="11"/>
      <c r="HF208" s="12"/>
      <c r="HG208" s="12"/>
      <c r="HH208" s="11"/>
      <c r="HI208" s="13"/>
      <c r="HJ208" s="11"/>
      <c r="HK208" s="11"/>
      <c r="HL208" s="13"/>
      <c r="HM208" s="11"/>
      <c r="HN208" s="12"/>
      <c r="HO208" s="12"/>
      <c r="HP208" s="11"/>
      <c r="HQ208" s="13"/>
      <c r="HR208" s="11"/>
      <c r="HS208" s="11"/>
      <c r="HT208" s="13"/>
      <c r="HU208" s="11"/>
      <c r="HV208" s="12"/>
      <c r="HW208" s="12"/>
      <c r="HX208" s="11"/>
      <c r="HY208" s="13"/>
      <c r="HZ208" s="11"/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/>
      <c r="IO208" s="13"/>
      <c r="IP208" s="11"/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/>
      <c r="JO208" s="11"/>
      <c r="JP208" s="13"/>
      <c r="JQ208" s="11"/>
      <c r="JR208" s="12"/>
      <c r="JS208" s="12"/>
      <c r="JT208" s="11"/>
      <c r="JU208" s="13"/>
      <c r="JV208" s="11"/>
      <c r="JW208" s="11"/>
      <c r="JX208" s="13"/>
      <c r="JY208" s="11"/>
      <c r="JZ208" s="12"/>
      <c r="KA208" s="12"/>
      <c r="KB208" s="11"/>
      <c r="KC208" s="13"/>
      <c r="KD208" s="11"/>
      <c r="KE208" s="11"/>
      <c r="KF208" s="13"/>
      <c r="KG208" s="11"/>
      <c r="KH208" s="12"/>
      <c r="KI208" s="12"/>
      <c r="KJ208" s="11"/>
      <c r="KK208" s="13"/>
      <c r="KL208" s="11"/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  <c r="LH208" s="11"/>
      <c r="LI208" s="13"/>
      <c r="LJ208" s="11"/>
      <c r="LK208" s="11"/>
      <c r="LL208" s="13"/>
      <c r="LM208" s="11"/>
      <c r="LN208" s="12"/>
      <c r="LO208" s="12"/>
      <c r="LP208" s="11"/>
      <c r="LQ208" s="13"/>
      <c r="LR208" s="11"/>
      <c r="LS208" s="11"/>
      <c r="LT208" s="13"/>
      <c r="LU208" s="11"/>
      <c r="LV208" s="12"/>
      <c r="LW208" s="12"/>
    </row>
    <row r="209">
      <c r="A209" s="10" t="s">
        <v>168</v>
      </c>
      <c r="B209" s="10" t="s">
        <v>179</v>
      </c>
      <c r="C209" s="10" t="s">
        <v>77</v>
      </c>
      <c r="D209" s="11">
        <v>3394</v>
      </c>
      <c r="E209" s="11">
        <f>=ROUNDDOWN({0},0)</f>
      </c>
      <c r="F209" s="11">
        <v>2530</v>
      </c>
      <c r="G209" s="12"/>
      <c r="H209" s="11"/>
      <c r="I209" s="11">
        <f>=ROUNDDOWN({0},0)</f>
      </c>
      <c r="J209" s="11"/>
      <c r="K209" s="12"/>
      <c r="L209" s="11">
        <v>1394</v>
      </c>
      <c r="M209" s="13">
        <v>71946.42</v>
      </c>
      <c r="N209" s="11">
        <v>21</v>
      </c>
      <c r="O209" s="14">
        <v>3426.02</v>
      </c>
      <c r="P209" s="11"/>
      <c r="Q209" s="13"/>
      <c r="R209" s="11"/>
      <c r="S209" s="14"/>
      <c r="T209" s="12"/>
      <c r="U209" s="12"/>
      <c r="V209" s="12"/>
      <c r="W209" s="12"/>
      <c r="X209" s="11">
        <v>93</v>
      </c>
      <c r="Y209" s="13">
        <v>2839.28</v>
      </c>
      <c r="Z209" s="11">
        <v>15</v>
      </c>
      <c r="AA209" s="11"/>
      <c r="AB209" s="13"/>
      <c r="AC209" s="11"/>
      <c r="AD209" s="12"/>
      <c r="AE209" s="12"/>
      <c r="AF209" s="11">
        <v>53</v>
      </c>
      <c r="AG209" s="13">
        <v>1843.58</v>
      </c>
      <c r="AH209" s="11">
        <v>18</v>
      </c>
      <c r="AI209" s="11"/>
      <c r="AJ209" s="13"/>
      <c r="AK209" s="11"/>
      <c r="AL209" s="12"/>
      <c r="AM209" s="12"/>
      <c r="AN209" s="11">
        <v>457</v>
      </c>
      <c r="AO209" s="13">
        <v>23663.29</v>
      </c>
      <c r="AP209" s="11">
        <v>21</v>
      </c>
      <c r="AQ209" s="11"/>
      <c r="AR209" s="13"/>
      <c r="AS209" s="11"/>
      <c r="AT209" s="12"/>
      <c r="AU209" s="12"/>
      <c r="AV209" s="11">
        <v>162</v>
      </c>
      <c r="AW209" s="13">
        <v>8469.36</v>
      </c>
      <c r="AX209" s="11">
        <v>17</v>
      </c>
      <c r="AY209" s="11"/>
      <c r="AZ209" s="13"/>
      <c r="BA209" s="11"/>
      <c r="BB209" s="12"/>
      <c r="BC209" s="12"/>
      <c r="BD209" s="11">
        <v>296</v>
      </c>
      <c r="BE209" s="13">
        <v>14785.65</v>
      </c>
      <c r="BF209" s="11">
        <v>21</v>
      </c>
      <c r="BG209" s="11"/>
      <c r="BH209" s="13"/>
      <c r="BI209" s="11"/>
      <c r="BJ209" s="12"/>
      <c r="BK209" s="12"/>
      <c r="BL209" s="11">
        <v>77</v>
      </c>
      <c r="BM209" s="13">
        <v>5072.53</v>
      </c>
      <c r="BN209" s="11">
        <v>18</v>
      </c>
      <c r="BO209" s="11"/>
      <c r="BP209" s="13"/>
      <c r="BQ209" s="11"/>
      <c r="BR209" s="12"/>
      <c r="BS209" s="12"/>
      <c r="BT209" s="11">
        <v>128</v>
      </c>
      <c r="BU209" s="13">
        <v>8006.67</v>
      </c>
      <c r="BV209" s="11">
        <v>21</v>
      </c>
      <c r="BW209" s="11"/>
      <c r="BX209" s="13"/>
      <c r="BY209" s="11"/>
      <c r="BZ209" s="12"/>
      <c r="CA209" s="12"/>
      <c r="CB209" s="11">
        <v>69</v>
      </c>
      <c r="CC209" s="13">
        <v>3327.29</v>
      </c>
      <c r="CD209" s="11">
        <v>9</v>
      </c>
      <c r="CE209" s="11"/>
      <c r="CF209" s="13"/>
      <c r="CG209" s="11"/>
      <c r="CH209" s="12"/>
      <c r="CI209" s="12"/>
      <c r="CJ209" s="11">
        <v>9</v>
      </c>
      <c r="CK209" s="13">
        <v>596.16</v>
      </c>
      <c r="CL209" s="11">
        <v>15</v>
      </c>
      <c r="CM209" s="11"/>
      <c r="CN209" s="13"/>
      <c r="CO209" s="11"/>
      <c r="CP209" s="12"/>
      <c r="CQ209" s="12"/>
      <c r="CR209" s="11"/>
      <c r="CS209" s="13"/>
      <c r="CT209" s="11"/>
      <c r="CU209" s="11"/>
      <c r="CV209" s="13"/>
      <c r="CW209" s="11"/>
      <c r="CX209" s="12"/>
      <c r="CY209" s="12"/>
      <c r="CZ209" s="11"/>
      <c r="DA209" s="13"/>
      <c r="DB209" s="11"/>
      <c r="DC209" s="11"/>
      <c r="DD209" s="13"/>
      <c r="DE209" s="11"/>
      <c r="DF209" s="12"/>
      <c r="DG209" s="12"/>
      <c r="DH209" s="11"/>
      <c r="DI209" s="13"/>
      <c r="DJ209" s="11"/>
      <c r="DK209" s="11"/>
      <c r="DL209" s="13"/>
      <c r="DM209" s="11"/>
      <c r="DN209" s="12"/>
      <c r="DO209" s="12"/>
      <c r="DP209" s="11">
        <v>23</v>
      </c>
      <c r="DQ209" s="13">
        <v>1206.3</v>
      </c>
      <c r="DR209" s="11">
        <v>15</v>
      </c>
      <c r="DS209" s="11"/>
      <c r="DT209" s="13"/>
      <c r="DU209" s="11"/>
      <c r="DV209" s="12"/>
      <c r="DW209" s="12"/>
      <c r="DX209" s="11"/>
      <c r="DY209" s="13"/>
      <c r="DZ209" s="11"/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>
        <v>6</v>
      </c>
      <c r="EO209" s="13">
        <v>399.94</v>
      </c>
      <c r="EP209" s="11">
        <v>21</v>
      </c>
      <c r="EQ209" s="11"/>
      <c r="ER209" s="13"/>
      <c r="ES209" s="11"/>
      <c r="ET209" s="12"/>
      <c r="EU209" s="12"/>
      <c r="EV209" s="11">
        <v>3</v>
      </c>
      <c r="EW209" s="13">
        <v>248.61</v>
      </c>
      <c r="EX209" s="11">
        <v>3</v>
      </c>
      <c r="EY209" s="11"/>
      <c r="EZ209" s="13"/>
      <c r="FA209" s="11"/>
      <c r="FB209" s="12"/>
      <c r="FC209" s="12"/>
      <c r="FD209" s="11">
        <v>4</v>
      </c>
      <c r="FE209" s="13">
        <v>357.06</v>
      </c>
      <c r="FF209" s="11">
        <v>1</v>
      </c>
      <c r="FG209" s="11"/>
      <c r="FH209" s="13"/>
      <c r="FI209" s="11"/>
      <c r="FJ209" s="12"/>
      <c r="FK209" s="12"/>
      <c r="FL209" s="11">
        <v>3</v>
      </c>
      <c r="FM209" s="13">
        <v>332.03</v>
      </c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>
        <v>19</v>
      </c>
      <c r="GU209" s="11"/>
      <c r="GV209" s="13"/>
      <c r="GW209" s="11"/>
      <c r="GX209" s="12"/>
      <c r="GY209" s="12"/>
      <c r="GZ209" s="11">
        <v>11</v>
      </c>
      <c r="HA209" s="13">
        <v>798.67</v>
      </c>
      <c r="HB209" s="11">
        <v>2</v>
      </c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/>
      <c r="JP209" s="13"/>
      <c r="JQ209" s="11"/>
      <c r="JR209" s="12"/>
      <c r="JS209" s="12"/>
      <c r="JT209" s="11"/>
      <c r="JU209" s="13"/>
      <c r="JV209" s="11">
        <v>12</v>
      </c>
      <c r="JW209" s="11"/>
      <c r="JX209" s="13"/>
      <c r="JY209" s="11"/>
      <c r="JZ209" s="12"/>
      <c r="KA209" s="12"/>
      <c r="KB209" s="11"/>
      <c r="KC209" s="13"/>
      <c r="KD209" s="11"/>
      <c r="KE209" s="11"/>
      <c r="KF209" s="13"/>
      <c r="KG209" s="11"/>
      <c r="KH209" s="12"/>
      <c r="KI209" s="12"/>
      <c r="KJ209" s="11"/>
      <c r="KK209" s="13"/>
      <c r="KL209" s="11"/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  <c r="LH209" s="11"/>
      <c r="LI209" s="13"/>
      <c r="LJ209" s="11"/>
      <c r="LK209" s="11"/>
      <c r="LL209" s="13"/>
      <c r="LM209" s="11"/>
      <c r="LN209" s="12"/>
      <c r="LO209" s="12"/>
      <c r="LP209" s="11"/>
      <c r="LQ209" s="13"/>
      <c r="LR209" s="11"/>
      <c r="LS209" s="11"/>
      <c r="LT209" s="13"/>
      <c r="LU209" s="11"/>
      <c r="LV209" s="12"/>
      <c r="LW209" s="12"/>
    </row>
    <row r="210">
      <c r="A210" s="10" t="s">
        <v>168</v>
      </c>
      <c r="B210" s="10" t="s">
        <v>165</v>
      </c>
      <c r="C210" s="10" t="s">
        <v>74</v>
      </c>
      <c r="D210" s="11">
        <v>3246</v>
      </c>
      <c r="E210" s="11">
        <f>=ROUNDDOWN(34.1684210526316,0)</f>
      </c>
      <c r="F210" s="11">
        <v>480</v>
      </c>
      <c r="G210" s="12">
        <v>0.7766</v>
      </c>
      <c r="H210" s="11"/>
      <c r="I210" s="11">
        <f>=ROUNDDOWN({0},0)</f>
      </c>
      <c r="J210" s="11"/>
      <c r="K210" s="12"/>
      <c r="L210" s="11">
        <v>1319</v>
      </c>
      <c r="M210" s="13">
        <v>37457.85</v>
      </c>
      <c r="N210" s="11">
        <v>9</v>
      </c>
      <c r="O210" s="14">
        <v>4161.98</v>
      </c>
      <c r="P210" s="11"/>
      <c r="Q210" s="13"/>
      <c r="R210" s="11"/>
      <c r="S210" s="14"/>
      <c r="T210" s="12"/>
      <c r="U210" s="12"/>
      <c r="V210" s="12"/>
      <c r="W210" s="12"/>
      <c r="X210" s="11">
        <v>372</v>
      </c>
      <c r="Y210" s="13">
        <v>10833.45</v>
      </c>
      <c r="Z210" s="11">
        <v>9</v>
      </c>
      <c r="AA210" s="11"/>
      <c r="AB210" s="13"/>
      <c r="AC210" s="11"/>
      <c r="AD210" s="12"/>
      <c r="AE210" s="12"/>
      <c r="AF210" s="11">
        <v>8</v>
      </c>
      <c r="AG210" s="13">
        <v>214.92</v>
      </c>
      <c r="AH210" s="11">
        <v>9</v>
      </c>
      <c r="AI210" s="11"/>
      <c r="AJ210" s="13"/>
      <c r="AK210" s="11"/>
      <c r="AL210" s="12"/>
      <c r="AM210" s="12"/>
      <c r="AN210" s="11">
        <v>634</v>
      </c>
      <c r="AO210" s="13">
        <v>17563.22</v>
      </c>
      <c r="AP210" s="11">
        <v>9</v>
      </c>
      <c r="AQ210" s="11"/>
      <c r="AR210" s="13"/>
      <c r="AS210" s="11"/>
      <c r="AT210" s="12"/>
      <c r="AU210" s="12"/>
      <c r="AV210" s="11">
        <v>105</v>
      </c>
      <c r="AW210" s="13">
        <v>2931.56</v>
      </c>
      <c r="AX210" s="11">
        <v>9</v>
      </c>
      <c r="AY210" s="11"/>
      <c r="AZ210" s="13"/>
      <c r="BA210" s="11"/>
      <c r="BB210" s="12"/>
      <c r="BC210" s="12"/>
      <c r="BD210" s="11">
        <v>102</v>
      </c>
      <c r="BE210" s="13">
        <v>2809.64</v>
      </c>
      <c r="BF210" s="11">
        <v>9</v>
      </c>
      <c r="BG210" s="11"/>
      <c r="BH210" s="13"/>
      <c r="BI210" s="11"/>
      <c r="BJ210" s="12"/>
      <c r="BK210" s="12"/>
      <c r="BL210" s="11">
        <v>54</v>
      </c>
      <c r="BM210" s="13">
        <v>1546.92</v>
      </c>
      <c r="BN210" s="11">
        <v>9</v>
      </c>
      <c r="BO210" s="11"/>
      <c r="BP210" s="13"/>
      <c r="BQ210" s="11"/>
      <c r="BR210" s="12"/>
      <c r="BS210" s="12"/>
      <c r="BT210" s="11">
        <v>17</v>
      </c>
      <c r="BU210" s="13">
        <v>571.31</v>
      </c>
      <c r="BV210" s="11">
        <v>9</v>
      </c>
      <c r="BW210" s="11"/>
      <c r="BX210" s="13"/>
      <c r="BY210" s="11"/>
      <c r="BZ210" s="12"/>
      <c r="CA210" s="12"/>
      <c r="CB210" s="11"/>
      <c r="CC210" s="13"/>
      <c r="CD210" s="11"/>
      <c r="CE210" s="11"/>
      <c r="CF210" s="13"/>
      <c r="CG210" s="11"/>
      <c r="CH210" s="12"/>
      <c r="CI210" s="12"/>
      <c r="CJ210" s="11">
        <v>7</v>
      </c>
      <c r="CK210" s="13">
        <v>406.93</v>
      </c>
      <c r="CL210" s="11">
        <v>9</v>
      </c>
      <c r="CM210" s="11"/>
      <c r="CN210" s="13"/>
      <c r="CO210" s="11"/>
      <c r="CP210" s="12"/>
      <c r="CQ210" s="12"/>
      <c r="CR210" s="11"/>
      <c r="CS210" s="13"/>
      <c r="CT210" s="11"/>
      <c r="CU210" s="11"/>
      <c r="CV210" s="13"/>
      <c r="CW210" s="11"/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/>
      <c r="DI210" s="13"/>
      <c r="DJ210" s="11"/>
      <c r="DK210" s="11"/>
      <c r="DL210" s="13"/>
      <c r="DM210" s="11"/>
      <c r="DN210" s="12"/>
      <c r="DO210" s="12"/>
      <c r="DP210" s="11">
        <v>20</v>
      </c>
      <c r="DQ210" s="13">
        <v>579.9</v>
      </c>
      <c r="DR210" s="11">
        <v>9</v>
      </c>
      <c r="DS210" s="11"/>
      <c r="DT210" s="13"/>
      <c r="DU210" s="11"/>
      <c r="DV210" s="12"/>
      <c r="DW210" s="12"/>
      <c r="DX210" s="11"/>
      <c r="DY210" s="13"/>
      <c r="DZ210" s="11"/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/>
      <c r="EL210" s="12"/>
      <c r="EM210" s="12"/>
      <c r="EN210" s="11"/>
      <c r="EO210" s="13"/>
      <c r="EP210" s="11">
        <v>9</v>
      </c>
      <c r="EQ210" s="11"/>
      <c r="ER210" s="13"/>
      <c r="ES210" s="11"/>
      <c r="ET210" s="12"/>
      <c r="EU210" s="12"/>
      <c r="EV210" s="11"/>
      <c r="EW210" s="13"/>
      <c r="EX210" s="11"/>
      <c r="EY210" s="11"/>
      <c r="EZ210" s="13"/>
      <c r="FA210" s="11"/>
      <c r="FB210" s="12"/>
      <c r="FC210" s="12"/>
      <c r="FD210" s="11"/>
      <c r="FE210" s="13"/>
      <c r="FF210" s="11"/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/>
      <c r="GE210" s="11"/>
      <c r="GF210" s="13"/>
      <c r="GG210" s="11"/>
      <c r="GH210" s="12"/>
      <c r="GI210" s="12"/>
      <c r="GJ210" s="11"/>
      <c r="GK210" s="13"/>
      <c r="GL210" s="11"/>
      <c r="GM210" s="11"/>
      <c r="GN210" s="13"/>
      <c r="GO210" s="11"/>
      <c r="GP210" s="12"/>
      <c r="GQ210" s="12"/>
      <c r="GR210" s="11"/>
      <c r="GS210" s="13"/>
      <c r="GT210" s="11"/>
      <c r="GU210" s="11"/>
      <c r="GV210" s="13"/>
      <c r="GW210" s="11"/>
      <c r="GX210" s="12"/>
      <c r="GY210" s="12"/>
      <c r="GZ210" s="11"/>
      <c r="HA210" s="13"/>
      <c r="HB210" s="11"/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/>
      <c r="IO210" s="13"/>
      <c r="IP210" s="11"/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/>
      <c r="JP210" s="13"/>
      <c r="JQ210" s="11"/>
      <c r="JR210" s="12"/>
      <c r="JS210" s="12"/>
      <c r="JT210" s="11"/>
      <c r="JU210" s="13"/>
      <c r="JV210" s="11"/>
      <c r="JW210" s="11"/>
      <c r="JX210" s="13"/>
      <c r="JY210" s="11"/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/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  <c r="LH210" s="11"/>
      <c r="LI210" s="13"/>
      <c r="LJ210" s="11"/>
      <c r="LK210" s="11"/>
      <c r="LL210" s="13"/>
      <c r="LM210" s="11"/>
      <c r="LN210" s="12"/>
      <c r="LO210" s="12"/>
      <c r="LP210" s="11"/>
      <c r="LQ210" s="13"/>
      <c r="LR210" s="11"/>
      <c r="LS210" s="11"/>
      <c r="LT210" s="13"/>
      <c r="LU210" s="11"/>
      <c r="LV210" s="12"/>
      <c r="LW210" s="12"/>
    </row>
    <row r="211">
      <c r="A211" s="10" t="s">
        <v>168</v>
      </c>
      <c r="B211" s="10" t="s">
        <v>166</v>
      </c>
      <c r="C211" s="10" t="s">
        <v>77</v>
      </c>
      <c r="D211" s="11">
        <v>3246</v>
      </c>
      <c r="E211" s="11">
        <f>=ROUNDDOWN({0},0)</f>
      </c>
      <c r="F211" s="11">
        <v>480</v>
      </c>
      <c r="G211" s="12"/>
      <c r="H211" s="11"/>
      <c r="I211" s="11">
        <f>=ROUNDDOWN({0},0)</f>
      </c>
      <c r="J211" s="11"/>
      <c r="K211" s="12"/>
      <c r="L211" s="11">
        <v>1319</v>
      </c>
      <c r="M211" s="13">
        <v>37457.85</v>
      </c>
      <c r="N211" s="11">
        <v>9</v>
      </c>
      <c r="O211" s="14">
        <v>4161.98</v>
      </c>
      <c r="P211" s="11"/>
      <c r="Q211" s="13"/>
      <c r="R211" s="11"/>
      <c r="S211" s="14"/>
      <c r="T211" s="12"/>
      <c r="U211" s="12"/>
      <c r="V211" s="12"/>
      <c r="W211" s="12"/>
      <c r="X211" s="11">
        <v>372</v>
      </c>
      <c r="Y211" s="13">
        <v>10833.45</v>
      </c>
      <c r="Z211" s="11">
        <v>9</v>
      </c>
      <c r="AA211" s="11"/>
      <c r="AB211" s="13"/>
      <c r="AC211" s="11"/>
      <c r="AD211" s="12"/>
      <c r="AE211" s="12"/>
      <c r="AF211" s="11">
        <v>8</v>
      </c>
      <c r="AG211" s="13">
        <v>214.92</v>
      </c>
      <c r="AH211" s="11">
        <v>9</v>
      </c>
      <c r="AI211" s="11"/>
      <c r="AJ211" s="13"/>
      <c r="AK211" s="11"/>
      <c r="AL211" s="12"/>
      <c r="AM211" s="12"/>
      <c r="AN211" s="11">
        <v>634</v>
      </c>
      <c r="AO211" s="13">
        <v>17563.22</v>
      </c>
      <c r="AP211" s="11">
        <v>9</v>
      </c>
      <c r="AQ211" s="11"/>
      <c r="AR211" s="13"/>
      <c r="AS211" s="11"/>
      <c r="AT211" s="12"/>
      <c r="AU211" s="12"/>
      <c r="AV211" s="11">
        <v>105</v>
      </c>
      <c r="AW211" s="13">
        <v>2931.56</v>
      </c>
      <c r="AX211" s="11">
        <v>9</v>
      </c>
      <c r="AY211" s="11"/>
      <c r="AZ211" s="13"/>
      <c r="BA211" s="11"/>
      <c r="BB211" s="12"/>
      <c r="BC211" s="12"/>
      <c r="BD211" s="11">
        <v>102</v>
      </c>
      <c r="BE211" s="13">
        <v>2809.64</v>
      </c>
      <c r="BF211" s="11">
        <v>9</v>
      </c>
      <c r="BG211" s="11"/>
      <c r="BH211" s="13"/>
      <c r="BI211" s="11"/>
      <c r="BJ211" s="12"/>
      <c r="BK211" s="12"/>
      <c r="BL211" s="11">
        <v>54</v>
      </c>
      <c r="BM211" s="13">
        <v>1546.92</v>
      </c>
      <c r="BN211" s="11">
        <v>9</v>
      </c>
      <c r="BO211" s="11"/>
      <c r="BP211" s="13"/>
      <c r="BQ211" s="11"/>
      <c r="BR211" s="12"/>
      <c r="BS211" s="12"/>
      <c r="BT211" s="11">
        <v>17</v>
      </c>
      <c r="BU211" s="13">
        <v>571.31</v>
      </c>
      <c r="BV211" s="11">
        <v>9</v>
      </c>
      <c r="BW211" s="11"/>
      <c r="BX211" s="13"/>
      <c r="BY211" s="11"/>
      <c r="BZ211" s="12"/>
      <c r="CA211" s="12"/>
      <c r="CB211" s="11"/>
      <c r="CC211" s="13"/>
      <c r="CD211" s="11"/>
      <c r="CE211" s="11"/>
      <c r="CF211" s="13"/>
      <c r="CG211" s="11"/>
      <c r="CH211" s="12"/>
      <c r="CI211" s="12"/>
      <c r="CJ211" s="11">
        <v>7</v>
      </c>
      <c r="CK211" s="13">
        <v>406.93</v>
      </c>
      <c r="CL211" s="11">
        <v>9</v>
      </c>
      <c r="CM211" s="11"/>
      <c r="CN211" s="13"/>
      <c r="CO211" s="11"/>
      <c r="CP211" s="12"/>
      <c r="CQ211" s="12"/>
      <c r="CR211" s="11"/>
      <c r="CS211" s="13"/>
      <c r="CT211" s="11"/>
      <c r="CU211" s="11"/>
      <c r="CV211" s="13"/>
      <c r="CW211" s="11"/>
      <c r="CX211" s="12"/>
      <c r="CY211" s="12"/>
      <c r="CZ211" s="11"/>
      <c r="DA211" s="13"/>
      <c r="DB211" s="11"/>
      <c r="DC211" s="11"/>
      <c r="DD211" s="13"/>
      <c r="DE211" s="11"/>
      <c r="DF211" s="12"/>
      <c r="DG211" s="12"/>
      <c r="DH211" s="11"/>
      <c r="DI211" s="13"/>
      <c r="DJ211" s="11"/>
      <c r="DK211" s="11"/>
      <c r="DL211" s="13"/>
      <c r="DM211" s="11"/>
      <c r="DN211" s="12"/>
      <c r="DO211" s="12"/>
      <c r="DP211" s="11">
        <v>20</v>
      </c>
      <c r="DQ211" s="13">
        <v>579.9</v>
      </c>
      <c r="DR211" s="11">
        <v>9</v>
      </c>
      <c r="DS211" s="11"/>
      <c r="DT211" s="13"/>
      <c r="DU211" s="11"/>
      <c r="DV211" s="12"/>
      <c r="DW211" s="12"/>
      <c r="DX211" s="11"/>
      <c r="DY211" s="13"/>
      <c r="DZ211" s="11"/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/>
      <c r="EO211" s="13"/>
      <c r="EP211" s="11">
        <v>9</v>
      </c>
      <c r="EQ211" s="11"/>
      <c r="ER211" s="13"/>
      <c r="ES211" s="11"/>
      <c r="ET211" s="12"/>
      <c r="EU211" s="12"/>
      <c r="EV211" s="11"/>
      <c r="EW211" s="13"/>
      <c r="EX211" s="11"/>
      <c r="EY211" s="11"/>
      <c r="EZ211" s="13"/>
      <c r="FA211" s="11"/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/>
      <c r="GS211" s="13"/>
      <c r="GT211" s="11"/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/>
      <c r="JP211" s="13"/>
      <c r="JQ211" s="11"/>
      <c r="JR211" s="12"/>
      <c r="JS211" s="12"/>
      <c r="JT211" s="11"/>
      <c r="JU211" s="13"/>
      <c r="JV211" s="11"/>
      <c r="JW211" s="11"/>
      <c r="JX211" s="13"/>
      <c r="JY211" s="11"/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  <c r="LH211" s="11"/>
      <c r="LI211" s="13"/>
      <c r="LJ211" s="11"/>
      <c r="LK211" s="11"/>
      <c r="LL211" s="13"/>
      <c r="LM211" s="11"/>
      <c r="LN211" s="12"/>
      <c r="LO211" s="12"/>
      <c r="LP211" s="11"/>
      <c r="LQ211" s="13"/>
      <c r="LR211" s="11"/>
      <c r="LS211" s="11"/>
      <c r="LT211" s="13"/>
      <c r="LU211" s="11"/>
      <c r="LV211" s="12"/>
      <c r="LW211" s="12"/>
    </row>
    <row r="212">
      <c r="A212" s="10" t="s">
        <v>168</v>
      </c>
      <c r="B212" s="10" t="s">
        <v>136</v>
      </c>
      <c r="C212" s="10" t="s">
        <v>74</v>
      </c>
      <c r="D212" s="11"/>
      <c r="E212" s="11">
        <f>=ROUNDDOWN({0},0)</f>
      </c>
      <c r="F212" s="11"/>
      <c r="G212" s="12"/>
      <c r="H212" s="11"/>
      <c r="I212" s="11">
        <f>=ROUNDDOWN({0},0)</f>
      </c>
      <c r="J212" s="11"/>
      <c r="K212" s="12"/>
      <c r="L212" s="11"/>
      <c r="M212" s="13"/>
      <c r="N212" s="11"/>
      <c r="O212" s="14"/>
      <c r="P212" s="11"/>
      <c r="Q212" s="13"/>
      <c r="R212" s="11"/>
      <c r="S212" s="14"/>
      <c r="T212" s="12"/>
      <c r="U212" s="12"/>
      <c r="V212" s="12"/>
      <c r="W212" s="12"/>
      <c r="X212" s="11"/>
      <c r="Y212" s="13"/>
      <c r="Z212" s="11"/>
      <c r="AA212" s="11"/>
      <c r="AB212" s="13"/>
      <c r="AC212" s="11"/>
      <c r="AD212" s="12"/>
      <c r="AE212" s="12"/>
      <c r="AF212" s="11"/>
      <c r="AG212" s="13"/>
      <c r="AH212" s="11"/>
      <c r="AI212" s="11"/>
      <c r="AJ212" s="13"/>
      <c r="AK212" s="11"/>
      <c r="AL212" s="12"/>
      <c r="AM212" s="12"/>
      <c r="AN212" s="11"/>
      <c r="AO212" s="13"/>
      <c r="AP212" s="11"/>
      <c r="AQ212" s="11"/>
      <c r="AR212" s="13"/>
      <c r="AS212" s="11"/>
      <c r="AT212" s="12"/>
      <c r="AU212" s="12"/>
      <c r="AV212" s="11"/>
      <c r="AW212" s="13"/>
      <c r="AX212" s="11"/>
      <c r="AY212" s="11"/>
      <c r="AZ212" s="13"/>
      <c r="BA212" s="11"/>
      <c r="BB212" s="12"/>
      <c r="BC212" s="12"/>
      <c r="BD212" s="11"/>
      <c r="BE212" s="13"/>
      <c r="BF212" s="11"/>
      <c r="BG212" s="11"/>
      <c r="BH212" s="13"/>
      <c r="BI212" s="11"/>
      <c r="BJ212" s="12"/>
      <c r="BK212" s="12"/>
      <c r="BL212" s="11"/>
      <c r="BM212" s="13"/>
      <c r="BN212" s="11"/>
      <c r="BO212" s="11"/>
      <c r="BP212" s="13"/>
      <c r="BQ212" s="11"/>
      <c r="BR212" s="12"/>
      <c r="BS212" s="12"/>
      <c r="BT212" s="11"/>
      <c r="BU212" s="13"/>
      <c r="BV212" s="11"/>
      <c r="BW212" s="11"/>
      <c r="BX212" s="13"/>
      <c r="BY212" s="11"/>
      <c r="BZ212" s="12"/>
      <c r="CA212" s="12"/>
      <c r="CB212" s="11"/>
      <c r="CC212" s="13"/>
      <c r="CD212" s="11"/>
      <c r="CE212" s="11"/>
      <c r="CF212" s="13"/>
      <c r="CG212" s="11"/>
      <c r="CH212" s="12"/>
      <c r="CI212" s="12"/>
      <c r="CJ212" s="11"/>
      <c r="CK212" s="13"/>
      <c r="CL212" s="11"/>
      <c r="CM212" s="11"/>
      <c r="CN212" s="13"/>
      <c r="CO212" s="11"/>
      <c r="CP212" s="12"/>
      <c r="CQ212" s="12"/>
      <c r="CR212" s="11"/>
      <c r="CS212" s="13"/>
      <c r="CT212" s="11"/>
      <c r="CU212" s="11"/>
      <c r="CV212" s="13"/>
      <c r="CW212" s="11"/>
      <c r="CX212" s="12"/>
      <c r="CY212" s="12"/>
      <c r="CZ212" s="11"/>
      <c r="DA212" s="13"/>
      <c r="DB212" s="11"/>
      <c r="DC212" s="11"/>
      <c r="DD212" s="13"/>
      <c r="DE212" s="11"/>
      <c r="DF212" s="12"/>
      <c r="DG212" s="12"/>
      <c r="DH212" s="11"/>
      <c r="DI212" s="13"/>
      <c r="DJ212" s="11"/>
      <c r="DK212" s="11"/>
      <c r="DL212" s="13"/>
      <c r="DM212" s="11"/>
      <c r="DN212" s="12"/>
      <c r="DO212" s="12"/>
      <c r="DP212" s="11"/>
      <c r="DQ212" s="13"/>
      <c r="DR212" s="11"/>
      <c r="DS212" s="11"/>
      <c r="DT212" s="13"/>
      <c r="DU212" s="11"/>
      <c r="DV212" s="12"/>
      <c r="DW212" s="12"/>
      <c r="DX212" s="11"/>
      <c r="DY212" s="13"/>
      <c r="DZ212" s="11"/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/>
      <c r="EQ212" s="11"/>
      <c r="ER212" s="13"/>
      <c r="ES212" s="11"/>
      <c r="ET212" s="12"/>
      <c r="EU212" s="12"/>
      <c r="EV212" s="11"/>
      <c r="EW212" s="13"/>
      <c r="EX212" s="11"/>
      <c r="EY212" s="11"/>
      <c r="EZ212" s="13"/>
      <c r="FA212" s="11"/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/>
      <c r="GS212" s="13"/>
      <c r="GT212" s="11"/>
      <c r="GU212" s="11"/>
      <c r="GV212" s="13"/>
      <c r="GW212" s="11"/>
      <c r="GX212" s="12"/>
      <c r="GY212" s="12"/>
      <c r="GZ212" s="11"/>
      <c r="HA212" s="13"/>
      <c r="HB212" s="11"/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/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/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  <c r="LH212" s="11"/>
      <c r="LI212" s="13"/>
      <c r="LJ212" s="11"/>
      <c r="LK212" s="11"/>
      <c r="LL212" s="13"/>
      <c r="LM212" s="11"/>
      <c r="LN212" s="12"/>
      <c r="LO212" s="12"/>
      <c r="LP212" s="11"/>
      <c r="LQ212" s="13"/>
      <c r="LR212" s="11"/>
      <c r="LS212" s="11"/>
      <c r="LT212" s="13"/>
      <c r="LU212" s="11"/>
      <c r="LV212" s="12"/>
      <c r="LW212" s="12"/>
    </row>
    <row r="213">
      <c r="A213" s="10" t="s">
        <v>168</v>
      </c>
      <c r="B213" s="10" t="s">
        <v>137</v>
      </c>
      <c r="C213" s="10" t="s">
        <v>77</v>
      </c>
      <c r="D213" s="11"/>
      <c r="E213" s="11">
        <f>=ROUNDDOWN({0},0)</f>
      </c>
      <c r="F213" s="11"/>
      <c r="G213" s="12"/>
      <c r="H213" s="11"/>
      <c r="I213" s="11">
        <f>=ROUNDDOWN({0},0)</f>
      </c>
      <c r="J213" s="11"/>
      <c r="K213" s="12"/>
      <c r="L213" s="11"/>
      <c r="M213" s="13"/>
      <c r="N213" s="11"/>
      <c r="O213" s="14"/>
      <c r="P213" s="11"/>
      <c r="Q213" s="13"/>
      <c r="R213" s="11"/>
      <c r="S213" s="14"/>
      <c r="T213" s="12"/>
      <c r="U213" s="12"/>
      <c r="V213" s="12"/>
      <c r="W213" s="12"/>
      <c r="X213" s="11"/>
      <c r="Y213" s="13"/>
      <c r="Z213" s="11"/>
      <c r="AA213" s="11"/>
      <c r="AB213" s="13"/>
      <c r="AC213" s="11"/>
      <c r="AD213" s="12"/>
      <c r="AE213" s="12"/>
      <c r="AF213" s="11"/>
      <c r="AG213" s="13"/>
      <c r="AH213" s="11"/>
      <c r="AI213" s="11"/>
      <c r="AJ213" s="13"/>
      <c r="AK213" s="11"/>
      <c r="AL213" s="12"/>
      <c r="AM213" s="12"/>
      <c r="AN213" s="11"/>
      <c r="AO213" s="13"/>
      <c r="AP213" s="11"/>
      <c r="AQ213" s="11"/>
      <c r="AR213" s="13"/>
      <c r="AS213" s="11"/>
      <c r="AT213" s="12"/>
      <c r="AU213" s="12"/>
      <c r="AV213" s="11"/>
      <c r="AW213" s="13"/>
      <c r="AX213" s="11"/>
      <c r="AY213" s="11"/>
      <c r="AZ213" s="13"/>
      <c r="BA213" s="11"/>
      <c r="BB213" s="12"/>
      <c r="BC213" s="12"/>
      <c r="BD213" s="11"/>
      <c r="BE213" s="13"/>
      <c r="BF213" s="11"/>
      <c r="BG213" s="11"/>
      <c r="BH213" s="13"/>
      <c r="BI213" s="11"/>
      <c r="BJ213" s="12"/>
      <c r="BK213" s="12"/>
      <c r="BL213" s="11"/>
      <c r="BM213" s="13"/>
      <c r="BN213" s="11"/>
      <c r="BO213" s="11"/>
      <c r="BP213" s="13"/>
      <c r="BQ213" s="11"/>
      <c r="BR213" s="12"/>
      <c r="BS213" s="12"/>
      <c r="BT213" s="11"/>
      <c r="BU213" s="13"/>
      <c r="BV213" s="11"/>
      <c r="BW213" s="11"/>
      <c r="BX213" s="13"/>
      <c r="BY213" s="11"/>
      <c r="BZ213" s="12"/>
      <c r="CA213" s="12"/>
      <c r="CB213" s="11"/>
      <c r="CC213" s="13"/>
      <c r="CD213" s="11"/>
      <c r="CE213" s="11"/>
      <c r="CF213" s="13"/>
      <c r="CG213" s="11"/>
      <c r="CH213" s="12"/>
      <c r="CI213" s="12"/>
      <c r="CJ213" s="11"/>
      <c r="CK213" s="13"/>
      <c r="CL213" s="11"/>
      <c r="CM213" s="11"/>
      <c r="CN213" s="13"/>
      <c r="CO213" s="11"/>
      <c r="CP213" s="12"/>
      <c r="CQ213" s="12"/>
      <c r="CR213" s="11"/>
      <c r="CS213" s="13"/>
      <c r="CT213" s="11"/>
      <c r="CU213" s="11"/>
      <c r="CV213" s="13"/>
      <c r="CW213" s="11"/>
      <c r="CX213" s="12"/>
      <c r="CY213" s="12"/>
      <c r="CZ213" s="11"/>
      <c r="DA213" s="13"/>
      <c r="DB213" s="11"/>
      <c r="DC213" s="11"/>
      <c r="DD213" s="13"/>
      <c r="DE213" s="11"/>
      <c r="DF213" s="12"/>
      <c r="DG213" s="12"/>
      <c r="DH213" s="11"/>
      <c r="DI213" s="13"/>
      <c r="DJ213" s="11"/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/>
      <c r="EA213" s="11"/>
      <c r="EB213" s="13"/>
      <c r="EC213" s="11"/>
      <c r="ED213" s="12"/>
      <c r="EE213" s="12"/>
      <c r="EF213" s="11"/>
      <c r="EG213" s="13"/>
      <c r="EH213" s="11"/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/>
      <c r="GS213" s="13"/>
      <c r="GT213" s="11"/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/>
      <c r="JW213" s="11"/>
      <c r="JX213" s="13"/>
      <c r="JY213" s="11"/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  <c r="LH213" s="11"/>
      <c r="LI213" s="13"/>
      <c r="LJ213" s="11"/>
      <c r="LK213" s="11"/>
      <c r="LL213" s="13"/>
      <c r="LM213" s="11"/>
      <c r="LN213" s="12"/>
      <c r="LO213" s="12"/>
      <c r="LP213" s="11"/>
      <c r="LQ213" s="13"/>
      <c r="LR213" s="11"/>
      <c r="LS213" s="11"/>
      <c r="LT213" s="13"/>
      <c r="LU213" s="11"/>
      <c r="LV213" s="12"/>
      <c r="LW213" s="12"/>
    </row>
    <row r="214">
      <c r="A214" s="10" t="s">
        <v>180</v>
      </c>
      <c r="B214" s="10" t="s">
        <v>77</v>
      </c>
      <c r="C214" s="10" t="s">
        <v>77</v>
      </c>
      <c r="D214" s="11">
        <v>167534</v>
      </c>
      <c r="E214" s="11">
        <f>=ROUNDDOWN({0},0)</f>
      </c>
      <c r="F214" s="11">
        <v>193111</v>
      </c>
      <c r="G214" s="12"/>
      <c r="H214" s="11"/>
      <c r="I214" s="11">
        <f>=ROUNDDOWN({0},0)</f>
      </c>
      <c r="J214" s="11"/>
      <c r="K214" s="12"/>
      <c r="L214" s="11">
        <v>75930</v>
      </c>
      <c r="M214" s="13">
        <v>2164762.2</v>
      </c>
      <c r="N214" s="11">
        <v>287</v>
      </c>
      <c r="O214" s="14">
        <v>7542.73</v>
      </c>
      <c r="P214" s="11"/>
      <c r="Q214" s="13"/>
      <c r="R214" s="11"/>
      <c r="S214" s="14"/>
      <c r="T214" s="12"/>
      <c r="U214" s="12"/>
      <c r="V214" s="12"/>
      <c r="W214" s="12"/>
      <c r="X214" s="11">
        <v>25521</v>
      </c>
      <c r="Y214" s="13">
        <v>671626.81</v>
      </c>
      <c r="Z214" s="11">
        <v>234</v>
      </c>
      <c r="AA214" s="11"/>
      <c r="AB214" s="13"/>
      <c r="AC214" s="11"/>
      <c r="AD214" s="12"/>
      <c r="AE214" s="12"/>
      <c r="AF214" s="11">
        <v>6786</v>
      </c>
      <c r="AG214" s="13">
        <v>176580.12</v>
      </c>
      <c r="AH214" s="11">
        <v>279</v>
      </c>
      <c r="AI214" s="11"/>
      <c r="AJ214" s="13"/>
      <c r="AK214" s="11"/>
      <c r="AL214" s="12"/>
      <c r="AM214" s="12"/>
      <c r="AN214" s="11">
        <v>11892</v>
      </c>
      <c r="AO214" s="13">
        <v>305122.54</v>
      </c>
      <c r="AP214" s="11">
        <v>279</v>
      </c>
      <c r="AQ214" s="11"/>
      <c r="AR214" s="13"/>
      <c r="AS214" s="11"/>
      <c r="AT214" s="12"/>
      <c r="AU214" s="12"/>
      <c r="AV214" s="11">
        <v>9631</v>
      </c>
      <c r="AW214" s="13">
        <v>340989.37</v>
      </c>
      <c r="AX214" s="11">
        <v>225</v>
      </c>
      <c r="AY214" s="11"/>
      <c r="AZ214" s="13"/>
      <c r="BA214" s="11"/>
      <c r="BB214" s="12"/>
      <c r="BC214" s="12"/>
      <c r="BD214" s="11">
        <v>5986</v>
      </c>
      <c r="BE214" s="13">
        <v>178220.54</v>
      </c>
      <c r="BF214" s="11">
        <v>282</v>
      </c>
      <c r="BG214" s="11"/>
      <c r="BH214" s="13"/>
      <c r="BI214" s="11"/>
      <c r="BJ214" s="12"/>
      <c r="BK214" s="12"/>
      <c r="BL214" s="11">
        <v>4135</v>
      </c>
      <c r="BM214" s="13">
        <v>124736.88</v>
      </c>
      <c r="BN214" s="11">
        <v>281</v>
      </c>
      <c r="BO214" s="11"/>
      <c r="BP214" s="13"/>
      <c r="BQ214" s="11"/>
      <c r="BR214" s="12"/>
      <c r="BS214" s="12"/>
      <c r="BT214" s="11">
        <v>2451</v>
      </c>
      <c r="BU214" s="13">
        <v>98117.08</v>
      </c>
      <c r="BV214" s="11">
        <v>282</v>
      </c>
      <c r="BW214" s="11"/>
      <c r="BX214" s="13"/>
      <c r="BY214" s="11"/>
      <c r="BZ214" s="12"/>
      <c r="CA214" s="12"/>
      <c r="CB214" s="11">
        <v>3894</v>
      </c>
      <c r="CC214" s="13">
        <v>103050.2</v>
      </c>
      <c r="CD214" s="11">
        <v>235</v>
      </c>
      <c r="CE214" s="11"/>
      <c r="CF214" s="13"/>
      <c r="CG214" s="11"/>
      <c r="CH214" s="12"/>
      <c r="CI214" s="12"/>
      <c r="CJ214" s="11">
        <v>411</v>
      </c>
      <c r="CK214" s="13">
        <v>20434.71</v>
      </c>
      <c r="CL214" s="11">
        <v>273</v>
      </c>
      <c r="CM214" s="11"/>
      <c r="CN214" s="13"/>
      <c r="CO214" s="11"/>
      <c r="CP214" s="12"/>
      <c r="CQ214" s="12"/>
      <c r="CR214" s="11"/>
      <c r="CS214" s="13"/>
      <c r="CT214" s="11"/>
      <c r="CU214" s="11"/>
      <c r="CV214" s="13"/>
      <c r="CW214" s="11"/>
      <c r="CX214" s="12"/>
      <c r="CY214" s="12"/>
      <c r="CZ214" s="11">
        <v>8</v>
      </c>
      <c r="DA214" s="13">
        <v>297.71</v>
      </c>
      <c r="DB214" s="11">
        <v>1</v>
      </c>
      <c r="DC214" s="11"/>
      <c r="DD214" s="13"/>
      <c r="DE214" s="11"/>
      <c r="DF214" s="12"/>
      <c r="DG214" s="12"/>
      <c r="DH214" s="11"/>
      <c r="DI214" s="13"/>
      <c r="DJ214" s="11"/>
      <c r="DK214" s="11"/>
      <c r="DL214" s="13"/>
      <c r="DM214" s="11"/>
      <c r="DN214" s="12"/>
      <c r="DO214" s="12"/>
      <c r="DP214" s="11">
        <v>1274</v>
      </c>
      <c r="DQ214" s="13">
        <v>36665.71</v>
      </c>
      <c r="DR214" s="11">
        <v>253</v>
      </c>
      <c r="DS214" s="11"/>
      <c r="DT214" s="13"/>
      <c r="DU214" s="11"/>
      <c r="DV214" s="12"/>
      <c r="DW214" s="12"/>
      <c r="DX214" s="11">
        <v>1446</v>
      </c>
      <c r="DY214" s="13">
        <v>35813.63</v>
      </c>
      <c r="DZ214" s="11">
        <v>97</v>
      </c>
      <c r="EA214" s="11"/>
      <c r="EB214" s="13"/>
      <c r="EC214" s="11"/>
      <c r="ED214" s="12"/>
      <c r="EE214" s="12"/>
      <c r="EF214" s="11">
        <v>1189</v>
      </c>
      <c r="EG214" s="13">
        <v>26772.15</v>
      </c>
      <c r="EH214" s="11"/>
      <c r="EI214" s="11"/>
      <c r="EJ214" s="13"/>
      <c r="EK214" s="11"/>
      <c r="EL214" s="12"/>
      <c r="EM214" s="12"/>
      <c r="EN214" s="11">
        <v>97</v>
      </c>
      <c r="EO214" s="13">
        <v>4940.22</v>
      </c>
      <c r="EP214" s="11">
        <v>284</v>
      </c>
      <c r="EQ214" s="11"/>
      <c r="ER214" s="13"/>
      <c r="ES214" s="11"/>
      <c r="ET214" s="12"/>
      <c r="EU214" s="12"/>
      <c r="EV214" s="11">
        <v>294</v>
      </c>
      <c r="EW214" s="13">
        <v>7839.65</v>
      </c>
      <c r="EX214" s="11">
        <v>95</v>
      </c>
      <c r="EY214" s="11"/>
      <c r="EZ214" s="13"/>
      <c r="FA214" s="11"/>
      <c r="FB214" s="12"/>
      <c r="FC214" s="12"/>
      <c r="FD214" s="11">
        <v>315</v>
      </c>
      <c r="FE214" s="13">
        <v>7827.22</v>
      </c>
      <c r="FF214" s="11">
        <v>44</v>
      </c>
      <c r="FG214" s="11"/>
      <c r="FH214" s="13"/>
      <c r="FI214" s="11"/>
      <c r="FJ214" s="12"/>
      <c r="FK214" s="12"/>
      <c r="FL214" s="11">
        <v>330</v>
      </c>
      <c r="FM214" s="13">
        <v>14894.64</v>
      </c>
      <c r="FN214" s="11">
        <v>74</v>
      </c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>
        <v>9</v>
      </c>
      <c r="GC214" s="13">
        <v>372.63</v>
      </c>
      <c r="GD214" s="11">
        <v>2</v>
      </c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>
        <v>4</v>
      </c>
      <c r="GS214" s="13">
        <v>211.32</v>
      </c>
      <c r="GT214" s="11">
        <v>189</v>
      </c>
      <c r="GU214" s="11"/>
      <c r="GV214" s="13"/>
      <c r="GW214" s="11"/>
      <c r="GX214" s="12"/>
      <c r="GY214" s="12"/>
      <c r="GZ214" s="11">
        <v>30</v>
      </c>
      <c r="HA214" s="13">
        <v>1537.67</v>
      </c>
      <c r="HB214" s="11">
        <v>30</v>
      </c>
      <c r="HC214" s="11"/>
      <c r="HD214" s="13"/>
      <c r="HE214" s="11"/>
      <c r="HF214" s="12"/>
      <c r="HG214" s="12"/>
      <c r="HH214" s="11">
        <v>72</v>
      </c>
      <c r="HI214" s="13">
        <v>1618.96</v>
      </c>
      <c r="HJ214" s="11"/>
      <c r="HK214" s="11"/>
      <c r="HL214" s="13"/>
      <c r="HM214" s="11"/>
      <c r="HN214" s="12"/>
      <c r="HO214" s="12"/>
      <c r="HP214" s="11"/>
      <c r="HQ214" s="13"/>
      <c r="HR214" s="11"/>
      <c r="HS214" s="11"/>
      <c r="HT214" s="13"/>
      <c r="HU214" s="11"/>
      <c r="HV214" s="12"/>
      <c r="HW214" s="12"/>
      <c r="HX214" s="11">
        <v>117</v>
      </c>
      <c r="HY214" s="13">
        <v>5557.4</v>
      </c>
      <c r="HZ214" s="11">
        <v>64</v>
      </c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>
        <v>6</v>
      </c>
      <c r="IO214" s="13">
        <v>441.94</v>
      </c>
      <c r="IP214" s="11">
        <v>5</v>
      </c>
      <c r="IQ214" s="11"/>
      <c r="IR214" s="13"/>
      <c r="IS214" s="11"/>
      <c r="IT214" s="12"/>
      <c r="IU214" s="12"/>
      <c r="IV214" s="11">
        <v>32</v>
      </c>
      <c r="IW214" s="13">
        <v>1093.1</v>
      </c>
      <c r="IX214" s="11">
        <v>78</v>
      </c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/>
      <c r="JO214" s="11"/>
      <c r="JP214" s="13"/>
      <c r="JQ214" s="11"/>
      <c r="JR214" s="12"/>
      <c r="JS214" s="12"/>
      <c r="JT214" s="11"/>
      <c r="JU214" s="13"/>
      <c r="JV214" s="11">
        <v>79</v>
      </c>
      <c r="JW214" s="11"/>
      <c r="JX214" s="13"/>
      <c r="JY214" s="11"/>
      <c r="JZ214" s="12"/>
      <c r="KA214" s="12"/>
      <c r="KB214" s="11"/>
      <c r="KC214" s="13"/>
      <c r="KD214" s="11"/>
      <c r="KE214" s="11"/>
      <c r="KF214" s="13"/>
      <c r="KG214" s="11"/>
      <c r="KH214" s="12"/>
      <c r="KI214" s="12"/>
      <c r="KJ214" s="11"/>
      <c r="KK214" s="13"/>
      <c r="KL214" s="11"/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  <c r="LH214" s="11"/>
      <c r="LI214" s="13"/>
      <c r="LJ214" s="11"/>
      <c r="LK214" s="11"/>
      <c r="LL214" s="13"/>
      <c r="LM214" s="11"/>
      <c r="LN214" s="12"/>
      <c r="LO214" s="12"/>
      <c r="LP214" s="11"/>
      <c r="LQ214" s="13"/>
      <c r="LR214" s="11"/>
      <c r="LS214" s="11"/>
      <c r="LT214" s="13"/>
      <c r="LU214" s="11"/>
      <c r="LV214" s="12"/>
      <c r="LW214" s="12"/>
    </row>
    <row r="215">
      <c r="A215" s="10" t="s">
        <v>181</v>
      </c>
      <c r="B215" s="10" t="s">
        <v>73</v>
      </c>
      <c r="C215" s="10" t="s">
        <v>114</v>
      </c>
      <c r="D215" s="11">
        <v>1770</v>
      </c>
      <c r="E215" s="11">
        <f>=ROUNDDOWN(8.80597014925373,0)</f>
      </c>
      <c r="F215" s="11">
        <v>4620</v>
      </c>
      <c r="G215" s="12">
        <v>0.9973</v>
      </c>
      <c r="H215" s="11"/>
      <c r="I215" s="11">
        <f>=ROUNDDOWN({0},0)</f>
      </c>
      <c r="J215" s="11"/>
      <c r="K215" s="12"/>
      <c r="L215" s="11">
        <v>2807</v>
      </c>
      <c r="M215" s="13">
        <v>35721.26</v>
      </c>
      <c r="N215" s="11">
        <v>5</v>
      </c>
      <c r="O215" s="14">
        <v>7144.25</v>
      </c>
      <c r="P215" s="11"/>
      <c r="Q215" s="13"/>
      <c r="R215" s="11"/>
      <c r="S215" s="14"/>
      <c r="T215" s="12"/>
      <c r="U215" s="12"/>
      <c r="V215" s="12"/>
      <c r="W215" s="12"/>
      <c r="X215" s="11">
        <v>956</v>
      </c>
      <c r="Y215" s="13">
        <v>12248.93</v>
      </c>
      <c r="Z215" s="11">
        <v>5</v>
      </c>
      <c r="AA215" s="11"/>
      <c r="AB215" s="13"/>
      <c r="AC215" s="11"/>
      <c r="AD215" s="12"/>
      <c r="AE215" s="12"/>
      <c r="AF215" s="11">
        <v>152</v>
      </c>
      <c r="AG215" s="13">
        <v>1808.94</v>
      </c>
      <c r="AH215" s="11">
        <v>5</v>
      </c>
      <c r="AI215" s="11"/>
      <c r="AJ215" s="13"/>
      <c r="AK215" s="11"/>
      <c r="AL215" s="12"/>
      <c r="AM215" s="12"/>
      <c r="AN215" s="11">
        <v>770</v>
      </c>
      <c r="AO215" s="13">
        <v>8881.46</v>
      </c>
      <c r="AP215" s="11">
        <v>5</v>
      </c>
      <c r="AQ215" s="11"/>
      <c r="AR215" s="13"/>
      <c r="AS215" s="11"/>
      <c r="AT215" s="12"/>
      <c r="AU215" s="12"/>
      <c r="AV215" s="11">
        <v>114</v>
      </c>
      <c r="AW215" s="13">
        <v>1562.7</v>
      </c>
      <c r="AX215" s="11">
        <v>4</v>
      </c>
      <c r="AY215" s="11"/>
      <c r="AZ215" s="13"/>
      <c r="BA215" s="11"/>
      <c r="BB215" s="12"/>
      <c r="BC215" s="12"/>
      <c r="BD215" s="11">
        <v>533</v>
      </c>
      <c r="BE215" s="13">
        <v>6927</v>
      </c>
      <c r="BF215" s="11">
        <v>5</v>
      </c>
      <c r="BG215" s="11"/>
      <c r="BH215" s="13"/>
      <c r="BI215" s="11"/>
      <c r="BJ215" s="12"/>
      <c r="BK215" s="12"/>
      <c r="BL215" s="11">
        <v>69</v>
      </c>
      <c r="BM215" s="13">
        <v>922.23</v>
      </c>
      <c r="BN215" s="11">
        <v>5</v>
      </c>
      <c r="BO215" s="11"/>
      <c r="BP215" s="13"/>
      <c r="BQ215" s="11"/>
      <c r="BR215" s="12"/>
      <c r="BS215" s="12"/>
      <c r="BT215" s="11">
        <v>53</v>
      </c>
      <c r="BU215" s="13">
        <v>746.84</v>
      </c>
      <c r="BV215" s="11">
        <v>5</v>
      </c>
      <c r="BW215" s="11"/>
      <c r="BX215" s="13"/>
      <c r="BY215" s="11"/>
      <c r="BZ215" s="12"/>
      <c r="CA215" s="12"/>
      <c r="CB215" s="11">
        <v>103</v>
      </c>
      <c r="CC215" s="13">
        <v>1475.5</v>
      </c>
      <c r="CD215" s="11">
        <v>5</v>
      </c>
      <c r="CE215" s="11"/>
      <c r="CF215" s="13"/>
      <c r="CG215" s="11"/>
      <c r="CH215" s="12"/>
      <c r="CI215" s="12"/>
      <c r="CJ215" s="11">
        <v>2</v>
      </c>
      <c r="CK215" s="13">
        <v>81.2</v>
      </c>
      <c r="CL215" s="11">
        <v>5</v>
      </c>
      <c r="CM215" s="11"/>
      <c r="CN215" s="13"/>
      <c r="CO215" s="11"/>
      <c r="CP215" s="12"/>
      <c r="CQ215" s="12"/>
      <c r="CR215" s="11"/>
      <c r="CS215" s="13"/>
      <c r="CT215" s="11"/>
      <c r="CU215" s="11"/>
      <c r="CV215" s="13"/>
      <c r="CW215" s="11"/>
      <c r="CX215" s="12"/>
      <c r="CY215" s="12"/>
      <c r="CZ215" s="11"/>
      <c r="DA215" s="13"/>
      <c r="DB215" s="11"/>
      <c r="DC215" s="11"/>
      <c r="DD215" s="13"/>
      <c r="DE215" s="11"/>
      <c r="DF215" s="12"/>
      <c r="DG215" s="12"/>
      <c r="DH215" s="11"/>
      <c r="DI215" s="13"/>
      <c r="DJ215" s="11"/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>
        <v>22</v>
      </c>
      <c r="DY215" s="13">
        <v>299.73</v>
      </c>
      <c r="DZ215" s="11">
        <v>4</v>
      </c>
      <c r="EA215" s="11"/>
      <c r="EB215" s="13"/>
      <c r="EC215" s="11"/>
      <c r="ED215" s="12"/>
      <c r="EE215" s="12"/>
      <c r="EF215" s="11"/>
      <c r="EG215" s="13"/>
      <c r="EH215" s="11"/>
      <c r="EI215" s="11"/>
      <c r="EJ215" s="13"/>
      <c r="EK215" s="11"/>
      <c r="EL215" s="12"/>
      <c r="EM215" s="12"/>
      <c r="EN215" s="11">
        <v>27</v>
      </c>
      <c r="EO215" s="13">
        <v>695.73</v>
      </c>
      <c r="EP215" s="11">
        <v>5</v>
      </c>
      <c r="EQ215" s="11"/>
      <c r="ER215" s="13"/>
      <c r="ES215" s="11"/>
      <c r="ET215" s="12"/>
      <c r="EU215" s="12"/>
      <c r="EV215" s="11"/>
      <c r="EW215" s="13"/>
      <c r="EX215" s="11">
        <v>1</v>
      </c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/>
      <c r="GS215" s="13"/>
      <c r="GT215" s="11">
        <v>5</v>
      </c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/>
      <c r="HS215" s="11"/>
      <c r="HT215" s="13"/>
      <c r="HU215" s="11"/>
      <c r="HV215" s="12"/>
      <c r="HW215" s="12"/>
      <c r="HX215" s="11">
        <v>3</v>
      </c>
      <c r="HY215" s="13">
        <v>35.19</v>
      </c>
      <c r="HZ215" s="11">
        <v>1</v>
      </c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>
        <v>3</v>
      </c>
      <c r="IW215" s="13">
        <v>35.81</v>
      </c>
      <c r="IX215" s="11">
        <v>2</v>
      </c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/>
      <c r="JO215" s="11"/>
      <c r="JP215" s="13"/>
      <c r="JQ215" s="11"/>
      <c r="JR215" s="12"/>
      <c r="JS215" s="12"/>
      <c r="JT215" s="11"/>
      <c r="JU215" s="13"/>
      <c r="JV215" s="11">
        <v>5</v>
      </c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  <c r="LH215" s="11"/>
      <c r="LI215" s="13"/>
      <c r="LJ215" s="11"/>
      <c r="LK215" s="11"/>
      <c r="LL215" s="13"/>
      <c r="LM215" s="11"/>
      <c r="LN215" s="12"/>
      <c r="LO215" s="12"/>
      <c r="LP215" s="11"/>
      <c r="LQ215" s="13"/>
      <c r="LR215" s="11"/>
      <c r="LS215" s="11"/>
      <c r="LT215" s="13"/>
      <c r="LU215" s="11"/>
      <c r="LV215" s="12"/>
      <c r="LW215" s="12"/>
    </row>
    <row r="216">
      <c r="A216" s="10" t="s">
        <v>181</v>
      </c>
      <c r="B216" s="10" t="s">
        <v>76</v>
      </c>
      <c r="C216" s="10" t="s">
        <v>77</v>
      </c>
      <c r="D216" s="11">
        <v>1770</v>
      </c>
      <c r="E216" s="11">
        <f>=ROUNDDOWN({0},0)</f>
      </c>
      <c r="F216" s="11">
        <v>4620</v>
      </c>
      <c r="G216" s="12"/>
      <c r="H216" s="11"/>
      <c r="I216" s="11">
        <f>=ROUNDDOWN({0},0)</f>
      </c>
      <c r="J216" s="11"/>
      <c r="K216" s="12"/>
      <c r="L216" s="11">
        <v>2807</v>
      </c>
      <c r="M216" s="13">
        <v>35721.26</v>
      </c>
      <c r="N216" s="11">
        <v>5</v>
      </c>
      <c r="O216" s="14">
        <v>7144.25</v>
      </c>
      <c r="P216" s="11"/>
      <c r="Q216" s="13"/>
      <c r="R216" s="11"/>
      <c r="S216" s="14"/>
      <c r="T216" s="12"/>
      <c r="U216" s="12"/>
      <c r="V216" s="12"/>
      <c r="W216" s="12"/>
      <c r="X216" s="11">
        <v>956</v>
      </c>
      <c r="Y216" s="13">
        <v>12248.93</v>
      </c>
      <c r="Z216" s="11">
        <v>5</v>
      </c>
      <c r="AA216" s="11"/>
      <c r="AB216" s="13"/>
      <c r="AC216" s="11"/>
      <c r="AD216" s="12"/>
      <c r="AE216" s="12"/>
      <c r="AF216" s="11">
        <v>152</v>
      </c>
      <c r="AG216" s="13">
        <v>1808.94</v>
      </c>
      <c r="AH216" s="11">
        <v>5</v>
      </c>
      <c r="AI216" s="11"/>
      <c r="AJ216" s="13"/>
      <c r="AK216" s="11"/>
      <c r="AL216" s="12"/>
      <c r="AM216" s="12"/>
      <c r="AN216" s="11">
        <v>770</v>
      </c>
      <c r="AO216" s="13">
        <v>8881.46</v>
      </c>
      <c r="AP216" s="11">
        <v>5</v>
      </c>
      <c r="AQ216" s="11"/>
      <c r="AR216" s="13"/>
      <c r="AS216" s="11"/>
      <c r="AT216" s="12"/>
      <c r="AU216" s="12"/>
      <c r="AV216" s="11">
        <v>114</v>
      </c>
      <c r="AW216" s="13">
        <v>1562.7</v>
      </c>
      <c r="AX216" s="11">
        <v>4</v>
      </c>
      <c r="AY216" s="11"/>
      <c r="AZ216" s="13"/>
      <c r="BA216" s="11"/>
      <c r="BB216" s="12"/>
      <c r="BC216" s="12"/>
      <c r="BD216" s="11">
        <v>533</v>
      </c>
      <c r="BE216" s="13">
        <v>6927</v>
      </c>
      <c r="BF216" s="11">
        <v>5</v>
      </c>
      <c r="BG216" s="11"/>
      <c r="BH216" s="13"/>
      <c r="BI216" s="11"/>
      <c r="BJ216" s="12"/>
      <c r="BK216" s="12"/>
      <c r="BL216" s="11">
        <v>69</v>
      </c>
      <c r="BM216" s="13">
        <v>922.23</v>
      </c>
      <c r="BN216" s="11">
        <v>5</v>
      </c>
      <c r="BO216" s="11"/>
      <c r="BP216" s="13"/>
      <c r="BQ216" s="11"/>
      <c r="BR216" s="12"/>
      <c r="BS216" s="12"/>
      <c r="BT216" s="11">
        <v>53</v>
      </c>
      <c r="BU216" s="13">
        <v>746.84</v>
      </c>
      <c r="BV216" s="11">
        <v>5</v>
      </c>
      <c r="BW216" s="11"/>
      <c r="BX216" s="13"/>
      <c r="BY216" s="11"/>
      <c r="BZ216" s="12"/>
      <c r="CA216" s="12"/>
      <c r="CB216" s="11">
        <v>103</v>
      </c>
      <c r="CC216" s="13">
        <v>1475.5</v>
      </c>
      <c r="CD216" s="11">
        <v>5</v>
      </c>
      <c r="CE216" s="11"/>
      <c r="CF216" s="13"/>
      <c r="CG216" s="11"/>
      <c r="CH216" s="12"/>
      <c r="CI216" s="12"/>
      <c r="CJ216" s="11">
        <v>2</v>
      </c>
      <c r="CK216" s="13">
        <v>81.2</v>
      </c>
      <c r="CL216" s="11">
        <v>5</v>
      </c>
      <c r="CM216" s="11"/>
      <c r="CN216" s="13"/>
      <c r="CO216" s="11"/>
      <c r="CP216" s="12"/>
      <c r="CQ216" s="12"/>
      <c r="CR216" s="11"/>
      <c r="CS216" s="13"/>
      <c r="CT216" s="11"/>
      <c r="CU216" s="11"/>
      <c r="CV216" s="13"/>
      <c r="CW216" s="11"/>
      <c r="CX216" s="12"/>
      <c r="CY216" s="12"/>
      <c r="CZ216" s="11"/>
      <c r="DA216" s="13"/>
      <c r="DB216" s="11"/>
      <c r="DC216" s="11"/>
      <c r="DD216" s="13"/>
      <c r="DE216" s="11"/>
      <c r="DF216" s="12"/>
      <c r="DG216" s="12"/>
      <c r="DH216" s="11"/>
      <c r="DI216" s="13"/>
      <c r="DJ216" s="11"/>
      <c r="DK216" s="11"/>
      <c r="DL216" s="13"/>
      <c r="DM216" s="11"/>
      <c r="DN216" s="12"/>
      <c r="DO216" s="12"/>
      <c r="DP216" s="11"/>
      <c r="DQ216" s="13"/>
      <c r="DR216" s="11"/>
      <c r="DS216" s="11"/>
      <c r="DT216" s="13"/>
      <c r="DU216" s="11"/>
      <c r="DV216" s="12"/>
      <c r="DW216" s="12"/>
      <c r="DX216" s="11">
        <v>22</v>
      </c>
      <c r="DY216" s="13">
        <v>299.73</v>
      </c>
      <c r="DZ216" s="11">
        <v>4</v>
      </c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>
        <v>27</v>
      </c>
      <c r="EO216" s="13">
        <v>695.73</v>
      </c>
      <c r="EP216" s="11">
        <v>5</v>
      </c>
      <c r="EQ216" s="11"/>
      <c r="ER216" s="13"/>
      <c r="ES216" s="11"/>
      <c r="ET216" s="12"/>
      <c r="EU216" s="12"/>
      <c r="EV216" s="11"/>
      <c r="EW216" s="13"/>
      <c r="EX216" s="11">
        <v>1</v>
      </c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>
        <v>5</v>
      </c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>
        <v>3</v>
      </c>
      <c r="HY216" s="13">
        <v>35.19</v>
      </c>
      <c r="HZ216" s="11">
        <v>1</v>
      </c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>
        <v>3</v>
      </c>
      <c r="IW216" s="13">
        <v>35.81</v>
      </c>
      <c r="IX216" s="11">
        <v>2</v>
      </c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>
        <v>5</v>
      </c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  <c r="LH216" s="11"/>
      <c r="LI216" s="13"/>
      <c r="LJ216" s="11"/>
      <c r="LK216" s="11"/>
      <c r="LL216" s="13"/>
      <c r="LM216" s="11"/>
      <c r="LN216" s="12"/>
      <c r="LO216" s="12"/>
      <c r="LP216" s="11"/>
      <c r="LQ216" s="13"/>
      <c r="LR216" s="11"/>
      <c r="LS216" s="11"/>
      <c r="LT216" s="13"/>
      <c r="LU216" s="11"/>
      <c r="LV216" s="12"/>
      <c r="LW216" s="12"/>
    </row>
    <row r="217">
      <c r="A217" s="10" t="s">
        <v>181</v>
      </c>
      <c r="B217" s="10" t="s">
        <v>82</v>
      </c>
      <c r="C217" s="10" t="s">
        <v>182</v>
      </c>
      <c r="D217" s="11">
        <v>2388</v>
      </c>
      <c r="E217" s="11">
        <f>=ROUNDDOWN(37.9047619047619,0)</f>
      </c>
      <c r="F217" s="11"/>
      <c r="G217" s="12"/>
      <c r="H217" s="11"/>
      <c r="I217" s="11">
        <f>=ROUNDDOWN({0},0)</f>
      </c>
      <c r="J217" s="11"/>
      <c r="K217" s="12"/>
      <c r="L217" s="11">
        <v>670</v>
      </c>
      <c r="M217" s="13">
        <v>18210.94</v>
      </c>
      <c r="N217" s="11">
        <v>9</v>
      </c>
      <c r="O217" s="14">
        <v>2023.44</v>
      </c>
      <c r="P217" s="11"/>
      <c r="Q217" s="13"/>
      <c r="R217" s="11"/>
      <c r="S217" s="14"/>
      <c r="T217" s="12"/>
      <c r="U217" s="12"/>
      <c r="V217" s="12"/>
      <c r="W217" s="12"/>
      <c r="X217" s="11">
        <v>28</v>
      </c>
      <c r="Y217" s="13">
        <v>699.08</v>
      </c>
      <c r="Z217" s="11">
        <v>9</v>
      </c>
      <c r="AA217" s="11"/>
      <c r="AB217" s="13"/>
      <c r="AC217" s="11"/>
      <c r="AD217" s="12"/>
      <c r="AE217" s="12"/>
      <c r="AF217" s="11">
        <v>35</v>
      </c>
      <c r="AG217" s="13">
        <v>811</v>
      </c>
      <c r="AH217" s="11">
        <v>9</v>
      </c>
      <c r="AI217" s="11"/>
      <c r="AJ217" s="13"/>
      <c r="AK217" s="11"/>
      <c r="AL217" s="12"/>
      <c r="AM217" s="12"/>
      <c r="AN217" s="11">
        <v>54</v>
      </c>
      <c r="AO217" s="13">
        <v>1336.27</v>
      </c>
      <c r="AP217" s="11">
        <v>9</v>
      </c>
      <c r="AQ217" s="11"/>
      <c r="AR217" s="13"/>
      <c r="AS217" s="11"/>
      <c r="AT217" s="12"/>
      <c r="AU217" s="12"/>
      <c r="AV217" s="11">
        <v>157</v>
      </c>
      <c r="AW217" s="13">
        <v>4317.38</v>
      </c>
      <c r="AX217" s="11">
        <v>8</v>
      </c>
      <c r="AY217" s="11"/>
      <c r="AZ217" s="13"/>
      <c r="BA217" s="11"/>
      <c r="BB217" s="12"/>
      <c r="BC217" s="12"/>
      <c r="BD217" s="11">
        <v>63</v>
      </c>
      <c r="BE217" s="13">
        <v>1816.99</v>
      </c>
      <c r="BF217" s="11">
        <v>9</v>
      </c>
      <c r="BG217" s="11"/>
      <c r="BH217" s="13"/>
      <c r="BI217" s="11"/>
      <c r="BJ217" s="12"/>
      <c r="BK217" s="12"/>
      <c r="BL217" s="11">
        <v>154</v>
      </c>
      <c r="BM217" s="13">
        <v>4566.96</v>
      </c>
      <c r="BN217" s="11">
        <v>9</v>
      </c>
      <c r="BO217" s="11"/>
      <c r="BP217" s="13"/>
      <c r="BQ217" s="11"/>
      <c r="BR217" s="12"/>
      <c r="BS217" s="12"/>
      <c r="BT217" s="11">
        <v>20</v>
      </c>
      <c r="BU217" s="13">
        <v>536.48</v>
      </c>
      <c r="BV217" s="11">
        <v>9</v>
      </c>
      <c r="BW217" s="11"/>
      <c r="BX217" s="13"/>
      <c r="BY217" s="11"/>
      <c r="BZ217" s="12"/>
      <c r="CA217" s="12"/>
      <c r="CB217" s="11">
        <v>106</v>
      </c>
      <c r="CC217" s="13">
        <v>2812.85</v>
      </c>
      <c r="CD217" s="11">
        <v>9</v>
      </c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/>
      <c r="DA217" s="13"/>
      <c r="DB217" s="11"/>
      <c r="DC217" s="11"/>
      <c r="DD217" s="13"/>
      <c r="DE217" s="11"/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/>
      <c r="DQ217" s="13"/>
      <c r="DR217" s="11"/>
      <c r="DS217" s="11"/>
      <c r="DT217" s="13"/>
      <c r="DU217" s="11"/>
      <c r="DV217" s="12"/>
      <c r="DW217" s="12"/>
      <c r="DX217" s="11">
        <v>20</v>
      </c>
      <c r="DY217" s="13">
        <v>410.77</v>
      </c>
      <c r="DZ217" s="11">
        <v>9</v>
      </c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>
        <v>9</v>
      </c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>
        <v>31</v>
      </c>
      <c r="FM217" s="13">
        <v>854.4</v>
      </c>
      <c r="FN217" s="11">
        <v>9</v>
      </c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>
        <v>2</v>
      </c>
      <c r="GS217" s="13">
        <v>48.76</v>
      </c>
      <c r="GT217" s="11">
        <v>9</v>
      </c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  <c r="LH217" s="11"/>
      <c r="LI217" s="13"/>
      <c r="LJ217" s="11"/>
      <c r="LK217" s="11"/>
      <c r="LL217" s="13"/>
      <c r="LM217" s="11"/>
      <c r="LN217" s="12"/>
      <c r="LO217" s="12"/>
      <c r="LP217" s="11"/>
      <c r="LQ217" s="13"/>
      <c r="LR217" s="11"/>
      <c r="LS217" s="11"/>
      <c r="LT217" s="13"/>
      <c r="LU217" s="11"/>
      <c r="LV217" s="12"/>
      <c r="LW217" s="12"/>
    </row>
    <row r="218">
      <c r="A218" s="10" t="s">
        <v>181</v>
      </c>
      <c r="B218" s="10" t="s">
        <v>84</v>
      </c>
      <c r="C218" s="10" t="s">
        <v>77</v>
      </c>
      <c r="D218" s="11">
        <v>2388</v>
      </c>
      <c r="E218" s="11">
        <f>=ROUNDDOWN({0},0)</f>
      </c>
      <c r="F218" s="11"/>
      <c r="G218" s="12"/>
      <c r="H218" s="11"/>
      <c r="I218" s="11">
        <f>=ROUNDDOWN({0},0)</f>
      </c>
      <c r="J218" s="11"/>
      <c r="K218" s="12"/>
      <c r="L218" s="11">
        <v>670</v>
      </c>
      <c r="M218" s="13">
        <v>18210.94</v>
      </c>
      <c r="N218" s="11">
        <v>9</v>
      </c>
      <c r="O218" s="14">
        <v>2023.44</v>
      </c>
      <c r="P218" s="11"/>
      <c r="Q218" s="13"/>
      <c r="R218" s="11"/>
      <c r="S218" s="14"/>
      <c r="T218" s="12"/>
      <c r="U218" s="12"/>
      <c r="V218" s="12"/>
      <c r="W218" s="12"/>
      <c r="X218" s="11">
        <v>28</v>
      </c>
      <c r="Y218" s="13">
        <v>699.08</v>
      </c>
      <c r="Z218" s="11">
        <v>9</v>
      </c>
      <c r="AA218" s="11"/>
      <c r="AB218" s="13"/>
      <c r="AC218" s="11"/>
      <c r="AD218" s="12"/>
      <c r="AE218" s="12"/>
      <c r="AF218" s="11">
        <v>35</v>
      </c>
      <c r="AG218" s="13">
        <v>811</v>
      </c>
      <c r="AH218" s="11">
        <v>9</v>
      </c>
      <c r="AI218" s="11"/>
      <c r="AJ218" s="13"/>
      <c r="AK218" s="11"/>
      <c r="AL218" s="12"/>
      <c r="AM218" s="12"/>
      <c r="AN218" s="11">
        <v>54</v>
      </c>
      <c r="AO218" s="13">
        <v>1336.27</v>
      </c>
      <c r="AP218" s="11">
        <v>9</v>
      </c>
      <c r="AQ218" s="11"/>
      <c r="AR218" s="13"/>
      <c r="AS218" s="11"/>
      <c r="AT218" s="12"/>
      <c r="AU218" s="12"/>
      <c r="AV218" s="11">
        <v>157</v>
      </c>
      <c r="AW218" s="13">
        <v>4317.38</v>
      </c>
      <c r="AX218" s="11">
        <v>8</v>
      </c>
      <c r="AY218" s="11"/>
      <c r="AZ218" s="13"/>
      <c r="BA218" s="11"/>
      <c r="BB218" s="12"/>
      <c r="BC218" s="12"/>
      <c r="BD218" s="11">
        <v>63</v>
      </c>
      <c r="BE218" s="13">
        <v>1816.99</v>
      </c>
      <c r="BF218" s="11">
        <v>9</v>
      </c>
      <c r="BG218" s="11"/>
      <c r="BH218" s="13"/>
      <c r="BI218" s="11"/>
      <c r="BJ218" s="12"/>
      <c r="BK218" s="12"/>
      <c r="BL218" s="11">
        <v>154</v>
      </c>
      <c r="BM218" s="13">
        <v>4566.96</v>
      </c>
      <c r="BN218" s="11">
        <v>9</v>
      </c>
      <c r="BO218" s="11"/>
      <c r="BP218" s="13"/>
      <c r="BQ218" s="11"/>
      <c r="BR218" s="12"/>
      <c r="BS218" s="12"/>
      <c r="BT218" s="11">
        <v>20</v>
      </c>
      <c r="BU218" s="13">
        <v>536.48</v>
      </c>
      <c r="BV218" s="11">
        <v>9</v>
      </c>
      <c r="BW218" s="11"/>
      <c r="BX218" s="13"/>
      <c r="BY218" s="11"/>
      <c r="BZ218" s="12"/>
      <c r="CA218" s="12"/>
      <c r="CB218" s="11">
        <v>106</v>
      </c>
      <c r="CC218" s="13">
        <v>2812.85</v>
      </c>
      <c r="CD218" s="11">
        <v>9</v>
      </c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/>
      <c r="CU218" s="11"/>
      <c r="CV218" s="13"/>
      <c r="CW218" s="11"/>
      <c r="CX218" s="12"/>
      <c r="CY218" s="12"/>
      <c r="CZ218" s="11"/>
      <c r="DA218" s="13"/>
      <c r="DB218" s="11"/>
      <c r="DC218" s="11"/>
      <c r="DD218" s="13"/>
      <c r="DE218" s="11"/>
      <c r="DF218" s="12"/>
      <c r="DG218" s="12"/>
      <c r="DH218" s="11"/>
      <c r="DI218" s="13"/>
      <c r="DJ218" s="11"/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>
        <v>20</v>
      </c>
      <c r="DY218" s="13">
        <v>410.77</v>
      </c>
      <c r="DZ218" s="11">
        <v>9</v>
      </c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>
        <v>9</v>
      </c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>
        <v>31</v>
      </c>
      <c r="FM218" s="13">
        <v>854.4</v>
      </c>
      <c r="FN218" s="11">
        <v>9</v>
      </c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>
        <v>2</v>
      </c>
      <c r="GS218" s="13">
        <v>48.76</v>
      </c>
      <c r="GT218" s="11">
        <v>9</v>
      </c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  <c r="LH218" s="11"/>
      <c r="LI218" s="13"/>
      <c r="LJ218" s="11"/>
      <c r="LK218" s="11"/>
      <c r="LL218" s="13"/>
      <c r="LM218" s="11"/>
      <c r="LN218" s="12"/>
      <c r="LO218" s="12"/>
      <c r="LP218" s="11"/>
      <c r="LQ218" s="13"/>
      <c r="LR218" s="11"/>
      <c r="LS218" s="11"/>
      <c r="LT218" s="13"/>
      <c r="LU218" s="11"/>
      <c r="LV218" s="12"/>
      <c r="LW218" s="12"/>
    </row>
    <row r="219">
      <c r="A219" s="10" t="s">
        <v>181</v>
      </c>
      <c r="B219" s="10" t="s">
        <v>89</v>
      </c>
      <c r="C219" s="10" t="s">
        <v>114</v>
      </c>
      <c r="D219" s="11">
        <v>6976</v>
      </c>
      <c r="E219" s="11">
        <f>=ROUNDDOWN(60.1898188093184,0)</f>
      </c>
      <c r="F219" s="11">
        <v>936</v>
      </c>
      <c r="G219" s="12">
        <v>1</v>
      </c>
      <c r="H219" s="11"/>
      <c r="I219" s="11">
        <f>=ROUNDDOWN({0},0)</f>
      </c>
      <c r="J219" s="11"/>
      <c r="K219" s="12"/>
      <c r="L219" s="11">
        <v>2535</v>
      </c>
      <c r="M219" s="13">
        <v>33425.62</v>
      </c>
      <c r="N219" s="11">
        <v>3</v>
      </c>
      <c r="O219" s="14">
        <v>11141.87</v>
      </c>
      <c r="P219" s="11"/>
      <c r="Q219" s="13"/>
      <c r="R219" s="11"/>
      <c r="S219" s="14"/>
      <c r="T219" s="12"/>
      <c r="U219" s="12"/>
      <c r="V219" s="12"/>
      <c r="W219" s="12"/>
      <c r="X219" s="11">
        <v>2520</v>
      </c>
      <c r="Y219" s="13">
        <v>33221.71</v>
      </c>
      <c r="Z219" s="11">
        <v>3</v>
      </c>
      <c r="AA219" s="11"/>
      <c r="AB219" s="13"/>
      <c r="AC219" s="11"/>
      <c r="AD219" s="12"/>
      <c r="AE219" s="12"/>
      <c r="AF219" s="11"/>
      <c r="AG219" s="13"/>
      <c r="AH219" s="11"/>
      <c r="AI219" s="11"/>
      <c r="AJ219" s="13"/>
      <c r="AK219" s="11"/>
      <c r="AL219" s="12"/>
      <c r="AM219" s="12"/>
      <c r="AN219" s="11"/>
      <c r="AO219" s="13"/>
      <c r="AP219" s="11"/>
      <c r="AQ219" s="11"/>
      <c r="AR219" s="13"/>
      <c r="AS219" s="11"/>
      <c r="AT219" s="12"/>
      <c r="AU219" s="12"/>
      <c r="AV219" s="11"/>
      <c r="AW219" s="13"/>
      <c r="AX219" s="11"/>
      <c r="AY219" s="11"/>
      <c r="AZ219" s="13"/>
      <c r="BA219" s="11"/>
      <c r="BB219" s="12"/>
      <c r="BC219" s="12"/>
      <c r="BD219" s="11"/>
      <c r="BE219" s="13"/>
      <c r="BF219" s="11"/>
      <c r="BG219" s="11"/>
      <c r="BH219" s="13"/>
      <c r="BI219" s="11"/>
      <c r="BJ219" s="12"/>
      <c r="BK219" s="12"/>
      <c r="BL219" s="11">
        <v>14</v>
      </c>
      <c r="BM219" s="13">
        <v>192.92</v>
      </c>
      <c r="BN219" s="11"/>
      <c r="BO219" s="11"/>
      <c r="BP219" s="13"/>
      <c r="BQ219" s="11"/>
      <c r="BR219" s="12"/>
      <c r="BS219" s="12"/>
      <c r="BT219" s="11"/>
      <c r="BU219" s="13"/>
      <c r="BV219" s="11"/>
      <c r="BW219" s="11"/>
      <c r="BX219" s="13"/>
      <c r="BY219" s="11"/>
      <c r="BZ219" s="12"/>
      <c r="CA219" s="12"/>
      <c r="CB219" s="11"/>
      <c r="CC219" s="13"/>
      <c r="CD219" s="11"/>
      <c r="CE219" s="11"/>
      <c r="CF219" s="13"/>
      <c r="CG219" s="11"/>
      <c r="CH219" s="12"/>
      <c r="CI219" s="12"/>
      <c r="CJ219" s="11"/>
      <c r="CK219" s="13"/>
      <c r="CL219" s="11"/>
      <c r="CM219" s="11"/>
      <c r="CN219" s="13"/>
      <c r="CO219" s="11"/>
      <c r="CP219" s="12"/>
      <c r="CQ219" s="12"/>
      <c r="CR219" s="11"/>
      <c r="CS219" s="13"/>
      <c r="CT219" s="11"/>
      <c r="CU219" s="11"/>
      <c r="CV219" s="13"/>
      <c r="CW219" s="11"/>
      <c r="CX219" s="12"/>
      <c r="CY219" s="12"/>
      <c r="CZ219" s="11"/>
      <c r="DA219" s="13"/>
      <c r="DB219" s="11"/>
      <c r="DC219" s="11"/>
      <c r="DD219" s="13"/>
      <c r="DE219" s="11"/>
      <c r="DF219" s="12"/>
      <c r="DG219" s="12"/>
      <c r="DH219" s="11"/>
      <c r="DI219" s="13"/>
      <c r="DJ219" s="11"/>
      <c r="DK219" s="11"/>
      <c r="DL219" s="13"/>
      <c r="DM219" s="11"/>
      <c r="DN219" s="12"/>
      <c r="DO219" s="12"/>
      <c r="DP219" s="11"/>
      <c r="DQ219" s="13"/>
      <c r="DR219" s="11"/>
      <c r="DS219" s="11"/>
      <c r="DT219" s="13"/>
      <c r="DU219" s="11"/>
      <c r="DV219" s="12"/>
      <c r="DW219" s="12"/>
      <c r="DX219" s="11"/>
      <c r="DY219" s="13"/>
      <c r="DZ219" s="11"/>
      <c r="EA219" s="11"/>
      <c r="EB219" s="13"/>
      <c r="EC219" s="11"/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>
        <v>1</v>
      </c>
      <c r="EO219" s="13">
        <v>10.99</v>
      </c>
      <c r="EP219" s="11"/>
      <c r="EQ219" s="11"/>
      <c r="ER219" s="13"/>
      <c r="ES219" s="11"/>
      <c r="ET219" s="12"/>
      <c r="EU219" s="12"/>
      <c r="EV219" s="11"/>
      <c r="EW219" s="13"/>
      <c r="EX219" s="11"/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/>
      <c r="GC219" s="13"/>
      <c r="GD219" s="11"/>
      <c r="GE219" s="11"/>
      <c r="GF219" s="13"/>
      <c r="GG219" s="11"/>
      <c r="GH219" s="12"/>
      <c r="GI219" s="12"/>
      <c r="GJ219" s="11"/>
      <c r="GK219" s="13"/>
      <c r="GL219" s="11"/>
      <c r="GM219" s="11"/>
      <c r="GN219" s="13"/>
      <c r="GO219" s="11"/>
      <c r="GP219" s="12"/>
      <c r="GQ219" s="12"/>
      <c r="GR219" s="11"/>
      <c r="GS219" s="13"/>
      <c r="GT219" s="11"/>
      <c r="GU219" s="11"/>
      <c r="GV219" s="13"/>
      <c r="GW219" s="11"/>
      <c r="GX219" s="12"/>
      <c r="GY219" s="12"/>
      <c r="GZ219" s="11"/>
      <c r="HA219" s="13"/>
      <c r="HB219" s="11"/>
      <c r="HC219" s="11"/>
      <c r="HD219" s="13"/>
      <c r="HE219" s="11"/>
      <c r="HF219" s="12"/>
      <c r="HG219" s="12"/>
      <c r="HH219" s="11"/>
      <c r="HI219" s="13"/>
      <c r="HJ219" s="11"/>
      <c r="HK219" s="11"/>
      <c r="HL219" s="13"/>
      <c r="HM219" s="11"/>
      <c r="HN219" s="12"/>
      <c r="HO219" s="12"/>
      <c r="HP219" s="11"/>
      <c r="HQ219" s="13"/>
      <c r="HR219" s="11"/>
      <c r="HS219" s="11"/>
      <c r="HT219" s="13"/>
      <c r="HU219" s="11"/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/>
      <c r="IG219" s="13"/>
      <c r="IH219" s="11"/>
      <c r="II219" s="11"/>
      <c r="IJ219" s="13"/>
      <c r="IK219" s="11"/>
      <c r="IL219" s="12"/>
      <c r="IM219" s="12"/>
      <c r="IN219" s="11"/>
      <c r="IO219" s="13"/>
      <c r="IP219" s="11"/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/>
      <c r="KE219" s="11"/>
      <c r="KF219" s="13"/>
      <c r="KG219" s="11"/>
      <c r="KH219" s="12"/>
      <c r="KI219" s="12"/>
      <c r="KJ219" s="11"/>
      <c r="KK219" s="13"/>
      <c r="KL219" s="11"/>
      <c r="KM219" s="11"/>
      <c r="KN219" s="13"/>
      <c r="KO219" s="11"/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  <c r="LH219" s="11"/>
      <c r="LI219" s="13"/>
      <c r="LJ219" s="11"/>
      <c r="LK219" s="11"/>
      <c r="LL219" s="13"/>
      <c r="LM219" s="11"/>
      <c r="LN219" s="12"/>
      <c r="LO219" s="12"/>
      <c r="LP219" s="11"/>
      <c r="LQ219" s="13"/>
      <c r="LR219" s="11"/>
      <c r="LS219" s="11"/>
      <c r="LT219" s="13"/>
      <c r="LU219" s="11"/>
      <c r="LV219" s="12"/>
      <c r="LW219" s="12"/>
    </row>
    <row r="220">
      <c r="A220" s="10" t="s">
        <v>181</v>
      </c>
      <c r="B220" s="10" t="s">
        <v>90</v>
      </c>
      <c r="C220" s="10" t="s">
        <v>77</v>
      </c>
      <c r="D220" s="11">
        <v>6976</v>
      </c>
      <c r="E220" s="11">
        <f>=ROUNDDOWN({0},0)</f>
      </c>
      <c r="F220" s="11">
        <v>936</v>
      </c>
      <c r="G220" s="12"/>
      <c r="H220" s="11"/>
      <c r="I220" s="11">
        <f>=ROUNDDOWN({0},0)</f>
      </c>
      <c r="J220" s="11"/>
      <c r="K220" s="12"/>
      <c r="L220" s="11">
        <v>2535</v>
      </c>
      <c r="M220" s="13">
        <v>33425.62</v>
      </c>
      <c r="N220" s="11">
        <v>3</v>
      </c>
      <c r="O220" s="14">
        <v>11141.87</v>
      </c>
      <c r="P220" s="11"/>
      <c r="Q220" s="13"/>
      <c r="R220" s="11"/>
      <c r="S220" s="14"/>
      <c r="T220" s="12"/>
      <c r="U220" s="12"/>
      <c r="V220" s="12"/>
      <c r="W220" s="12"/>
      <c r="X220" s="11">
        <v>2520</v>
      </c>
      <c r="Y220" s="13">
        <v>33221.71</v>
      </c>
      <c r="Z220" s="11">
        <v>3</v>
      </c>
      <c r="AA220" s="11"/>
      <c r="AB220" s="13"/>
      <c r="AC220" s="11"/>
      <c r="AD220" s="12"/>
      <c r="AE220" s="12"/>
      <c r="AF220" s="11"/>
      <c r="AG220" s="13"/>
      <c r="AH220" s="11"/>
      <c r="AI220" s="11"/>
      <c r="AJ220" s="13"/>
      <c r="AK220" s="11"/>
      <c r="AL220" s="12"/>
      <c r="AM220" s="12"/>
      <c r="AN220" s="11"/>
      <c r="AO220" s="13"/>
      <c r="AP220" s="11"/>
      <c r="AQ220" s="11"/>
      <c r="AR220" s="13"/>
      <c r="AS220" s="11"/>
      <c r="AT220" s="12"/>
      <c r="AU220" s="12"/>
      <c r="AV220" s="11"/>
      <c r="AW220" s="13"/>
      <c r="AX220" s="11"/>
      <c r="AY220" s="11"/>
      <c r="AZ220" s="13"/>
      <c r="BA220" s="11"/>
      <c r="BB220" s="12"/>
      <c r="BC220" s="12"/>
      <c r="BD220" s="11"/>
      <c r="BE220" s="13"/>
      <c r="BF220" s="11"/>
      <c r="BG220" s="11"/>
      <c r="BH220" s="13"/>
      <c r="BI220" s="11"/>
      <c r="BJ220" s="12"/>
      <c r="BK220" s="12"/>
      <c r="BL220" s="11">
        <v>14</v>
      </c>
      <c r="BM220" s="13">
        <v>192.92</v>
      </c>
      <c r="BN220" s="11"/>
      <c r="BO220" s="11"/>
      <c r="BP220" s="13"/>
      <c r="BQ220" s="11"/>
      <c r="BR220" s="12"/>
      <c r="BS220" s="12"/>
      <c r="BT220" s="11"/>
      <c r="BU220" s="13"/>
      <c r="BV220" s="11"/>
      <c r="BW220" s="11"/>
      <c r="BX220" s="13"/>
      <c r="BY220" s="11"/>
      <c r="BZ220" s="12"/>
      <c r="CA220" s="12"/>
      <c r="CB220" s="11"/>
      <c r="CC220" s="13"/>
      <c r="CD220" s="11"/>
      <c r="CE220" s="11"/>
      <c r="CF220" s="13"/>
      <c r="CG220" s="11"/>
      <c r="CH220" s="12"/>
      <c r="CI220" s="12"/>
      <c r="CJ220" s="11"/>
      <c r="CK220" s="13"/>
      <c r="CL220" s="11"/>
      <c r="CM220" s="11"/>
      <c r="CN220" s="13"/>
      <c r="CO220" s="11"/>
      <c r="CP220" s="12"/>
      <c r="CQ220" s="12"/>
      <c r="CR220" s="11"/>
      <c r="CS220" s="13"/>
      <c r="CT220" s="11"/>
      <c r="CU220" s="11"/>
      <c r="CV220" s="13"/>
      <c r="CW220" s="11"/>
      <c r="CX220" s="12"/>
      <c r="CY220" s="12"/>
      <c r="CZ220" s="11"/>
      <c r="DA220" s="13"/>
      <c r="DB220" s="11"/>
      <c r="DC220" s="11"/>
      <c r="DD220" s="13"/>
      <c r="DE220" s="11"/>
      <c r="DF220" s="12"/>
      <c r="DG220" s="12"/>
      <c r="DH220" s="11"/>
      <c r="DI220" s="13"/>
      <c r="DJ220" s="11"/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/>
      <c r="DY220" s="13"/>
      <c r="DZ220" s="11"/>
      <c r="EA220" s="11"/>
      <c r="EB220" s="13"/>
      <c r="EC220" s="11"/>
      <c r="ED220" s="12"/>
      <c r="EE220" s="12"/>
      <c r="EF220" s="11"/>
      <c r="EG220" s="13"/>
      <c r="EH220" s="11"/>
      <c r="EI220" s="11"/>
      <c r="EJ220" s="13"/>
      <c r="EK220" s="11"/>
      <c r="EL220" s="12"/>
      <c r="EM220" s="12"/>
      <c r="EN220" s="11">
        <v>1</v>
      </c>
      <c r="EO220" s="13">
        <v>10.99</v>
      </c>
      <c r="EP220" s="11"/>
      <c r="EQ220" s="11"/>
      <c r="ER220" s="13"/>
      <c r="ES220" s="11"/>
      <c r="ET220" s="12"/>
      <c r="EU220" s="12"/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/>
      <c r="GS220" s="13"/>
      <c r="GT220" s="11"/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/>
      <c r="HQ220" s="13"/>
      <c r="HR220" s="11"/>
      <c r="HS220" s="11"/>
      <c r="HT220" s="13"/>
      <c r="HU220" s="11"/>
      <c r="HV220" s="12"/>
      <c r="HW220" s="12"/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/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/>
      <c r="JW220" s="11"/>
      <c r="JX220" s="13"/>
      <c r="JY220" s="11"/>
      <c r="JZ220" s="12"/>
      <c r="KA220" s="12"/>
      <c r="KB220" s="11"/>
      <c r="KC220" s="13"/>
      <c r="KD220" s="11"/>
      <c r="KE220" s="11"/>
      <c r="KF220" s="13"/>
      <c r="KG220" s="11"/>
      <c r="KH220" s="12"/>
      <c r="KI220" s="12"/>
      <c r="KJ220" s="11"/>
      <c r="KK220" s="13"/>
      <c r="KL220" s="11"/>
      <c r="KM220" s="11"/>
      <c r="KN220" s="13"/>
      <c r="KO220" s="11"/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  <c r="LH220" s="11"/>
      <c r="LI220" s="13"/>
      <c r="LJ220" s="11"/>
      <c r="LK220" s="11"/>
      <c r="LL220" s="13"/>
      <c r="LM220" s="11"/>
      <c r="LN220" s="12"/>
      <c r="LO220" s="12"/>
      <c r="LP220" s="11"/>
      <c r="LQ220" s="13"/>
      <c r="LR220" s="11"/>
      <c r="LS220" s="11"/>
      <c r="LT220" s="13"/>
      <c r="LU220" s="11"/>
      <c r="LV220" s="12"/>
      <c r="LW220" s="12"/>
    </row>
    <row r="221">
      <c r="A221" s="10" t="s">
        <v>181</v>
      </c>
      <c r="B221" s="10" t="s">
        <v>170</v>
      </c>
      <c r="C221" s="10" t="s">
        <v>183</v>
      </c>
      <c r="D221" s="11">
        <v>1562</v>
      </c>
      <c r="E221" s="11">
        <f>=ROUNDDOWN(43.3888888888889,0)</f>
      </c>
      <c r="F221" s="11"/>
      <c r="G221" s="12">
        <v>0.8007</v>
      </c>
      <c r="H221" s="11"/>
      <c r="I221" s="11">
        <f>=ROUNDDOWN({0},0)</f>
      </c>
      <c r="J221" s="11"/>
      <c r="K221" s="12"/>
      <c r="L221" s="11">
        <v>388</v>
      </c>
      <c r="M221" s="13">
        <v>3755.73</v>
      </c>
      <c r="N221" s="11">
        <v>7</v>
      </c>
      <c r="O221" s="14">
        <v>536.53</v>
      </c>
      <c r="P221" s="11"/>
      <c r="Q221" s="13"/>
      <c r="R221" s="11"/>
      <c r="S221" s="14"/>
      <c r="T221" s="12"/>
      <c r="U221" s="12"/>
      <c r="V221" s="12"/>
      <c r="W221" s="12"/>
      <c r="X221" s="11"/>
      <c r="Y221" s="13"/>
      <c r="Z221" s="11"/>
      <c r="AA221" s="11"/>
      <c r="AB221" s="13"/>
      <c r="AC221" s="11"/>
      <c r="AD221" s="12"/>
      <c r="AE221" s="12"/>
      <c r="AF221" s="11">
        <v>43</v>
      </c>
      <c r="AG221" s="13">
        <v>284.38</v>
      </c>
      <c r="AH221" s="11">
        <v>7</v>
      </c>
      <c r="AI221" s="11"/>
      <c r="AJ221" s="13"/>
      <c r="AK221" s="11"/>
      <c r="AL221" s="12"/>
      <c r="AM221" s="12"/>
      <c r="AN221" s="11">
        <v>200</v>
      </c>
      <c r="AO221" s="13">
        <v>1929.8</v>
      </c>
      <c r="AP221" s="11">
        <v>7</v>
      </c>
      <c r="AQ221" s="11"/>
      <c r="AR221" s="13"/>
      <c r="AS221" s="11"/>
      <c r="AT221" s="12"/>
      <c r="AU221" s="12"/>
      <c r="AV221" s="11"/>
      <c r="AW221" s="13"/>
      <c r="AX221" s="11"/>
      <c r="AY221" s="11"/>
      <c r="AZ221" s="13"/>
      <c r="BA221" s="11"/>
      <c r="BB221" s="12"/>
      <c r="BC221" s="12"/>
      <c r="BD221" s="11"/>
      <c r="BE221" s="13"/>
      <c r="BF221" s="11"/>
      <c r="BG221" s="11"/>
      <c r="BH221" s="13"/>
      <c r="BI221" s="11"/>
      <c r="BJ221" s="12"/>
      <c r="BK221" s="12"/>
      <c r="BL221" s="11">
        <v>10</v>
      </c>
      <c r="BM221" s="13">
        <v>93.8</v>
      </c>
      <c r="BN221" s="11">
        <v>7</v>
      </c>
      <c r="BO221" s="11"/>
      <c r="BP221" s="13"/>
      <c r="BQ221" s="11"/>
      <c r="BR221" s="12"/>
      <c r="BS221" s="12"/>
      <c r="BT221" s="11">
        <v>103</v>
      </c>
      <c r="BU221" s="13">
        <v>862.54</v>
      </c>
      <c r="BV221" s="11">
        <v>7</v>
      </c>
      <c r="BW221" s="11"/>
      <c r="BX221" s="13"/>
      <c r="BY221" s="11"/>
      <c r="BZ221" s="12"/>
      <c r="CA221" s="12"/>
      <c r="CB221" s="11">
        <v>18</v>
      </c>
      <c r="CC221" s="13">
        <v>167.63</v>
      </c>
      <c r="CD221" s="11">
        <v>7</v>
      </c>
      <c r="CE221" s="11"/>
      <c r="CF221" s="13"/>
      <c r="CG221" s="11"/>
      <c r="CH221" s="12"/>
      <c r="CI221" s="12"/>
      <c r="CJ221" s="11">
        <v>8</v>
      </c>
      <c r="CK221" s="13">
        <v>310.92</v>
      </c>
      <c r="CL221" s="11">
        <v>7</v>
      </c>
      <c r="CM221" s="11"/>
      <c r="CN221" s="13"/>
      <c r="CO221" s="11"/>
      <c r="CP221" s="12"/>
      <c r="CQ221" s="12"/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/>
      <c r="DC221" s="11"/>
      <c r="DD221" s="13"/>
      <c r="DE221" s="11"/>
      <c r="DF221" s="12"/>
      <c r="DG221" s="12"/>
      <c r="DH221" s="11"/>
      <c r="DI221" s="13"/>
      <c r="DJ221" s="11"/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/>
      <c r="DY221" s="13"/>
      <c r="DZ221" s="11">
        <v>3</v>
      </c>
      <c r="EA221" s="11"/>
      <c r="EB221" s="13"/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/>
      <c r="EO221" s="13"/>
      <c r="EP221" s="11">
        <v>7</v>
      </c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>
        <v>3</v>
      </c>
      <c r="GS221" s="13">
        <v>21.69</v>
      </c>
      <c r="GT221" s="11">
        <v>7</v>
      </c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/>
      <c r="HQ221" s="13"/>
      <c r="HR221" s="11"/>
      <c r="HS221" s="11"/>
      <c r="HT221" s="13"/>
      <c r="HU221" s="11"/>
      <c r="HV221" s="12"/>
      <c r="HW221" s="12"/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>
        <v>3</v>
      </c>
      <c r="IO221" s="13">
        <v>84.97</v>
      </c>
      <c r="IP221" s="11">
        <v>7</v>
      </c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>
        <v>5</v>
      </c>
      <c r="JW221" s="11"/>
      <c r="JX221" s="13"/>
      <c r="JY221" s="11"/>
      <c r="JZ221" s="12"/>
      <c r="KA221" s="12"/>
      <c r="KB221" s="11"/>
      <c r="KC221" s="13"/>
      <c r="KD221" s="11"/>
      <c r="KE221" s="11"/>
      <c r="KF221" s="13"/>
      <c r="KG221" s="11"/>
      <c r="KH221" s="12"/>
      <c r="KI221" s="12"/>
      <c r="KJ221" s="11"/>
      <c r="KK221" s="13"/>
      <c r="KL221" s="11"/>
      <c r="KM221" s="11"/>
      <c r="KN221" s="13"/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  <c r="LH221" s="11"/>
      <c r="LI221" s="13"/>
      <c r="LJ221" s="11"/>
      <c r="LK221" s="11"/>
      <c r="LL221" s="13"/>
      <c r="LM221" s="11"/>
      <c r="LN221" s="12"/>
      <c r="LO221" s="12"/>
      <c r="LP221" s="11"/>
      <c r="LQ221" s="13"/>
      <c r="LR221" s="11"/>
      <c r="LS221" s="11"/>
      <c r="LT221" s="13"/>
      <c r="LU221" s="11"/>
      <c r="LV221" s="12"/>
      <c r="LW221" s="12"/>
    </row>
    <row r="222">
      <c r="A222" s="10" t="s">
        <v>181</v>
      </c>
      <c r="B222" s="10" t="s">
        <v>170</v>
      </c>
      <c r="C222" s="10" t="s">
        <v>182</v>
      </c>
      <c r="D222" s="11"/>
      <c r="E222" s="11">
        <f>=ROUNDDOWN({0},0)</f>
      </c>
      <c r="F222" s="11"/>
      <c r="G222" s="12"/>
      <c r="H222" s="11"/>
      <c r="I222" s="11">
        <f>=ROUNDDOWN({0},0)</f>
      </c>
      <c r="J222" s="11"/>
      <c r="K222" s="12"/>
      <c r="L222" s="11">
        <v>6</v>
      </c>
      <c r="M222" s="13">
        <v>147.93</v>
      </c>
      <c r="N222" s="11"/>
      <c r="O222" s="14"/>
      <c r="P222" s="11"/>
      <c r="Q222" s="13"/>
      <c r="R222" s="11"/>
      <c r="S222" s="14"/>
      <c r="T222" s="12"/>
      <c r="U222" s="12"/>
      <c r="V222" s="12"/>
      <c r="W222" s="12"/>
      <c r="X222" s="11"/>
      <c r="Y222" s="13"/>
      <c r="Z222" s="11"/>
      <c r="AA222" s="11"/>
      <c r="AB222" s="13"/>
      <c r="AC222" s="11"/>
      <c r="AD222" s="12"/>
      <c r="AE222" s="12"/>
      <c r="AF222" s="11"/>
      <c r="AG222" s="13"/>
      <c r="AH222" s="11"/>
      <c r="AI222" s="11"/>
      <c r="AJ222" s="13"/>
      <c r="AK222" s="11"/>
      <c r="AL222" s="12"/>
      <c r="AM222" s="12"/>
      <c r="AN222" s="11"/>
      <c r="AO222" s="13"/>
      <c r="AP222" s="11"/>
      <c r="AQ222" s="11"/>
      <c r="AR222" s="13"/>
      <c r="AS222" s="11"/>
      <c r="AT222" s="12"/>
      <c r="AU222" s="12"/>
      <c r="AV222" s="11"/>
      <c r="AW222" s="13"/>
      <c r="AX222" s="11"/>
      <c r="AY222" s="11"/>
      <c r="AZ222" s="13"/>
      <c r="BA222" s="11"/>
      <c r="BB222" s="12"/>
      <c r="BC222" s="12"/>
      <c r="BD222" s="11"/>
      <c r="BE222" s="13"/>
      <c r="BF222" s="11"/>
      <c r="BG222" s="11"/>
      <c r="BH222" s="13"/>
      <c r="BI222" s="11"/>
      <c r="BJ222" s="12"/>
      <c r="BK222" s="12"/>
      <c r="BL222" s="11">
        <v>1</v>
      </c>
      <c r="BM222" s="13">
        <v>22.52</v>
      </c>
      <c r="BN222" s="11"/>
      <c r="BO222" s="11"/>
      <c r="BP222" s="13"/>
      <c r="BQ222" s="11"/>
      <c r="BR222" s="12"/>
      <c r="BS222" s="12"/>
      <c r="BT222" s="11">
        <v>2</v>
      </c>
      <c r="BU222" s="13">
        <v>57.2</v>
      </c>
      <c r="BV222" s="11"/>
      <c r="BW222" s="11"/>
      <c r="BX222" s="13"/>
      <c r="BY222" s="11"/>
      <c r="BZ222" s="12"/>
      <c r="CA222" s="12"/>
      <c r="CB222" s="11">
        <v>2</v>
      </c>
      <c r="CC222" s="13">
        <v>45.04</v>
      </c>
      <c r="CD222" s="11"/>
      <c r="CE222" s="11"/>
      <c r="CF222" s="13"/>
      <c r="CG222" s="11"/>
      <c r="CH222" s="12"/>
      <c r="CI222" s="12"/>
      <c r="CJ222" s="11"/>
      <c r="CK222" s="13"/>
      <c r="CL222" s="11"/>
      <c r="CM222" s="11"/>
      <c r="CN222" s="13"/>
      <c r="CO222" s="11"/>
      <c r="CP222" s="12"/>
      <c r="CQ222" s="12"/>
      <c r="CR222" s="11"/>
      <c r="CS222" s="13"/>
      <c r="CT222" s="11"/>
      <c r="CU222" s="11"/>
      <c r="CV222" s="13"/>
      <c r="CW222" s="11"/>
      <c r="CX222" s="12"/>
      <c r="CY222" s="12"/>
      <c r="CZ222" s="11"/>
      <c r="DA222" s="13"/>
      <c r="DB222" s="11"/>
      <c r="DC222" s="11"/>
      <c r="DD222" s="13"/>
      <c r="DE222" s="11"/>
      <c r="DF222" s="12"/>
      <c r="DG222" s="12"/>
      <c r="DH222" s="11"/>
      <c r="DI222" s="13"/>
      <c r="DJ222" s="11"/>
      <c r="DK222" s="11"/>
      <c r="DL222" s="13"/>
      <c r="DM222" s="11"/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/>
      <c r="DY222" s="13"/>
      <c r="DZ222" s="11"/>
      <c r="EA222" s="11"/>
      <c r="EB222" s="13"/>
      <c r="EC222" s="11"/>
      <c r="ED222" s="12"/>
      <c r="EE222" s="12"/>
      <c r="EF222" s="11"/>
      <c r="EG222" s="13"/>
      <c r="EH222" s="11"/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/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/>
      <c r="GM222" s="11"/>
      <c r="GN222" s="13"/>
      <c r="GO222" s="11"/>
      <c r="GP222" s="12"/>
      <c r="GQ222" s="12"/>
      <c r="GR222" s="11">
        <v>1</v>
      </c>
      <c r="GS222" s="13">
        <v>23.17</v>
      </c>
      <c r="GT222" s="11"/>
      <c r="GU222" s="11"/>
      <c r="GV222" s="13"/>
      <c r="GW222" s="11"/>
      <c r="GX222" s="12"/>
      <c r="GY222" s="12"/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/>
      <c r="HK222" s="11"/>
      <c r="HL222" s="13"/>
      <c r="HM222" s="11"/>
      <c r="HN222" s="12"/>
      <c r="HO222" s="12"/>
      <c r="HP222" s="11"/>
      <c r="HQ222" s="13"/>
      <c r="HR222" s="11"/>
      <c r="HS222" s="11"/>
      <c r="HT222" s="13"/>
      <c r="HU222" s="11"/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/>
      <c r="JO222" s="11"/>
      <c r="JP222" s="13"/>
      <c r="JQ222" s="11"/>
      <c r="JR222" s="12"/>
      <c r="JS222" s="12"/>
      <c r="JT222" s="11"/>
      <c r="JU222" s="13"/>
      <c r="JV222" s="11"/>
      <c r="JW222" s="11"/>
      <c r="JX222" s="13"/>
      <c r="JY222" s="11"/>
      <c r="JZ222" s="12"/>
      <c r="KA222" s="12"/>
      <c r="KB222" s="11"/>
      <c r="KC222" s="13"/>
      <c r="KD222" s="11"/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  <c r="LH222" s="11"/>
      <c r="LI222" s="13"/>
      <c r="LJ222" s="11"/>
      <c r="LK222" s="11"/>
      <c r="LL222" s="13"/>
      <c r="LM222" s="11"/>
      <c r="LN222" s="12"/>
      <c r="LO222" s="12"/>
      <c r="LP222" s="11"/>
      <c r="LQ222" s="13"/>
      <c r="LR222" s="11"/>
      <c r="LS222" s="11"/>
      <c r="LT222" s="13"/>
      <c r="LU222" s="11"/>
      <c r="LV222" s="12"/>
      <c r="LW222" s="12"/>
    </row>
    <row r="223">
      <c r="A223" s="10" t="s">
        <v>181</v>
      </c>
      <c r="B223" s="10" t="s">
        <v>171</v>
      </c>
      <c r="C223" s="10" t="s">
        <v>77</v>
      </c>
      <c r="D223" s="11">
        <v>1562</v>
      </c>
      <c r="E223" s="11">
        <f>=ROUNDDOWN({0},0)</f>
      </c>
      <c r="F223" s="11"/>
      <c r="G223" s="12"/>
      <c r="H223" s="11"/>
      <c r="I223" s="11">
        <f>=ROUNDDOWN({0},0)</f>
      </c>
      <c r="J223" s="11"/>
      <c r="K223" s="12"/>
      <c r="L223" s="11">
        <v>394</v>
      </c>
      <c r="M223" s="13">
        <v>3903.66</v>
      </c>
      <c r="N223" s="11">
        <v>7</v>
      </c>
      <c r="O223" s="14">
        <v>557.67</v>
      </c>
      <c r="P223" s="11"/>
      <c r="Q223" s="13"/>
      <c r="R223" s="11"/>
      <c r="S223" s="14"/>
      <c r="T223" s="12"/>
      <c r="U223" s="12"/>
      <c r="V223" s="12"/>
      <c r="W223" s="12"/>
      <c r="X223" s="11"/>
      <c r="Y223" s="13"/>
      <c r="Z223" s="11"/>
      <c r="AA223" s="11"/>
      <c r="AB223" s="13"/>
      <c r="AC223" s="11"/>
      <c r="AD223" s="12"/>
      <c r="AE223" s="12"/>
      <c r="AF223" s="11">
        <v>43</v>
      </c>
      <c r="AG223" s="13">
        <v>284.38</v>
      </c>
      <c r="AH223" s="11">
        <v>7</v>
      </c>
      <c r="AI223" s="11"/>
      <c r="AJ223" s="13"/>
      <c r="AK223" s="11"/>
      <c r="AL223" s="12"/>
      <c r="AM223" s="12"/>
      <c r="AN223" s="11">
        <v>200</v>
      </c>
      <c r="AO223" s="13">
        <v>1929.8</v>
      </c>
      <c r="AP223" s="11">
        <v>7</v>
      </c>
      <c r="AQ223" s="11"/>
      <c r="AR223" s="13"/>
      <c r="AS223" s="11"/>
      <c r="AT223" s="12"/>
      <c r="AU223" s="12"/>
      <c r="AV223" s="11"/>
      <c r="AW223" s="13"/>
      <c r="AX223" s="11"/>
      <c r="AY223" s="11"/>
      <c r="AZ223" s="13"/>
      <c r="BA223" s="11"/>
      <c r="BB223" s="12"/>
      <c r="BC223" s="12"/>
      <c r="BD223" s="11"/>
      <c r="BE223" s="13"/>
      <c r="BF223" s="11"/>
      <c r="BG223" s="11"/>
      <c r="BH223" s="13"/>
      <c r="BI223" s="11"/>
      <c r="BJ223" s="12"/>
      <c r="BK223" s="12"/>
      <c r="BL223" s="11">
        <v>11</v>
      </c>
      <c r="BM223" s="13">
        <v>116.32</v>
      </c>
      <c r="BN223" s="11">
        <v>7</v>
      </c>
      <c r="BO223" s="11"/>
      <c r="BP223" s="13"/>
      <c r="BQ223" s="11"/>
      <c r="BR223" s="12"/>
      <c r="BS223" s="12"/>
      <c r="BT223" s="11">
        <v>105</v>
      </c>
      <c r="BU223" s="13">
        <v>919.74</v>
      </c>
      <c r="BV223" s="11">
        <v>7</v>
      </c>
      <c r="BW223" s="11"/>
      <c r="BX223" s="13"/>
      <c r="BY223" s="11"/>
      <c r="BZ223" s="12"/>
      <c r="CA223" s="12"/>
      <c r="CB223" s="11">
        <v>20</v>
      </c>
      <c r="CC223" s="13">
        <v>212.67</v>
      </c>
      <c r="CD223" s="11">
        <v>7</v>
      </c>
      <c r="CE223" s="11"/>
      <c r="CF223" s="13"/>
      <c r="CG223" s="11"/>
      <c r="CH223" s="12"/>
      <c r="CI223" s="12"/>
      <c r="CJ223" s="11">
        <v>8</v>
      </c>
      <c r="CK223" s="13">
        <v>310.92</v>
      </c>
      <c r="CL223" s="11">
        <v>7</v>
      </c>
      <c r="CM223" s="11"/>
      <c r="CN223" s="13"/>
      <c r="CO223" s="11"/>
      <c r="CP223" s="12"/>
      <c r="CQ223" s="12"/>
      <c r="CR223" s="11"/>
      <c r="CS223" s="13"/>
      <c r="CT223" s="11"/>
      <c r="CU223" s="11"/>
      <c r="CV223" s="13"/>
      <c r="CW223" s="11"/>
      <c r="CX223" s="12"/>
      <c r="CY223" s="12"/>
      <c r="CZ223" s="11"/>
      <c r="DA223" s="13"/>
      <c r="DB223" s="11"/>
      <c r="DC223" s="11"/>
      <c r="DD223" s="13"/>
      <c r="DE223" s="11"/>
      <c r="DF223" s="12"/>
      <c r="DG223" s="12"/>
      <c r="DH223" s="11"/>
      <c r="DI223" s="13"/>
      <c r="DJ223" s="11"/>
      <c r="DK223" s="11"/>
      <c r="DL223" s="13"/>
      <c r="DM223" s="11"/>
      <c r="DN223" s="12"/>
      <c r="DO223" s="12"/>
      <c r="DP223" s="11"/>
      <c r="DQ223" s="13"/>
      <c r="DR223" s="11"/>
      <c r="DS223" s="11"/>
      <c r="DT223" s="13"/>
      <c r="DU223" s="11"/>
      <c r="DV223" s="12"/>
      <c r="DW223" s="12"/>
      <c r="DX223" s="11"/>
      <c r="DY223" s="13"/>
      <c r="DZ223" s="11">
        <v>3</v>
      </c>
      <c r="EA223" s="11"/>
      <c r="EB223" s="13"/>
      <c r="EC223" s="11"/>
      <c r="ED223" s="12"/>
      <c r="EE223" s="12"/>
      <c r="EF223" s="11"/>
      <c r="EG223" s="13"/>
      <c r="EH223" s="11"/>
      <c r="EI223" s="11"/>
      <c r="EJ223" s="13"/>
      <c r="EK223" s="11"/>
      <c r="EL223" s="12"/>
      <c r="EM223" s="12"/>
      <c r="EN223" s="11"/>
      <c r="EO223" s="13"/>
      <c r="EP223" s="11">
        <v>7</v>
      </c>
      <c r="EQ223" s="11"/>
      <c r="ER223" s="13"/>
      <c r="ES223" s="11"/>
      <c r="ET223" s="12"/>
      <c r="EU223" s="12"/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/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/>
      <c r="GC223" s="13"/>
      <c r="GD223" s="11"/>
      <c r="GE223" s="11"/>
      <c r="GF223" s="13"/>
      <c r="GG223" s="11"/>
      <c r="GH223" s="12"/>
      <c r="GI223" s="12"/>
      <c r="GJ223" s="11"/>
      <c r="GK223" s="13"/>
      <c r="GL223" s="11"/>
      <c r="GM223" s="11"/>
      <c r="GN223" s="13"/>
      <c r="GO223" s="11"/>
      <c r="GP223" s="12"/>
      <c r="GQ223" s="12"/>
      <c r="GR223" s="11">
        <v>4</v>
      </c>
      <c r="GS223" s="13">
        <v>44.86</v>
      </c>
      <c r="GT223" s="11">
        <v>7</v>
      </c>
      <c r="GU223" s="11"/>
      <c r="GV223" s="13"/>
      <c r="GW223" s="11"/>
      <c r="GX223" s="12"/>
      <c r="GY223" s="12"/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/>
      <c r="HK223" s="11"/>
      <c r="HL223" s="13"/>
      <c r="HM223" s="11"/>
      <c r="HN223" s="12"/>
      <c r="HO223" s="12"/>
      <c r="HP223" s="11"/>
      <c r="HQ223" s="13"/>
      <c r="HR223" s="11"/>
      <c r="HS223" s="11"/>
      <c r="HT223" s="13"/>
      <c r="HU223" s="11"/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>
        <v>3</v>
      </c>
      <c r="IO223" s="13">
        <v>84.97</v>
      </c>
      <c r="IP223" s="11">
        <v>7</v>
      </c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/>
      <c r="JO223" s="11"/>
      <c r="JP223" s="13"/>
      <c r="JQ223" s="11"/>
      <c r="JR223" s="12"/>
      <c r="JS223" s="12"/>
      <c r="JT223" s="11"/>
      <c r="JU223" s="13"/>
      <c r="JV223" s="11">
        <v>5</v>
      </c>
      <c r="JW223" s="11"/>
      <c r="JX223" s="13"/>
      <c r="JY223" s="11"/>
      <c r="JZ223" s="12"/>
      <c r="KA223" s="12"/>
      <c r="KB223" s="11"/>
      <c r="KC223" s="13"/>
      <c r="KD223" s="11"/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  <c r="LH223" s="11"/>
      <c r="LI223" s="13"/>
      <c r="LJ223" s="11"/>
      <c r="LK223" s="11"/>
      <c r="LL223" s="13"/>
      <c r="LM223" s="11"/>
      <c r="LN223" s="12"/>
      <c r="LO223" s="12"/>
      <c r="LP223" s="11"/>
      <c r="LQ223" s="13"/>
      <c r="LR223" s="11"/>
      <c r="LS223" s="11"/>
      <c r="LT223" s="13"/>
      <c r="LU223" s="11"/>
      <c r="LV223" s="12"/>
      <c r="LW223" s="12"/>
    </row>
    <row r="224">
      <c r="A224" s="10" t="s">
        <v>181</v>
      </c>
      <c r="B224" s="10" t="s">
        <v>91</v>
      </c>
      <c r="C224" s="10" t="s">
        <v>114</v>
      </c>
      <c r="D224" s="11">
        <v>838</v>
      </c>
      <c r="E224" s="11">
        <f>=ROUNDDOWN(139.666666666667,0)</f>
      </c>
      <c r="F224" s="11"/>
      <c r="G224" s="12"/>
      <c r="H224" s="11"/>
      <c r="I224" s="11">
        <f>=ROUNDDOWN({0},0)</f>
      </c>
      <c r="J224" s="11"/>
      <c r="K224" s="12"/>
      <c r="L224" s="11">
        <v>29</v>
      </c>
      <c r="M224" s="13">
        <v>885.49</v>
      </c>
      <c r="N224" s="11">
        <v>2</v>
      </c>
      <c r="O224" s="14">
        <v>442.74</v>
      </c>
      <c r="P224" s="11"/>
      <c r="Q224" s="13"/>
      <c r="R224" s="11"/>
      <c r="S224" s="14"/>
      <c r="T224" s="12"/>
      <c r="U224" s="12"/>
      <c r="V224" s="12"/>
      <c r="W224" s="12"/>
      <c r="X224" s="11"/>
      <c r="Y224" s="13"/>
      <c r="Z224" s="11"/>
      <c r="AA224" s="11"/>
      <c r="AB224" s="13"/>
      <c r="AC224" s="11"/>
      <c r="AD224" s="12"/>
      <c r="AE224" s="12"/>
      <c r="AF224" s="11"/>
      <c r="AG224" s="13"/>
      <c r="AH224" s="11">
        <v>2</v>
      </c>
      <c r="AI224" s="11"/>
      <c r="AJ224" s="13"/>
      <c r="AK224" s="11"/>
      <c r="AL224" s="12"/>
      <c r="AM224" s="12"/>
      <c r="AN224" s="11">
        <v>18</v>
      </c>
      <c r="AO224" s="13">
        <v>555.84</v>
      </c>
      <c r="AP224" s="11">
        <v>2</v>
      </c>
      <c r="AQ224" s="11"/>
      <c r="AR224" s="13"/>
      <c r="AS224" s="11"/>
      <c r="AT224" s="12"/>
      <c r="AU224" s="12"/>
      <c r="AV224" s="11"/>
      <c r="AW224" s="13"/>
      <c r="AX224" s="11"/>
      <c r="AY224" s="11"/>
      <c r="AZ224" s="13"/>
      <c r="BA224" s="11"/>
      <c r="BB224" s="12"/>
      <c r="BC224" s="12"/>
      <c r="BD224" s="11"/>
      <c r="BE224" s="13"/>
      <c r="BF224" s="11"/>
      <c r="BG224" s="11"/>
      <c r="BH224" s="13"/>
      <c r="BI224" s="11"/>
      <c r="BJ224" s="12"/>
      <c r="BK224" s="12"/>
      <c r="BL224" s="11">
        <v>4</v>
      </c>
      <c r="BM224" s="13">
        <v>120.08</v>
      </c>
      <c r="BN224" s="11">
        <v>2</v>
      </c>
      <c r="BO224" s="11"/>
      <c r="BP224" s="13"/>
      <c r="BQ224" s="11"/>
      <c r="BR224" s="12"/>
      <c r="BS224" s="12"/>
      <c r="BT224" s="11">
        <v>3</v>
      </c>
      <c r="BU224" s="13">
        <v>89.49</v>
      </c>
      <c r="BV224" s="11">
        <v>2</v>
      </c>
      <c r="BW224" s="11"/>
      <c r="BX224" s="13"/>
      <c r="BY224" s="11"/>
      <c r="BZ224" s="12"/>
      <c r="CA224" s="12"/>
      <c r="CB224" s="11">
        <v>4</v>
      </c>
      <c r="CC224" s="13">
        <v>120.08</v>
      </c>
      <c r="CD224" s="11">
        <v>2</v>
      </c>
      <c r="CE224" s="11"/>
      <c r="CF224" s="13"/>
      <c r="CG224" s="11"/>
      <c r="CH224" s="12"/>
      <c r="CI224" s="12"/>
      <c r="CJ224" s="11"/>
      <c r="CK224" s="13"/>
      <c r="CL224" s="11">
        <v>2</v>
      </c>
      <c r="CM224" s="11"/>
      <c r="CN224" s="13"/>
      <c r="CO224" s="11"/>
      <c r="CP224" s="12"/>
      <c r="CQ224" s="12"/>
      <c r="CR224" s="11"/>
      <c r="CS224" s="13"/>
      <c r="CT224" s="11"/>
      <c r="CU224" s="11"/>
      <c r="CV224" s="13"/>
      <c r="CW224" s="11"/>
      <c r="CX224" s="12"/>
      <c r="CY224" s="12"/>
      <c r="CZ224" s="11"/>
      <c r="DA224" s="13"/>
      <c r="DB224" s="11"/>
      <c r="DC224" s="11"/>
      <c r="DD224" s="13"/>
      <c r="DE224" s="11"/>
      <c r="DF224" s="12"/>
      <c r="DG224" s="12"/>
      <c r="DH224" s="11"/>
      <c r="DI224" s="13"/>
      <c r="DJ224" s="11"/>
      <c r="DK224" s="11"/>
      <c r="DL224" s="13"/>
      <c r="DM224" s="11"/>
      <c r="DN224" s="12"/>
      <c r="DO224" s="12"/>
      <c r="DP224" s="11"/>
      <c r="DQ224" s="13"/>
      <c r="DR224" s="11"/>
      <c r="DS224" s="11"/>
      <c r="DT224" s="13"/>
      <c r="DU224" s="11"/>
      <c r="DV224" s="12"/>
      <c r="DW224" s="12"/>
      <c r="DX224" s="11"/>
      <c r="DY224" s="13"/>
      <c r="DZ224" s="11"/>
      <c r="EA224" s="11"/>
      <c r="EB224" s="13"/>
      <c r="EC224" s="11"/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>
        <v>2</v>
      </c>
      <c r="EQ224" s="11"/>
      <c r="ER224" s="13"/>
      <c r="ES224" s="11"/>
      <c r="ET224" s="12"/>
      <c r="EU224" s="12"/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/>
      <c r="GE224" s="11"/>
      <c r="GF224" s="13"/>
      <c r="GG224" s="11"/>
      <c r="GH224" s="12"/>
      <c r="GI224" s="12"/>
      <c r="GJ224" s="11"/>
      <c r="GK224" s="13"/>
      <c r="GL224" s="11"/>
      <c r="GM224" s="11"/>
      <c r="GN224" s="13"/>
      <c r="GO224" s="11"/>
      <c r="GP224" s="12"/>
      <c r="GQ224" s="12"/>
      <c r="GR224" s="11"/>
      <c r="GS224" s="13"/>
      <c r="GT224" s="11">
        <v>2</v>
      </c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/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>
        <v>2</v>
      </c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/>
      <c r="JO224" s="11"/>
      <c r="JP224" s="13"/>
      <c r="JQ224" s="11"/>
      <c r="JR224" s="12"/>
      <c r="JS224" s="12"/>
      <c r="JT224" s="11"/>
      <c r="JU224" s="13"/>
      <c r="JV224" s="11"/>
      <c r="JW224" s="11"/>
      <c r="JX224" s="13"/>
      <c r="JY224" s="11"/>
      <c r="JZ224" s="12"/>
      <c r="KA224" s="12"/>
      <c r="KB224" s="11"/>
      <c r="KC224" s="13"/>
      <c r="KD224" s="11"/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  <c r="LH224" s="11"/>
      <c r="LI224" s="13"/>
      <c r="LJ224" s="11"/>
      <c r="LK224" s="11"/>
      <c r="LL224" s="13"/>
      <c r="LM224" s="11"/>
      <c r="LN224" s="12"/>
      <c r="LO224" s="12"/>
      <c r="LP224" s="11"/>
      <c r="LQ224" s="13"/>
      <c r="LR224" s="11"/>
      <c r="LS224" s="11"/>
      <c r="LT224" s="13"/>
      <c r="LU224" s="11"/>
      <c r="LV224" s="12"/>
      <c r="LW224" s="12"/>
    </row>
    <row r="225">
      <c r="A225" s="10" t="s">
        <v>181</v>
      </c>
      <c r="B225" s="10" t="s">
        <v>94</v>
      </c>
      <c r="C225" s="10" t="s">
        <v>77</v>
      </c>
      <c r="D225" s="11">
        <v>838</v>
      </c>
      <c r="E225" s="11">
        <f>=ROUNDDOWN({0},0)</f>
      </c>
      <c r="F225" s="11"/>
      <c r="G225" s="12"/>
      <c r="H225" s="11"/>
      <c r="I225" s="11">
        <f>=ROUNDDOWN({0},0)</f>
      </c>
      <c r="J225" s="11"/>
      <c r="K225" s="12"/>
      <c r="L225" s="11">
        <v>29</v>
      </c>
      <c r="M225" s="13">
        <v>885.49</v>
      </c>
      <c r="N225" s="11">
        <v>2</v>
      </c>
      <c r="O225" s="14">
        <v>442.74</v>
      </c>
      <c r="P225" s="11"/>
      <c r="Q225" s="13"/>
      <c r="R225" s="11"/>
      <c r="S225" s="14"/>
      <c r="T225" s="12"/>
      <c r="U225" s="12"/>
      <c r="V225" s="12"/>
      <c r="W225" s="12"/>
      <c r="X225" s="11"/>
      <c r="Y225" s="13"/>
      <c r="Z225" s="11"/>
      <c r="AA225" s="11"/>
      <c r="AB225" s="13"/>
      <c r="AC225" s="11"/>
      <c r="AD225" s="12"/>
      <c r="AE225" s="12"/>
      <c r="AF225" s="11"/>
      <c r="AG225" s="13"/>
      <c r="AH225" s="11">
        <v>2</v>
      </c>
      <c r="AI225" s="11"/>
      <c r="AJ225" s="13"/>
      <c r="AK225" s="11"/>
      <c r="AL225" s="12"/>
      <c r="AM225" s="12"/>
      <c r="AN225" s="11">
        <v>18</v>
      </c>
      <c r="AO225" s="13">
        <v>555.84</v>
      </c>
      <c r="AP225" s="11">
        <v>2</v>
      </c>
      <c r="AQ225" s="11"/>
      <c r="AR225" s="13"/>
      <c r="AS225" s="11"/>
      <c r="AT225" s="12"/>
      <c r="AU225" s="12"/>
      <c r="AV225" s="11"/>
      <c r="AW225" s="13"/>
      <c r="AX225" s="11"/>
      <c r="AY225" s="11"/>
      <c r="AZ225" s="13"/>
      <c r="BA225" s="11"/>
      <c r="BB225" s="12"/>
      <c r="BC225" s="12"/>
      <c r="BD225" s="11"/>
      <c r="BE225" s="13"/>
      <c r="BF225" s="11"/>
      <c r="BG225" s="11"/>
      <c r="BH225" s="13"/>
      <c r="BI225" s="11"/>
      <c r="BJ225" s="12"/>
      <c r="BK225" s="12"/>
      <c r="BL225" s="11">
        <v>4</v>
      </c>
      <c r="BM225" s="13">
        <v>120.08</v>
      </c>
      <c r="BN225" s="11">
        <v>2</v>
      </c>
      <c r="BO225" s="11"/>
      <c r="BP225" s="13"/>
      <c r="BQ225" s="11"/>
      <c r="BR225" s="12"/>
      <c r="BS225" s="12"/>
      <c r="BT225" s="11">
        <v>3</v>
      </c>
      <c r="BU225" s="13">
        <v>89.49</v>
      </c>
      <c r="BV225" s="11">
        <v>2</v>
      </c>
      <c r="BW225" s="11"/>
      <c r="BX225" s="13"/>
      <c r="BY225" s="11"/>
      <c r="BZ225" s="12"/>
      <c r="CA225" s="12"/>
      <c r="CB225" s="11">
        <v>4</v>
      </c>
      <c r="CC225" s="13">
        <v>120.08</v>
      </c>
      <c r="CD225" s="11">
        <v>2</v>
      </c>
      <c r="CE225" s="11"/>
      <c r="CF225" s="13"/>
      <c r="CG225" s="11"/>
      <c r="CH225" s="12"/>
      <c r="CI225" s="12"/>
      <c r="CJ225" s="11"/>
      <c r="CK225" s="13"/>
      <c r="CL225" s="11">
        <v>2</v>
      </c>
      <c r="CM225" s="11"/>
      <c r="CN225" s="13"/>
      <c r="CO225" s="11"/>
      <c r="CP225" s="12"/>
      <c r="CQ225" s="12"/>
      <c r="CR225" s="11"/>
      <c r="CS225" s="13"/>
      <c r="CT225" s="11"/>
      <c r="CU225" s="11"/>
      <c r="CV225" s="13"/>
      <c r="CW225" s="11"/>
      <c r="CX225" s="12"/>
      <c r="CY225" s="12"/>
      <c r="CZ225" s="11"/>
      <c r="DA225" s="13"/>
      <c r="DB225" s="11"/>
      <c r="DC225" s="11"/>
      <c r="DD225" s="13"/>
      <c r="DE225" s="11"/>
      <c r="DF225" s="12"/>
      <c r="DG225" s="12"/>
      <c r="DH225" s="11"/>
      <c r="DI225" s="13"/>
      <c r="DJ225" s="11"/>
      <c r="DK225" s="11"/>
      <c r="DL225" s="13"/>
      <c r="DM225" s="11"/>
      <c r="DN225" s="12"/>
      <c r="DO225" s="12"/>
      <c r="DP225" s="11"/>
      <c r="DQ225" s="13"/>
      <c r="DR225" s="11"/>
      <c r="DS225" s="11"/>
      <c r="DT225" s="13"/>
      <c r="DU225" s="11"/>
      <c r="DV225" s="12"/>
      <c r="DW225" s="12"/>
      <c r="DX225" s="11"/>
      <c r="DY225" s="13"/>
      <c r="DZ225" s="11"/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>
        <v>2</v>
      </c>
      <c r="EQ225" s="11"/>
      <c r="ER225" s="13"/>
      <c r="ES225" s="11"/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/>
      <c r="GM225" s="11"/>
      <c r="GN225" s="13"/>
      <c r="GO225" s="11"/>
      <c r="GP225" s="12"/>
      <c r="GQ225" s="12"/>
      <c r="GR225" s="11"/>
      <c r="GS225" s="13"/>
      <c r="GT225" s="11">
        <v>2</v>
      </c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>
        <v>2</v>
      </c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/>
      <c r="JO225" s="11"/>
      <c r="JP225" s="13"/>
      <c r="JQ225" s="11"/>
      <c r="JR225" s="12"/>
      <c r="JS225" s="12"/>
      <c r="JT225" s="11"/>
      <c r="JU225" s="13"/>
      <c r="JV225" s="11"/>
      <c r="JW225" s="11"/>
      <c r="JX225" s="13"/>
      <c r="JY225" s="11"/>
      <c r="JZ225" s="12"/>
      <c r="KA225" s="12"/>
      <c r="KB225" s="11"/>
      <c r="KC225" s="13"/>
      <c r="KD225" s="11"/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  <c r="LH225" s="11"/>
      <c r="LI225" s="13"/>
      <c r="LJ225" s="11"/>
      <c r="LK225" s="11"/>
      <c r="LL225" s="13"/>
      <c r="LM225" s="11"/>
      <c r="LN225" s="12"/>
      <c r="LO225" s="12"/>
      <c r="LP225" s="11"/>
      <c r="LQ225" s="13"/>
      <c r="LR225" s="11"/>
      <c r="LS225" s="11"/>
      <c r="LT225" s="13"/>
      <c r="LU225" s="11"/>
      <c r="LV225" s="12"/>
      <c r="LW225" s="12"/>
    </row>
    <row r="226">
      <c r="A226" s="10" t="s">
        <v>181</v>
      </c>
      <c r="B226" s="10" t="s">
        <v>97</v>
      </c>
      <c r="C226" s="10" t="s">
        <v>114</v>
      </c>
      <c r="D226" s="11">
        <v>345</v>
      </c>
      <c r="E226" s="11">
        <f>=ROUNDDOWN(86.25,0)</f>
      </c>
      <c r="F226" s="11"/>
      <c r="G226" s="12"/>
      <c r="H226" s="11"/>
      <c r="I226" s="11">
        <f>=ROUNDDOWN({0},0)</f>
      </c>
      <c r="J226" s="11"/>
      <c r="K226" s="12"/>
      <c r="L226" s="11">
        <v>83</v>
      </c>
      <c r="M226" s="13">
        <v>2560.44</v>
      </c>
      <c r="N226" s="11">
        <v>2</v>
      </c>
      <c r="O226" s="14">
        <v>1280.22</v>
      </c>
      <c r="P226" s="11"/>
      <c r="Q226" s="13"/>
      <c r="R226" s="11"/>
      <c r="S226" s="14"/>
      <c r="T226" s="12"/>
      <c r="U226" s="12"/>
      <c r="V226" s="12"/>
      <c r="W226" s="12"/>
      <c r="X226" s="11"/>
      <c r="Y226" s="13"/>
      <c r="Z226" s="11"/>
      <c r="AA226" s="11"/>
      <c r="AB226" s="13"/>
      <c r="AC226" s="11"/>
      <c r="AD226" s="12"/>
      <c r="AE226" s="12"/>
      <c r="AF226" s="11">
        <v>9</v>
      </c>
      <c r="AG226" s="13">
        <v>154.35</v>
      </c>
      <c r="AH226" s="11">
        <v>2</v>
      </c>
      <c r="AI226" s="11"/>
      <c r="AJ226" s="13"/>
      <c r="AK226" s="11"/>
      <c r="AL226" s="12"/>
      <c r="AM226" s="12"/>
      <c r="AN226" s="11">
        <v>39</v>
      </c>
      <c r="AO226" s="13">
        <v>1204.32</v>
      </c>
      <c r="AP226" s="11">
        <v>2</v>
      </c>
      <c r="AQ226" s="11"/>
      <c r="AR226" s="13"/>
      <c r="AS226" s="11"/>
      <c r="AT226" s="12"/>
      <c r="AU226" s="12"/>
      <c r="AV226" s="11"/>
      <c r="AW226" s="13"/>
      <c r="AX226" s="11"/>
      <c r="AY226" s="11"/>
      <c r="AZ226" s="13"/>
      <c r="BA226" s="11"/>
      <c r="BB226" s="12"/>
      <c r="BC226" s="12"/>
      <c r="BD226" s="11"/>
      <c r="BE226" s="13"/>
      <c r="BF226" s="11"/>
      <c r="BG226" s="11"/>
      <c r="BH226" s="13"/>
      <c r="BI226" s="11"/>
      <c r="BJ226" s="12"/>
      <c r="BK226" s="12"/>
      <c r="BL226" s="11">
        <v>11</v>
      </c>
      <c r="BM226" s="13">
        <v>330.22</v>
      </c>
      <c r="BN226" s="11">
        <v>2</v>
      </c>
      <c r="BO226" s="11"/>
      <c r="BP226" s="13"/>
      <c r="BQ226" s="11"/>
      <c r="BR226" s="12"/>
      <c r="BS226" s="12"/>
      <c r="BT226" s="11">
        <v>16</v>
      </c>
      <c r="BU226" s="13">
        <v>479.76</v>
      </c>
      <c r="BV226" s="11">
        <v>2</v>
      </c>
      <c r="BW226" s="11"/>
      <c r="BX226" s="13"/>
      <c r="BY226" s="11"/>
      <c r="BZ226" s="12"/>
      <c r="CA226" s="12"/>
      <c r="CB226" s="11">
        <v>3</v>
      </c>
      <c r="CC226" s="13">
        <v>90.06</v>
      </c>
      <c r="CD226" s="11">
        <v>2</v>
      </c>
      <c r="CE226" s="11"/>
      <c r="CF226" s="13"/>
      <c r="CG226" s="11"/>
      <c r="CH226" s="12"/>
      <c r="CI226" s="12"/>
      <c r="CJ226" s="11"/>
      <c r="CK226" s="13"/>
      <c r="CL226" s="11">
        <v>2</v>
      </c>
      <c r="CM226" s="11"/>
      <c r="CN226" s="13"/>
      <c r="CO226" s="11"/>
      <c r="CP226" s="12"/>
      <c r="CQ226" s="12"/>
      <c r="CR226" s="11"/>
      <c r="CS226" s="13"/>
      <c r="CT226" s="11"/>
      <c r="CU226" s="11"/>
      <c r="CV226" s="13"/>
      <c r="CW226" s="11"/>
      <c r="CX226" s="12"/>
      <c r="CY226" s="12"/>
      <c r="CZ226" s="11"/>
      <c r="DA226" s="13"/>
      <c r="DB226" s="11"/>
      <c r="DC226" s="11"/>
      <c r="DD226" s="13"/>
      <c r="DE226" s="11"/>
      <c r="DF226" s="12"/>
      <c r="DG226" s="12"/>
      <c r="DH226" s="11"/>
      <c r="DI226" s="13"/>
      <c r="DJ226" s="11"/>
      <c r="DK226" s="11"/>
      <c r="DL226" s="13"/>
      <c r="DM226" s="11"/>
      <c r="DN226" s="12"/>
      <c r="DO226" s="12"/>
      <c r="DP226" s="11"/>
      <c r="DQ226" s="13"/>
      <c r="DR226" s="11"/>
      <c r="DS226" s="11"/>
      <c r="DT226" s="13"/>
      <c r="DU226" s="11"/>
      <c r="DV226" s="12"/>
      <c r="DW226" s="12"/>
      <c r="DX226" s="11"/>
      <c r="DY226" s="13"/>
      <c r="DZ226" s="11"/>
      <c r="EA226" s="11"/>
      <c r="EB226" s="13"/>
      <c r="EC226" s="11"/>
      <c r="ED226" s="12"/>
      <c r="EE226" s="12"/>
      <c r="EF226" s="11"/>
      <c r="EG226" s="13"/>
      <c r="EH226" s="11"/>
      <c r="EI226" s="11"/>
      <c r="EJ226" s="13"/>
      <c r="EK226" s="11"/>
      <c r="EL226" s="12"/>
      <c r="EM226" s="12"/>
      <c r="EN226" s="11"/>
      <c r="EO226" s="13"/>
      <c r="EP226" s="11">
        <v>2</v>
      </c>
      <c r="EQ226" s="11"/>
      <c r="ER226" s="13"/>
      <c r="ES226" s="11"/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/>
      <c r="GM226" s="11"/>
      <c r="GN226" s="13"/>
      <c r="GO226" s="11"/>
      <c r="GP226" s="12"/>
      <c r="GQ226" s="12"/>
      <c r="GR226" s="11">
        <v>2</v>
      </c>
      <c r="GS226" s="13">
        <v>61.76</v>
      </c>
      <c r="GT226" s="11">
        <v>2</v>
      </c>
      <c r="GU226" s="11"/>
      <c r="GV226" s="13"/>
      <c r="GW226" s="11"/>
      <c r="GX226" s="12"/>
      <c r="GY226" s="12"/>
      <c r="GZ226" s="11"/>
      <c r="HA226" s="13"/>
      <c r="HB226" s="11"/>
      <c r="HC226" s="11"/>
      <c r="HD226" s="13"/>
      <c r="HE226" s="11"/>
      <c r="HF226" s="12"/>
      <c r="HG226" s="12"/>
      <c r="HH226" s="11"/>
      <c r="HI226" s="13"/>
      <c r="HJ226" s="11"/>
      <c r="HK226" s="11"/>
      <c r="HL226" s="13"/>
      <c r="HM226" s="11"/>
      <c r="HN226" s="12"/>
      <c r="HO226" s="12"/>
      <c r="HP226" s="11"/>
      <c r="HQ226" s="13"/>
      <c r="HR226" s="11"/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>
        <v>3</v>
      </c>
      <c r="IO226" s="13">
        <v>239.97</v>
      </c>
      <c r="IP226" s="11">
        <v>2</v>
      </c>
      <c r="IQ226" s="11"/>
      <c r="IR226" s="13"/>
      <c r="IS226" s="11"/>
      <c r="IT226" s="12"/>
      <c r="IU226" s="12"/>
      <c r="IV226" s="11"/>
      <c r="IW226" s="13"/>
      <c r="IX226" s="11"/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/>
      <c r="JO226" s="11"/>
      <c r="JP226" s="13"/>
      <c r="JQ226" s="11"/>
      <c r="JR226" s="12"/>
      <c r="JS226" s="12"/>
      <c r="JT226" s="11"/>
      <c r="JU226" s="13"/>
      <c r="JV226" s="11"/>
      <c r="JW226" s="11"/>
      <c r="JX226" s="13"/>
      <c r="JY226" s="11"/>
      <c r="JZ226" s="12"/>
      <c r="KA226" s="12"/>
      <c r="KB226" s="11"/>
      <c r="KC226" s="13"/>
      <c r="KD226" s="11"/>
      <c r="KE226" s="11"/>
      <c r="KF226" s="13"/>
      <c r="KG226" s="11"/>
      <c r="KH226" s="12"/>
      <c r="KI226" s="12"/>
      <c r="KJ226" s="11"/>
      <c r="KK226" s="13"/>
      <c r="KL226" s="11"/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  <c r="LH226" s="11"/>
      <c r="LI226" s="13"/>
      <c r="LJ226" s="11"/>
      <c r="LK226" s="11"/>
      <c r="LL226" s="13"/>
      <c r="LM226" s="11"/>
      <c r="LN226" s="12"/>
      <c r="LO226" s="12"/>
      <c r="LP226" s="11"/>
      <c r="LQ226" s="13"/>
      <c r="LR226" s="11"/>
      <c r="LS226" s="11"/>
      <c r="LT226" s="13"/>
      <c r="LU226" s="11"/>
      <c r="LV226" s="12"/>
      <c r="LW226" s="12"/>
    </row>
    <row r="227">
      <c r="A227" s="10" t="s">
        <v>181</v>
      </c>
      <c r="B227" s="10" t="s">
        <v>98</v>
      </c>
      <c r="C227" s="10" t="s">
        <v>77</v>
      </c>
      <c r="D227" s="11">
        <v>345</v>
      </c>
      <c r="E227" s="11">
        <f>=ROUNDDOWN({0},0)</f>
      </c>
      <c r="F227" s="11"/>
      <c r="G227" s="12"/>
      <c r="H227" s="11"/>
      <c r="I227" s="11">
        <f>=ROUNDDOWN({0},0)</f>
      </c>
      <c r="J227" s="11"/>
      <c r="K227" s="12"/>
      <c r="L227" s="11">
        <v>83</v>
      </c>
      <c r="M227" s="13">
        <v>2560.44</v>
      </c>
      <c r="N227" s="11">
        <v>2</v>
      </c>
      <c r="O227" s="14">
        <v>1280.22</v>
      </c>
      <c r="P227" s="11"/>
      <c r="Q227" s="13"/>
      <c r="R227" s="11"/>
      <c r="S227" s="14"/>
      <c r="T227" s="12"/>
      <c r="U227" s="12"/>
      <c r="V227" s="12"/>
      <c r="W227" s="12"/>
      <c r="X227" s="11"/>
      <c r="Y227" s="13"/>
      <c r="Z227" s="11"/>
      <c r="AA227" s="11"/>
      <c r="AB227" s="13"/>
      <c r="AC227" s="11"/>
      <c r="AD227" s="12"/>
      <c r="AE227" s="12"/>
      <c r="AF227" s="11">
        <v>9</v>
      </c>
      <c r="AG227" s="13">
        <v>154.35</v>
      </c>
      <c r="AH227" s="11">
        <v>2</v>
      </c>
      <c r="AI227" s="11"/>
      <c r="AJ227" s="13"/>
      <c r="AK227" s="11"/>
      <c r="AL227" s="12"/>
      <c r="AM227" s="12"/>
      <c r="AN227" s="11">
        <v>39</v>
      </c>
      <c r="AO227" s="13">
        <v>1204.32</v>
      </c>
      <c r="AP227" s="11">
        <v>2</v>
      </c>
      <c r="AQ227" s="11"/>
      <c r="AR227" s="13"/>
      <c r="AS227" s="11"/>
      <c r="AT227" s="12"/>
      <c r="AU227" s="12"/>
      <c r="AV227" s="11"/>
      <c r="AW227" s="13"/>
      <c r="AX227" s="11"/>
      <c r="AY227" s="11"/>
      <c r="AZ227" s="13"/>
      <c r="BA227" s="11"/>
      <c r="BB227" s="12"/>
      <c r="BC227" s="12"/>
      <c r="BD227" s="11"/>
      <c r="BE227" s="13"/>
      <c r="BF227" s="11"/>
      <c r="BG227" s="11"/>
      <c r="BH227" s="13"/>
      <c r="BI227" s="11"/>
      <c r="BJ227" s="12"/>
      <c r="BK227" s="12"/>
      <c r="BL227" s="11">
        <v>11</v>
      </c>
      <c r="BM227" s="13">
        <v>330.22</v>
      </c>
      <c r="BN227" s="11">
        <v>2</v>
      </c>
      <c r="BO227" s="11"/>
      <c r="BP227" s="13"/>
      <c r="BQ227" s="11"/>
      <c r="BR227" s="12"/>
      <c r="BS227" s="12"/>
      <c r="BT227" s="11">
        <v>16</v>
      </c>
      <c r="BU227" s="13">
        <v>479.76</v>
      </c>
      <c r="BV227" s="11">
        <v>2</v>
      </c>
      <c r="BW227" s="11"/>
      <c r="BX227" s="13"/>
      <c r="BY227" s="11"/>
      <c r="BZ227" s="12"/>
      <c r="CA227" s="12"/>
      <c r="CB227" s="11">
        <v>3</v>
      </c>
      <c r="CC227" s="13">
        <v>90.06</v>
      </c>
      <c r="CD227" s="11">
        <v>2</v>
      </c>
      <c r="CE227" s="11"/>
      <c r="CF227" s="13"/>
      <c r="CG227" s="11"/>
      <c r="CH227" s="12"/>
      <c r="CI227" s="12"/>
      <c r="CJ227" s="11"/>
      <c r="CK227" s="13"/>
      <c r="CL227" s="11">
        <v>2</v>
      </c>
      <c r="CM227" s="11"/>
      <c r="CN227" s="13"/>
      <c r="CO227" s="11"/>
      <c r="CP227" s="12"/>
      <c r="CQ227" s="12"/>
      <c r="CR227" s="11"/>
      <c r="CS227" s="13"/>
      <c r="CT227" s="11"/>
      <c r="CU227" s="11"/>
      <c r="CV227" s="13"/>
      <c r="CW227" s="11"/>
      <c r="CX227" s="12"/>
      <c r="CY227" s="12"/>
      <c r="CZ227" s="11"/>
      <c r="DA227" s="13"/>
      <c r="DB227" s="11"/>
      <c r="DC227" s="11"/>
      <c r="DD227" s="13"/>
      <c r="DE227" s="11"/>
      <c r="DF227" s="12"/>
      <c r="DG227" s="12"/>
      <c r="DH227" s="11"/>
      <c r="DI227" s="13"/>
      <c r="DJ227" s="11"/>
      <c r="DK227" s="11"/>
      <c r="DL227" s="13"/>
      <c r="DM227" s="11"/>
      <c r="DN227" s="12"/>
      <c r="DO227" s="12"/>
      <c r="DP227" s="11"/>
      <c r="DQ227" s="13"/>
      <c r="DR227" s="11"/>
      <c r="DS227" s="11"/>
      <c r="DT227" s="13"/>
      <c r="DU227" s="11"/>
      <c r="DV227" s="12"/>
      <c r="DW227" s="12"/>
      <c r="DX227" s="11"/>
      <c r="DY227" s="13"/>
      <c r="DZ227" s="11"/>
      <c r="EA227" s="11"/>
      <c r="EB227" s="13"/>
      <c r="EC227" s="11"/>
      <c r="ED227" s="12"/>
      <c r="EE227" s="12"/>
      <c r="EF227" s="11"/>
      <c r="EG227" s="13"/>
      <c r="EH227" s="11"/>
      <c r="EI227" s="11"/>
      <c r="EJ227" s="13"/>
      <c r="EK227" s="11"/>
      <c r="EL227" s="12"/>
      <c r="EM227" s="12"/>
      <c r="EN227" s="11"/>
      <c r="EO227" s="13"/>
      <c r="EP227" s="11">
        <v>2</v>
      </c>
      <c r="EQ227" s="11"/>
      <c r="ER227" s="13"/>
      <c r="ES227" s="11"/>
      <c r="ET227" s="12"/>
      <c r="EU227" s="12"/>
      <c r="EV227" s="11"/>
      <c r="EW227" s="13"/>
      <c r="EX227" s="11"/>
      <c r="EY227" s="11"/>
      <c r="EZ227" s="13"/>
      <c r="FA227" s="11"/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/>
      <c r="GM227" s="11"/>
      <c r="GN227" s="13"/>
      <c r="GO227" s="11"/>
      <c r="GP227" s="12"/>
      <c r="GQ227" s="12"/>
      <c r="GR227" s="11">
        <v>2</v>
      </c>
      <c r="GS227" s="13">
        <v>61.76</v>
      </c>
      <c r="GT227" s="11">
        <v>2</v>
      </c>
      <c r="GU227" s="11"/>
      <c r="GV227" s="13"/>
      <c r="GW227" s="11"/>
      <c r="GX227" s="12"/>
      <c r="GY227" s="12"/>
      <c r="GZ227" s="11"/>
      <c r="HA227" s="13"/>
      <c r="HB227" s="11"/>
      <c r="HC227" s="11"/>
      <c r="HD227" s="13"/>
      <c r="HE227" s="11"/>
      <c r="HF227" s="12"/>
      <c r="HG227" s="12"/>
      <c r="HH227" s="11"/>
      <c r="HI227" s="13"/>
      <c r="HJ227" s="11"/>
      <c r="HK227" s="11"/>
      <c r="HL227" s="13"/>
      <c r="HM227" s="11"/>
      <c r="HN227" s="12"/>
      <c r="HO227" s="12"/>
      <c r="HP227" s="11"/>
      <c r="HQ227" s="13"/>
      <c r="HR227" s="11"/>
      <c r="HS227" s="11"/>
      <c r="HT227" s="13"/>
      <c r="HU227" s="11"/>
      <c r="HV227" s="12"/>
      <c r="HW227" s="12"/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>
        <v>3</v>
      </c>
      <c r="IO227" s="13">
        <v>239.97</v>
      </c>
      <c r="IP227" s="11">
        <v>2</v>
      </c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/>
      <c r="JP227" s="13"/>
      <c r="JQ227" s="11"/>
      <c r="JR227" s="12"/>
      <c r="JS227" s="12"/>
      <c r="JT227" s="11"/>
      <c r="JU227" s="13"/>
      <c r="JV227" s="11"/>
      <c r="JW227" s="11"/>
      <c r="JX227" s="13"/>
      <c r="JY227" s="11"/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/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  <c r="LH227" s="11"/>
      <c r="LI227" s="13"/>
      <c r="LJ227" s="11"/>
      <c r="LK227" s="11"/>
      <c r="LL227" s="13"/>
      <c r="LM227" s="11"/>
      <c r="LN227" s="12"/>
      <c r="LO227" s="12"/>
      <c r="LP227" s="11"/>
      <c r="LQ227" s="13"/>
      <c r="LR227" s="11"/>
      <c r="LS227" s="11"/>
      <c r="LT227" s="13"/>
      <c r="LU227" s="11"/>
      <c r="LV227" s="12"/>
      <c r="LW227" s="12"/>
    </row>
    <row r="228">
      <c r="A228" s="10" t="s">
        <v>181</v>
      </c>
      <c r="B228" s="10" t="s">
        <v>184</v>
      </c>
      <c r="C228" s="10" t="s">
        <v>114</v>
      </c>
      <c r="D228" s="11"/>
      <c r="E228" s="11">
        <f>=ROUNDDOWN({0},0)</f>
      </c>
      <c r="F228" s="11"/>
      <c r="G228" s="12"/>
      <c r="H228" s="11"/>
      <c r="I228" s="11">
        <f>=ROUNDDOWN({0},0)</f>
      </c>
      <c r="J228" s="11"/>
      <c r="K228" s="12"/>
      <c r="L228" s="11">
        <v>84</v>
      </c>
      <c r="M228" s="13">
        <v>1409.73</v>
      </c>
      <c r="N228" s="11"/>
      <c r="O228" s="14"/>
      <c r="P228" s="11"/>
      <c r="Q228" s="13"/>
      <c r="R228" s="11"/>
      <c r="S228" s="14"/>
      <c r="T228" s="12"/>
      <c r="U228" s="12"/>
      <c r="V228" s="12"/>
      <c r="W228" s="12"/>
      <c r="X228" s="11"/>
      <c r="Y228" s="13"/>
      <c r="Z228" s="11"/>
      <c r="AA228" s="11"/>
      <c r="AB228" s="13"/>
      <c r="AC228" s="11"/>
      <c r="AD228" s="12"/>
      <c r="AE228" s="12"/>
      <c r="AF228" s="11">
        <v>21</v>
      </c>
      <c r="AG228" s="13">
        <v>342.09</v>
      </c>
      <c r="AH228" s="11"/>
      <c r="AI228" s="11"/>
      <c r="AJ228" s="13"/>
      <c r="AK228" s="11"/>
      <c r="AL228" s="12"/>
      <c r="AM228" s="12"/>
      <c r="AN228" s="11">
        <v>27</v>
      </c>
      <c r="AO228" s="13">
        <v>448.47</v>
      </c>
      <c r="AP228" s="11"/>
      <c r="AQ228" s="11"/>
      <c r="AR228" s="13"/>
      <c r="AS228" s="11"/>
      <c r="AT228" s="12"/>
      <c r="AU228" s="12"/>
      <c r="AV228" s="11">
        <v>9</v>
      </c>
      <c r="AW228" s="13">
        <v>150.93</v>
      </c>
      <c r="AX228" s="11"/>
      <c r="AY228" s="11"/>
      <c r="AZ228" s="13"/>
      <c r="BA228" s="11"/>
      <c r="BB228" s="12"/>
      <c r="BC228" s="12"/>
      <c r="BD228" s="11">
        <v>12</v>
      </c>
      <c r="BE228" s="13">
        <v>213.72</v>
      </c>
      <c r="BF228" s="11"/>
      <c r="BG228" s="11"/>
      <c r="BH228" s="13"/>
      <c r="BI228" s="11"/>
      <c r="BJ228" s="12"/>
      <c r="BK228" s="12"/>
      <c r="BL228" s="11">
        <v>1</v>
      </c>
      <c r="BM228" s="13">
        <v>16.76</v>
      </c>
      <c r="BN228" s="11"/>
      <c r="BO228" s="11"/>
      <c r="BP228" s="13"/>
      <c r="BQ228" s="11"/>
      <c r="BR228" s="12"/>
      <c r="BS228" s="12"/>
      <c r="BT228" s="11">
        <v>2</v>
      </c>
      <c r="BU228" s="13">
        <v>32.56</v>
      </c>
      <c r="BV228" s="11"/>
      <c r="BW228" s="11"/>
      <c r="BX228" s="13"/>
      <c r="BY228" s="11"/>
      <c r="BZ228" s="12"/>
      <c r="CA228" s="12"/>
      <c r="CB228" s="11">
        <v>12</v>
      </c>
      <c r="CC228" s="13">
        <v>205.2</v>
      </c>
      <c r="CD228" s="11"/>
      <c r="CE228" s="11"/>
      <c r="CF228" s="13"/>
      <c r="CG228" s="11"/>
      <c r="CH228" s="12"/>
      <c r="CI228" s="12"/>
      <c r="CJ228" s="11"/>
      <c r="CK228" s="13"/>
      <c r="CL228" s="11"/>
      <c r="CM228" s="11"/>
      <c r="CN228" s="13"/>
      <c r="CO228" s="11"/>
      <c r="CP228" s="12"/>
      <c r="CQ228" s="12"/>
      <c r="CR228" s="11"/>
      <c r="CS228" s="13"/>
      <c r="CT228" s="11"/>
      <c r="CU228" s="11"/>
      <c r="CV228" s="13"/>
      <c r="CW228" s="11"/>
      <c r="CX228" s="12"/>
      <c r="CY228" s="12"/>
      <c r="CZ228" s="11"/>
      <c r="DA228" s="13"/>
      <c r="DB228" s="11"/>
      <c r="DC228" s="11"/>
      <c r="DD228" s="13"/>
      <c r="DE228" s="11"/>
      <c r="DF228" s="12"/>
      <c r="DG228" s="12"/>
      <c r="DH228" s="11"/>
      <c r="DI228" s="13"/>
      <c r="DJ228" s="11"/>
      <c r="DK228" s="11"/>
      <c r="DL228" s="13"/>
      <c r="DM228" s="11"/>
      <c r="DN228" s="12"/>
      <c r="DO228" s="12"/>
      <c r="DP228" s="11"/>
      <c r="DQ228" s="13"/>
      <c r="DR228" s="11"/>
      <c r="DS228" s="11"/>
      <c r="DT228" s="13"/>
      <c r="DU228" s="11"/>
      <c r="DV228" s="12"/>
      <c r="DW228" s="12"/>
      <c r="DX228" s="11"/>
      <c r="DY228" s="13"/>
      <c r="DZ228" s="11"/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/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/>
      <c r="EW228" s="13"/>
      <c r="EX228" s="11"/>
      <c r="EY228" s="11"/>
      <c r="EZ228" s="13"/>
      <c r="FA228" s="11"/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/>
      <c r="GM228" s="11"/>
      <c r="GN228" s="13"/>
      <c r="GO228" s="11"/>
      <c r="GP228" s="12"/>
      <c r="GQ228" s="12"/>
      <c r="GR228" s="11"/>
      <c r="GS228" s="13"/>
      <c r="GT228" s="11"/>
      <c r="GU228" s="11"/>
      <c r="GV228" s="13"/>
      <c r="GW228" s="11"/>
      <c r="GX228" s="12"/>
      <c r="GY228" s="12"/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/>
      <c r="HK228" s="11"/>
      <c r="HL228" s="13"/>
      <c r="HM228" s="11"/>
      <c r="HN228" s="12"/>
      <c r="HO228" s="12"/>
      <c r="HP228" s="11"/>
      <c r="HQ228" s="13"/>
      <c r="HR228" s="11"/>
      <c r="HS228" s="11"/>
      <c r="HT228" s="13"/>
      <c r="HU228" s="11"/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/>
      <c r="JP228" s="13"/>
      <c r="JQ228" s="11"/>
      <c r="JR228" s="12"/>
      <c r="JS228" s="12"/>
      <c r="JT228" s="11"/>
      <c r="JU228" s="13"/>
      <c r="JV228" s="11"/>
      <c r="JW228" s="11"/>
      <c r="JX228" s="13"/>
      <c r="JY228" s="11"/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/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  <c r="LH228" s="11"/>
      <c r="LI228" s="13"/>
      <c r="LJ228" s="11"/>
      <c r="LK228" s="11"/>
      <c r="LL228" s="13"/>
      <c r="LM228" s="11"/>
      <c r="LN228" s="12"/>
      <c r="LO228" s="12"/>
      <c r="LP228" s="11"/>
      <c r="LQ228" s="13"/>
      <c r="LR228" s="11"/>
      <c r="LS228" s="11"/>
      <c r="LT228" s="13"/>
      <c r="LU228" s="11"/>
      <c r="LV228" s="12"/>
      <c r="LW228" s="12"/>
    </row>
    <row r="229">
      <c r="A229" s="10" t="s">
        <v>181</v>
      </c>
      <c r="B229" s="10" t="s">
        <v>185</v>
      </c>
      <c r="C229" s="10" t="s">
        <v>77</v>
      </c>
      <c r="D229" s="11"/>
      <c r="E229" s="11">
        <f>=ROUNDDOWN({0},0)</f>
      </c>
      <c r="F229" s="11"/>
      <c r="G229" s="12"/>
      <c r="H229" s="11"/>
      <c r="I229" s="11">
        <f>=ROUNDDOWN({0},0)</f>
      </c>
      <c r="J229" s="11"/>
      <c r="K229" s="12"/>
      <c r="L229" s="11">
        <v>84</v>
      </c>
      <c r="M229" s="13">
        <v>1409.73</v>
      </c>
      <c r="N229" s="11"/>
      <c r="O229" s="14"/>
      <c r="P229" s="11"/>
      <c r="Q229" s="13"/>
      <c r="R229" s="11"/>
      <c r="S229" s="14"/>
      <c r="T229" s="12"/>
      <c r="U229" s="12"/>
      <c r="V229" s="12"/>
      <c r="W229" s="12"/>
      <c r="X229" s="11"/>
      <c r="Y229" s="13"/>
      <c r="Z229" s="11"/>
      <c r="AA229" s="11"/>
      <c r="AB229" s="13"/>
      <c r="AC229" s="11"/>
      <c r="AD229" s="12"/>
      <c r="AE229" s="12"/>
      <c r="AF229" s="11">
        <v>21</v>
      </c>
      <c r="AG229" s="13">
        <v>342.09</v>
      </c>
      <c r="AH229" s="11"/>
      <c r="AI229" s="11"/>
      <c r="AJ229" s="13"/>
      <c r="AK229" s="11"/>
      <c r="AL229" s="12"/>
      <c r="AM229" s="12"/>
      <c r="AN229" s="11">
        <v>27</v>
      </c>
      <c r="AO229" s="13">
        <v>448.47</v>
      </c>
      <c r="AP229" s="11"/>
      <c r="AQ229" s="11"/>
      <c r="AR229" s="13"/>
      <c r="AS229" s="11"/>
      <c r="AT229" s="12"/>
      <c r="AU229" s="12"/>
      <c r="AV229" s="11">
        <v>9</v>
      </c>
      <c r="AW229" s="13">
        <v>150.93</v>
      </c>
      <c r="AX229" s="11"/>
      <c r="AY229" s="11"/>
      <c r="AZ229" s="13"/>
      <c r="BA229" s="11"/>
      <c r="BB229" s="12"/>
      <c r="BC229" s="12"/>
      <c r="BD229" s="11">
        <v>12</v>
      </c>
      <c r="BE229" s="13">
        <v>213.72</v>
      </c>
      <c r="BF229" s="11"/>
      <c r="BG229" s="11"/>
      <c r="BH229" s="13"/>
      <c r="BI229" s="11"/>
      <c r="BJ229" s="12"/>
      <c r="BK229" s="12"/>
      <c r="BL229" s="11">
        <v>1</v>
      </c>
      <c r="BM229" s="13">
        <v>16.76</v>
      </c>
      <c r="BN229" s="11"/>
      <c r="BO229" s="11"/>
      <c r="BP229" s="13"/>
      <c r="BQ229" s="11"/>
      <c r="BR229" s="12"/>
      <c r="BS229" s="12"/>
      <c r="BT229" s="11">
        <v>2</v>
      </c>
      <c r="BU229" s="13">
        <v>32.56</v>
      </c>
      <c r="BV229" s="11"/>
      <c r="BW229" s="11"/>
      <c r="BX229" s="13"/>
      <c r="BY229" s="11"/>
      <c r="BZ229" s="12"/>
      <c r="CA229" s="12"/>
      <c r="CB229" s="11">
        <v>12</v>
      </c>
      <c r="CC229" s="13">
        <v>205.2</v>
      </c>
      <c r="CD229" s="11"/>
      <c r="CE229" s="11"/>
      <c r="CF229" s="13"/>
      <c r="CG229" s="11"/>
      <c r="CH229" s="12"/>
      <c r="CI229" s="12"/>
      <c r="CJ229" s="11"/>
      <c r="CK229" s="13"/>
      <c r="CL229" s="11"/>
      <c r="CM229" s="11"/>
      <c r="CN229" s="13"/>
      <c r="CO229" s="11"/>
      <c r="CP229" s="12"/>
      <c r="CQ229" s="12"/>
      <c r="CR229" s="11"/>
      <c r="CS229" s="13"/>
      <c r="CT229" s="11"/>
      <c r="CU229" s="11"/>
      <c r="CV229" s="13"/>
      <c r="CW229" s="11"/>
      <c r="CX229" s="12"/>
      <c r="CY229" s="12"/>
      <c r="CZ229" s="11"/>
      <c r="DA229" s="13"/>
      <c r="DB229" s="11"/>
      <c r="DC229" s="11"/>
      <c r="DD229" s="13"/>
      <c r="DE229" s="11"/>
      <c r="DF229" s="12"/>
      <c r="DG229" s="12"/>
      <c r="DH229" s="11"/>
      <c r="DI229" s="13"/>
      <c r="DJ229" s="11"/>
      <c r="DK229" s="11"/>
      <c r="DL229" s="13"/>
      <c r="DM229" s="11"/>
      <c r="DN229" s="12"/>
      <c r="DO229" s="12"/>
      <c r="DP229" s="11"/>
      <c r="DQ229" s="13"/>
      <c r="DR229" s="11"/>
      <c r="DS229" s="11"/>
      <c r="DT229" s="13"/>
      <c r="DU229" s="11"/>
      <c r="DV229" s="12"/>
      <c r="DW229" s="12"/>
      <c r="DX229" s="11"/>
      <c r="DY229" s="13"/>
      <c r="DZ229" s="11"/>
      <c r="EA229" s="11"/>
      <c r="EB229" s="13"/>
      <c r="EC229" s="11"/>
      <c r="ED229" s="12"/>
      <c r="EE229" s="12"/>
      <c r="EF229" s="11"/>
      <c r="EG229" s="13"/>
      <c r="EH229" s="11"/>
      <c r="EI229" s="11"/>
      <c r="EJ229" s="13"/>
      <c r="EK229" s="11"/>
      <c r="EL229" s="12"/>
      <c r="EM229" s="12"/>
      <c r="EN229" s="11"/>
      <c r="EO229" s="13"/>
      <c r="EP229" s="11"/>
      <c r="EQ229" s="11"/>
      <c r="ER229" s="13"/>
      <c r="ES229" s="11"/>
      <c r="ET229" s="12"/>
      <c r="EU229" s="12"/>
      <c r="EV229" s="11"/>
      <c r="EW229" s="13"/>
      <c r="EX229" s="11"/>
      <c r="EY229" s="11"/>
      <c r="EZ229" s="13"/>
      <c r="FA229" s="11"/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/>
      <c r="FU229" s="13"/>
      <c r="FV229" s="11"/>
      <c r="FW229" s="11"/>
      <c r="FX229" s="13"/>
      <c r="FY229" s="11"/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/>
      <c r="GM229" s="11"/>
      <c r="GN229" s="13"/>
      <c r="GO229" s="11"/>
      <c r="GP229" s="12"/>
      <c r="GQ229" s="12"/>
      <c r="GR229" s="11"/>
      <c r="GS229" s="13"/>
      <c r="GT229" s="11"/>
      <c r="GU229" s="11"/>
      <c r="GV229" s="13"/>
      <c r="GW229" s="11"/>
      <c r="GX229" s="12"/>
      <c r="GY229" s="12"/>
      <c r="GZ229" s="11"/>
      <c r="HA229" s="13"/>
      <c r="HB229" s="11"/>
      <c r="HC229" s="11"/>
      <c r="HD229" s="13"/>
      <c r="HE229" s="11"/>
      <c r="HF229" s="12"/>
      <c r="HG229" s="12"/>
      <c r="HH229" s="11"/>
      <c r="HI229" s="13"/>
      <c r="HJ229" s="11"/>
      <c r="HK229" s="11"/>
      <c r="HL229" s="13"/>
      <c r="HM229" s="11"/>
      <c r="HN229" s="12"/>
      <c r="HO229" s="12"/>
      <c r="HP229" s="11"/>
      <c r="HQ229" s="13"/>
      <c r="HR229" s="11"/>
      <c r="HS229" s="11"/>
      <c r="HT229" s="13"/>
      <c r="HU229" s="11"/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/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/>
      <c r="IW229" s="13"/>
      <c r="IX229" s="11"/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/>
      <c r="JP229" s="13"/>
      <c r="JQ229" s="11"/>
      <c r="JR229" s="12"/>
      <c r="JS229" s="12"/>
      <c r="JT229" s="11"/>
      <c r="JU229" s="13"/>
      <c r="JV229" s="11"/>
      <c r="JW229" s="11"/>
      <c r="JX229" s="13"/>
      <c r="JY229" s="11"/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/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  <c r="LH229" s="11"/>
      <c r="LI229" s="13"/>
      <c r="LJ229" s="11"/>
      <c r="LK229" s="11"/>
      <c r="LL229" s="13"/>
      <c r="LM229" s="11"/>
      <c r="LN229" s="12"/>
      <c r="LO229" s="12"/>
      <c r="LP229" s="11"/>
      <c r="LQ229" s="13"/>
      <c r="LR229" s="11"/>
      <c r="LS229" s="11"/>
      <c r="LT229" s="13"/>
      <c r="LU229" s="11"/>
      <c r="LV229" s="12"/>
      <c r="LW229" s="12"/>
    </row>
    <row r="230">
      <c r="A230" s="10" t="s">
        <v>181</v>
      </c>
      <c r="B230" s="10" t="s">
        <v>107</v>
      </c>
      <c r="C230" s="10" t="s">
        <v>182</v>
      </c>
      <c r="D230" s="11">
        <v>9243</v>
      </c>
      <c r="E230" s="11">
        <f>=ROUNDDOWN(20.4491150442478,0)</f>
      </c>
      <c r="F230" s="11">
        <v>7284</v>
      </c>
      <c r="G230" s="12">
        <v>0.9565</v>
      </c>
      <c r="H230" s="11"/>
      <c r="I230" s="11">
        <f>=ROUNDDOWN({0},0)</f>
      </c>
      <c r="J230" s="11"/>
      <c r="K230" s="12"/>
      <c r="L230" s="11">
        <v>5553</v>
      </c>
      <c r="M230" s="13">
        <v>102552.63</v>
      </c>
      <c r="N230" s="11">
        <v>6</v>
      </c>
      <c r="O230" s="14">
        <v>17092.1</v>
      </c>
      <c r="P230" s="11"/>
      <c r="Q230" s="13"/>
      <c r="R230" s="11"/>
      <c r="S230" s="14"/>
      <c r="T230" s="12"/>
      <c r="U230" s="12"/>
      <c r="V230" s="12"/>
      <c r="W230" s="12"/>
      <c r="X230" s="11">
        <v>1731</v>
      </c>
      <c r="Y230" s="13">
        <v>33666.28</v>
      </c>
      <c r="Z230" s="11">
        <v>6</v>
      </c>
      <c r="AA230" s="11"/>
      <c r="AB230" s="13"/>
      <c r="AC230" s="11"/>
      <c r="AD230" s="12"/>
      <c r="AE230" s="12"/>
      <c r="AF230" s="11">
        <v>1411</v>
      </c>
      <c r="AG230" s="13">
        <v>22309.02</v>
      </c>
      <c r="AH230" s="11">
        <v>6</v>
      </c>
      <c r="AI230" s="11"/>
      <c r="AJ230" s="13"/>
      <c r="AK230" s="11"/>
      <c r="AL230" s="12"/>
      <c r="AM230" s="12"/>
      <c r="AN230" s="11">
        <v>682</v>
      </c>
      <c r="AO230" s="13">
        <v>12634.2</v>
      </c>
      <c r="AP230" s="11">
        <v>6</v>
      </c>
      <c r="AQ230" s="11"/>
      <c r="AR230" s="13"/>
      <c r="AS230" s="11"/>
      <c r="AT230" s="12"/>
      <c r="AU230" s="12"/>
      <c r="AV230" s="11">
        <v>185</v>
      </c>
      <c r="AW230" s="13">
        <v>3842.96</v>
      </c>
      <c r="AX230" s="11">
        <v>4</v>
      </c>
      <c r="AY230" s="11"/>
      <c r="AZ230" s="13"/>
      <c r="BA230" s="11"/>
      <c r="BB230" s="12"/>
      <c r="BC230" s="12"/>
      <c r="BD230" s="11">
        <v>358</v>
      </c>
      <c r="BE230" s="13">
        <v>6944.55</v>
      </c>
      <c r="BF230" s="11">
        <v>6</v>
      </c>
      <c r="BG230" s="11"/>
      <c r="BH230" s="13"/>
      <c r="BI230" s="11"/>
      <c r="BJ230" s="12"/>
      <c r="BK230" s="12"/>
      <c r="BL230" s="11">
        <v>550</v>
      </c>
      <c r="BM230" s="13">
        <v>10926.7</v>
      </c>
      <c r="BN230" s="11">
        <v>6</v>
      </c>
      <c r="BO230" s="11"/>
      <c r="BP230" s="13"/>
      <c r="BQ230" s="11"/>
      <c r="BR230" s="12"/>
      <c r="BS230" s="12"/>
      <c r="BT230" s="11">
        <v>102</v>
      </c>
      <c r="BU230" s="13">
        <v>1716.44</v>
      </c>
      <c r="BV230" s="11">
        <v>6</v>
      </c>
      <c r="BW230" s="11"/>
      <c r="BX230" s="13"/>
      <c r="BY230" s="11"/>
      <c r="BZ230" s="12"/>
      <c r="CA230" s="12"/>
      <c r="CB230" s="11">
        <v>33</v>
      </c>
      <c r="CC230" s="13">
        <v>498.3</v>
      </c>
      <c r="CD230" s="11">
        <v>2</v>
      </c>
      <c r="CE230" s="11"/>
      <c r="CF230" s="13"/>
      <c r="CG230" s="11"/>
      <c r="CH230" s="12"/>
      <c r="CI230" s="12"/>
      <c r="CJ230" s="11">
        <v>10</v>
      </c>
      <c r="CK230" s="13">
        <v>367.48</v>
      </c>
      <c r="CL230" s="11">
        <v>6</v>
      </c>
      <c r="CM230" s="11"/>
      <c r="CN230" s="13"/>
      <c r="CO230" s="11"/>
      <c r="CP230" s="12"/>
      <c r="CQ230" s="12"/>
      <c r="CR230" s="11"/>
      <c r="CS230" s="13"/>
      <c r="CT230" s="11"/>
      <c r="CU230" s="11"/>
      <c r="CV230" s="13"/>
      <c r="CW230" s="11"/>
      <c r="CX230" s="12"/>
      <c r="CY230" s="12"/>
      <c r="CZ230" s="11">
        <v>342</v>
      </c>
      <c r="DA230" s="13">
        <v>6484.76</v>
      </c>
      <c r="DB230" s="11">
        <v>4</v>
      </c>
      <c r="DC230" s="11"/>
      <c r="DD230" s="13"/>
      <c r="DE230" s="11"/>
      <c r="DF230" s="12"/>
      <c r="DG230" s="12"/>
      <c r="DH230" s="11"/>
      <c r="DI230" s="13"/>
      <c r="DJ230" s="11"/>
      <c r="DK230" s="11"/>
      <c r="DL230" s="13"/>
      <c r="DM230" s="11"/>
      <c r="DN230" s="12"/>
      <c r="DO230" s="12"/>
      <c r="DP230" s="11"/>
      <c r="DQ230" s="13"/>
      <c r="DR230" s="11">
        <v>4</v>
      </c>
      <c r="DS230" s="11"/>
      <c r="DT230" s="13"/>
      <c r="DU230" s="11"/>
      <c r="DV230" s="12"/>
      <c r="DW230" s="12"/>
      <c r="DX230" s="11">
        <v>71</v>
      </c>
      <c r="DY230" s="13">
        <v>1353.69</v>
      </c>
      <c r="DZ230" s="11">
        <v>4</v>
      </c>
      <c r="EA230" s="11"/>
      <c r="EB230" s="13"/>
      <c r="EC230" s="11"/>
      <c r="ED230" s="12"/>
      <c r="EE230" s="12"/>
      <c r="EF230" s="11"/>
      <c r="EG230" s="13"/>
      <c r="EH230" s="11"/>
      <c r="EI230" s="11"/>
      <c r="EJ230" s="13"/>
      <c r="EK230" s="11"/>
      <c r="EL230" s="12"/>
      <c r="EM230" s="12"/>
      <c r="EN230" s="11">
        <v>15</v>
      </c>
      <c r="EO230" s="13">
        <v>519.85</v>
      </c>
      <c r="EP230" s="11">
        <v>6</v>
      </c>
      <c r="EQ230" s="11"/>
      <c r="ER230" s="13"/>
      <c r="ES230" s="11"/>
      <c r="ET230" s="12"/>
      <c r="EU230" s="12"/>
      <c r="EV230" s="11"/>
      <c r="EW230" s="13"/>
      <c r="EX230" s="11"/>
      <c r="EY230" s="11"/>
      <c r="EZ230" s="13"/>
      <c r="FA230" s="11"/>
      <c r="FB230" s="12"/>
      <c r="FC230" s="12"/>
      <c r="FD230" s="11"/>
      <c r="FE230" s="13"/>
      <c r="FF230" s="11"/>
      <c r="FG230" s="11"/>
      <c r="FH230" s="13"/>
      <c r="FI230" s="11"/>
      <c r="FJ230" s="12"/>
      <c r="FK230" s="12"/>
      <c r="FL230" s="11">
        <v>63</v>
      </c>
      <c r="FM230" s="13">
        <v>1288.4</v>
      </c>
      <c r="FN230" s="11">
        <v>4</v>
      </c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/>
      <c r="GM230" s="11"/>
      <c r="GN230" s="13"/>
      <c r="GO230" s="11"/>
      <c r="GP230" s="12"/>
      <c r="GQ230" s="12"/>
      <c r="GR230" s="11"/>
      <c r="GS230" s="13"/>
      <c r="GT230" s="11">
        <v>2</v>
      </c>
      <c r="GU230" s="11"/>
      <c r="GV230" s="13"/>
      <c r="GW230" s="11"/>
      <c r="GX230" s="12"/>
      <c r="GY230" s="12"/>
      <c r="GZ230" s="11"/>
      <c r="HA230" s="13"/>
      <c r="HB230" s="11"/>
      <c r="HC230" s="11"/>
      <c r="HD230" s="13"/>
      <c r="HE230" s="11"/>
      <c r="HF230" s="12"/>
      <c r="HG230" s="12"/>
      <c r="HH230" s="11"/>
      <c r="HI230" s="13"/>
      <c r="HJ230" s="11"/>
      <c r="HK230" s="11"/>
      <c r="HL230" s="13"/>
      <c r="HM230" s="11"/>
      <c r="HN230" s="12"/>
      <c r="HO230" s="12"/>
      <c r="HP230" s="11"/>
      <c r="HQ230" s="13"/>
      <c r="HR230" s="11"/>
      <c r="HS230" s="11"/>
      <c r="HT230" s="13"/>
      <c r="HU230" s="11"/>
      <c r="HV230" s="12"/>
      <c r="HW230" s="12"/>
      <c r="HX230" s="11"/>
      <c r="HY230" s="13"/>
      <c r="HZ230" s="11"/>
      <c r="IA230" s="11"/>
      <c r="IB230" s="13"/>
      <c r="IC230" s="11"/>
      <c r="ID230" s="12"/>
      <c r="IE230" s="12"/>
      <c r="IF230" s="11"/>
      <c r="IG230" s="13"/>
      <c r="IH230" s="11"/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/>
      <c r="IW230" s="13"/>
      <c r="IX230" s="11"/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/>
      <c r="JP230" s="13"/>
      <c r="JQ230" s="11"/>
      <c r="JR230" s="12"/>
      <c r="JS230" s="12"/>
      <c r="JT230" s="11"/>
      <c r="JU230" s="13"/>
      <c r="JV230" s="11">
        <v>4</v>
      </c>
      <c r="JW230" s="11"/>
      <c r="JX230" s="13"/>
      <c r="JY230" s="11"/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/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  <c r="LH230" s="11"/>
      <c r="LI230" s="13"/>
      <c r="LJ230" s="11"/>
      <c r="LK230" s="11"/>
      <c r="LL230" s="13"/>
      <c r="LM230" s="11"/>
      <c r="LN230" s="12"/>
      <c r="LO230" s="12"/>
      <c r="LP230" s="11"/>
      <c r="LQ230" s="13"/>
      <c r="LR230" s="11"/>
      <c r="LS230" s="11"/>
      <c r="LT230" s="13"/>
      <c r="LU230" s="11"/>
      <c r="LV230" s="12"/>
      <c r="LW230" s="12"/>
    </row>
    <row r="231">
      <c r="A231" s="10" t="s">
        <v>181</v>
      </c>
      <c r="B231" s="10" t="s">
        <v>107</v>
      </c>
      <c r="C231" s="10" t="s">
        <v>114</v>
      </c>
      <c r="D231" s="11">
        <v>6331</v>
      </c>
      <c r="E231" s="11">
        <f>=ROUNDDOWN(14.2686499887311,0)</f>
      </c>
      <c r="F231" s="11">
        <v>6260</v>
      </c>
      <c r="G231" s="12">
        <v>0.9312</v>
      </c>
      <c r="H231" s="11"/>
      <c r="I231" s="11">
        <f>=ROUNDDOWN({0},0)</f>
      </c>
      <c r="J231" s="11"/>
      <c r="K231" s="12"/>
      <c r="L231" s="11">
        <v>5240</v>
      </c>
      <c r="M231" s="13">
        <v>129151.3</v>
      </c>
      <c r="N231" s="11">
        <v>11</v>
      </c>
      <c r="O231" s="14">
        <v>11741.03</v>
      </c>
      <c r="P231" s="11"/>
      <c r="Q231" s="13"/>
      <c r="R231" s="11"/>
      <c r="S231" s="14"/>
      <c r="T231" s="12"/>
      <c r="U231" s="12"/>
      <c r="V231" s="12"/>
      <c r="W231" s="12"/>
      <c r="X231" s="11">
        <v>3396</v>
      </c>
      <c r="Y231" s="13">
        <v>85736.73</v>
      </c>
      <c r="Z231" s="11">
        <v>11</v>
      </c>
      <c r="AA231" s="11"/>
      <c r="AB231" s="13"/>
      <c r="AC231" s="11"/>
      <c r="AD231" s="12"/>
      <c r="AE231" s="12"/>
      <c r="AF231" s="11">
        <v>353</v>
      </c>
      <c r="AG231" s="13">
        <v>7673.13</v>
      </c>
      <c r="AH231" s="11">
        <v>11</v>
      </c>
      <c r="AI231" s="11"/>
      <c r="AJ231" s="13"/>
      <c r="AK231" s="11"/>
      <c r="AL231" s="12"/>
      <c r="AM231" s="12"/>
      <c r="AN231" s="11">
        <v>528</v>
      </c>
      <c r="AO231" s="13">
        <v>12318.39</v>
      </c>
      <c r="AP231" s="11">
        <v>11</v>
      </c>
      <c r="AQ231" s="11"/>
      <c r="AR231" s="13"/>
      <c r="AS231" s="11"/>
      <c r="AT231" s="12"/>
      <c r="AU231" s="12"/>
      <c r="AV231" s="11">
        <v>275</v>
      </c>
      <c r="AW231" s="13">
        <v>6874.48</v>
      </c>
      <c r="AX231" s="11">
        <v>7</v>
      </c>
      <c r="AY231" s="11"/>
      <c r="AZ231" s="13"/>
      <c r="BA231" s="11"/>
      <c r="BB231" s="12"/>
      <c r="BC231" s="12"/>
      <c r="BD231" s="11">
        <v>115</v>
      </c>
      <c r="BE231" s="13">
        <v>2618.18</v>
      </c>
      <c r="BF231" s="11">
        <v>8</v>
      </c>
      <c r="BG231" s="11"/>
      <c r="BH231" s="13"/>
      <c r="BI231" s="11"/>
      <c r="BJ231" s="12"/>
      <c r="BK231" s="12"/>
      <c r="BL231" s="11">
        <v>180</v>
      </c>
      <c r="BM231" s="13">
        <v>4046.14</v>
      </c>
      <c r="BN231" s="11">
        <v>11</v>
      </c>
      <c r="BO231" s="11"/>
      <c r="BP231" s="13"/>
      <c r="BQ231" s="11"/>
      <c r="BR231" s="12"/>
      <c r="BS231" s="12"/>
      <c r="BT231" s="11">
        <v>138</v>
      </c>
      <c r="BU231" s="13">
        <v>3669.4</v>
      </c>
      <c r="BV231" s="11">
        <v>11</v>
      </c>
      <c r="BW231" s="11"/>
      <c r="BX231" s="13"/>
      <c r="BY231" s="11"/>
      <c r="BZ231" s="12"/>
      <c r="CA231" s="12"/>
      <c r="CB231" s="11">
        <v>131</v>
      </c>
      <c r="CC231" s="13">
        <v>2826.32</v>
      </c>
      <c r="CD231" s="11">
        <v>9</v>
      </c>
      <c r="CE231" s="11"/>
      <c r="CF231" s="13"/>
      <c r="CG231" s="11"/>
      <c r="CH231" s="12"/>
      <c r="CI231" s="12"/>
      <c r="CJ231" s="11">
        <v>5</v>
      </c>
      <c r="CK231" s="13">
        <v>230.75</v>
      </c>
      <c r="CL231" s="11">
        <v>11</v>
      </c>
      <c r="CM231" s="11"/>
      <c r="CN231" s="13"/>
      <c r="CO231" s="11"/>
      <c r="CP231" s="12"/>
      <c r="CQ231" s="12"/>
      <c r="CR231" s="11"/>
      <c r="CS231" s="13"/>
      <c r="CT231" s="11"/>
      <c r="CU231" s="11"/>
      <c r="CV231" s="13"/>
      <c r="CW231" s="11"/>
      <c r="CX231" s="12"/>
      <c r="CY231" s="12"/>
      <c r="CZ231" s="11">
        <v>37</v>
      </c>
      <c r="DA231" s="13">
        <v>895.32</v>
      </c>
      <c r="DB231" s="11">
        <v>7</v>
      </c>
      <c r="DC231" s="11"/>
      <c r="DD231" s="13"/>
      <c r="DE231" s="11"/>
      <c r="DF231" s="12"/>
      <c r="DG231" s="12"/>
      <c r="DH231" s="11"/>
      <c r="DI231" s="13"/>
      <c r="DJ231" s="11"/>
      <c r="DK231" s="11"/>
      <c r="DL231" s="13"/>
      <c r="DM231" s="11"/>
      <c r="DN231" s="12"/>
      <c r="DO231" s="12"/>
      <c r="DP231" s="11"/>
      <c r="DQ231" s="13"/>
      <c r="DR231" s="11"/>
      <c r="DS231" s="11"/>
      <c r="DT231" s="13"/>
      <c r="DU231" s="11"/>
      <c r="DV231" s="12"/>
      <c r="DW231" s="12"/>
      <c r="DX231" s="11">
        <v>48</v>
      </c>
      <c r="DY231" s="13">
        <v>1175.2</v>
      </c>
      <c r="DZ231" s="11">
        <v>8</v>
      </c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>
        <v>14</v>
      </c>
      <c r="EO231" s="13">
        <v>561.86</v>
      </c>
      <c r="EP231" s="11">
        <v>11</v>
      </c>
      <c r="EQ231" s="11"/>
      <c r="ER231" s="13"/>
      <c r="ES231" s="11"/>
      <c r="ET231" s="12"/>
      <c r="EU231" s="12"/>
      <c r="EV231" s="11"/>
      <c r="EW231" s="13"/>
      <c r="EX231" s="11"/>
      <c r="EY231" s="11"/>
      <c r="EZ231" s="13"/>
      <c r="FA231" s="11"/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>
        <v>13</v>
      </c>
      <c r="FM231" s="13">
        <v>338.66</v>
      </c>
      <c r="FN231" s="11">
        <v>6</v>
      </c>
      <c r="FO231" s="11"/>
      <c r="FP231" s="13"/>
      <c r="FQ231" s="11"/>
      <c r="FR231" s="12"/>
      <c r="FS231" s="12"/>
      <c r="FT231" s="11"/>
      <c r="FU231" s="13"/>
      <c r="FV231" s="11"/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/>
      <c r="GM231" s="11"/>
      <c r="GN231" s="13"/>
      <c r="GO231" s="11"/>
      <c r="GP231" s="12"/>
      <c r="GQ231" s="12"/>
      <c r="GR231" s="11">
        <v>7</v>
      </c>
      <c r="GS231" s="13">
        <v>186.74</v>
      </c>
      <c r="GT231" s="11">
        <v>10</v>
      </c>
      <c r="GU231" s="11"/>
      <c r="GV231" s="13"/>
      <c r="GW231" s="11"/>
      <c r="GX231" s="12"/>
      <c r="GY231" s="12"/>
      <c r="GZ231" s="11"/>
      <c r="HA231" s="13"/>
      <c r="HB231" s="11"/>
      <c r="HC231" s="11"/>
      <c r="HD231" s="13"/>
      <c r="HE231" s="11"/>
      <c r="HF231" s="12"/>
      <c r="HG231" s="12"/>
      <c r="HH231" s="11"/>
      <c r="HI231" s="13"/>
      <c r="HJ231" s="11"/>
      <c r="HK231" s="11"/>
      <c r="HL231" s="13"/>
      <c r="HM231" s="11"/>
      <c r="HN231" s="12"/>
      <c r="HO231" s="12"/>
      <c r="HP231" s="11"/>
      <c r="HQ231" s="13"/>
      <c r="HR231" s="11"/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/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/>
      <c r="IW231" s="13"/>
      <c r="IX231" s="11">
        <v>3</v>
      </c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/>
      <c r="JP231" s="13"/>
      <c r="JQ231" s="11"/>
      <c r="JR231" s="12"/>
      <c r="JS231" s="12"/>
      <c r="JT231" s="11"/>
      <c r="JU231" s="13"/>
      <c r="JV231" s="11"/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/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  <c r="LH231" s="11"/>
      <c r="LI231" s="13"/>
      <c r="LJ231" s="11"/>
      <c r="LK231" s="11"/>
      <c r="LL231" s="13"/>
      <c r="LM231" s="11"/>
      <c r="LN231" s="12"/>
      <c r="LO231" s="12"/>
      <c r="LP231" s="11"/>
      <c r="LQ231" s="13"/>
      <c r="LR231" s="11"/>
      <c r="LS231" s="11"/>
      <c r="LT231" s="13"/>
      <c r="LU231" s="11"/>
      <c r="LV231" s="12"/>
      <c r="LW231" s="12"/>
    </row>
    <row r="232">
      <c r="A232" s="10" t="s">
        <v>181</v>
      </c>
      <c r="B232" s="10" t="s">
        <v>108</v>
      </c>
      <c r="C232" s="10" t="s">
        <v>77</v>
      </c>
      <c r="D232" s="11">
        <v>15574</v>
      </c>
      <c r="E232" s="11">
        <f>=ROUNDDOWN({0},0)</f>
      </c>
      <c r="F232" s="11">
        <v>13544</v>
      </c>
      <c r="G232" s="12"/>
      <c r="H232" s="11"/>
      <c r="I232" s="11">
        <f>=ROUNDDOWN({0},0)</f>
      </c>
      <c r="J232" s="11"/>
      <c r="K232" s="12"/>
      <c r="L232" s="11">
        <v>10793</v>
      </c>
      <c r="M232" s="13">
        <v>231703.93</v>
      </c>
      <c r="N232" s="11">
        <v>17</v>
      </c>
      <c r="O232" s="14">
        <v>13629.64</v>
      </c>
      <c r="P232" s="11"/>
      <c r="Q232" s="13"/>
      <c r="R232" s="11"/>
      <c r="S232" s="14"/>
      <c r="T232" s="12"/>
      <c r="U232" s="12"/>
      <c r="V232" s="12"/>
      <c r="W232" s="12"/>
      <c r="X232" s="11">
        <v>5127</v>
      </c>
      <c r="Y232" s="13">
        <v>119403.01</v>
      </c>
      <c r="Z232" s="11">
        <v>17</v>
      </c>
      <c r="AA232" s="11"/>
      <c r="AB232" s="13"/>
      <c r="AC232" s="11"/>
      <c r="AD232" s="12"/>
      <c r="AE232" s="12"/>
      <c r="AF232" s="11">
        <v>1764</v>
      </c>
      <c r="AG232" s="13">
        <v>29982.15</v>
      </c>
      <c r="AH232" s="11">
        <v>17</v>
      </c>
      <c r="AI232" s="11"/>
      <c r="AJ232" s="13"/>
      <c r="AK232" s="11"/>
      <c r="AL232" s="12"/>
      <c r="AM232" s="12"/>
      <c r="AN232" s="11">
        <v>1210</v>
      </c>
      <c r="AO232" s="13">
        <v>24952.59</v>
      </c>
      <c r="AP232" s="11">
        <v>17</v>
      </c>
      <c r="AQ232" s="11"/>
      <c r="AR232" s="13"/>
      <c r="AS232" s="11"/>
      <c r="AT232" s="12"/>
      <c r="AU232" s="12"/>
      <c r="AV232" s="11">
        <v>460</v>
      </c>
      <c r="AW232" s="13">
        <v>10717.44</v>
      </c>
      <c r="AX232" s="11">
        <v>11</v>
      </c>
      <c r="AY232" s="11"/>
      <c r="AZ232" s="13"/>
      <c r="BA232" s="11"/>
      <c r="BB232" s="12"/>
      <c r="BC232" s="12"/>
      <c r="BD232" s="11">
        <v>473</v>
      </c>
      <c r="BE232" s="13">
        <v>9562.73</v>
      </c>
      <c r="BF232" s="11">
        <v>14</v>
      </c>
      <c r="BG232" s="11"/>
      <c r="BH232" s="13"/>
      <c r="BI232" s="11"/>
      <c r="BJ232" s="12"/>
      <c r="BK232" s="12"/>
      <c r="BL232" s="11">
        <v>730</v>
      </c>
      <c r="BM232" s="13">
        <v>14972.84</v>
      </c>
      <c r="BN232" s="11">
        <v>17</v>
      </c>
      <c r="BO232" s="11"/>
      <c r="BP232" s="13"/>
      <c r="BQ232" s="11"/>
      <c r="BR232" s="12"/>
      <c r="BS232" s="12"/>
      <c r="BT232" s="11">
        <v>240</v>
      </c>
      <c r="BU232" s="13">
        <v>5385.84</v>
      </c>
      <c r="BV232" s="11">
        <v>17</v>
      </c>
      <c r="BW232" s="11"/>
      <c r="BX232" s="13"/>
      <c r="BY232" s="11"/>
      <c r="BZ232" s="12"/>
      <c r="CA232" s="12"/>
      <c r="CB232" s="11">
        <v>164</v>
      </c>
      <c r="CC232" s="13">
        <v>3324.62</v>
      </c>
      <c r="CD232" s="11">
        <v>11</v>
      </c>
      <c r="CE232" s="11"/>
      <c r="CF232" s="13"/>
      <c r="CG232" s="11"/>
      <c r="CH232" s="12"/>
      <c r="CI232" s="12"/>
      <c r="CJ232" s="11">
        <v>15</v>
      </c>
      <c r="CK232" s="13">
        <v>598.23</v>
      </c>
      <c r="CL232" s="11">
        <v>17</v>
      </c>
      <c r="CM232" s="11"/>
      <c r="CN232" s="13"/>
      <c r="CO232" s="11"/>
      <c r="CP232" s="12"/>
      <c r="CQ232" s="12"/>
      <c r="CR232" s="11"/>
      <c r="CS232" s="13"/>
      <c r="CT232" s="11"/>
      <c r="CU232" s="11"/>
      <c r="CV232" s="13"/>
      <c r="CW232" s="11"/>
      <c r="CX232" s="12"/>
      <c r="CY232" s="12"/>
      <c r="CZ232" s="11">
        <v>379</v>
      </c>
      <c r="DA232" s="13">
        <v>7380.08</v>
      </c>
      <c r="DB232" s="11">
        <v>11</v>
      </c>
      <c r="DC232" s="11"/>
      <c r="DD232" s="13"/>
      <c r="DE232" s="11"/>
      <c r="DF232" s="12"/>
      <c r="DG232" s="12"/>
      <c r="DH232" s="11"/>
      <c r="DI232" s="13"/>
      <c r="DJ232" s="11"/>
      <c r="DK232" s="11"/>
      <c r="DL232" s="13"/>
      <c r="DM232" s="11"/>
      <c r="DN232" s="12"/>
      <c r="DO232" s="12"/>
      <c r="DP232" s="11"/>
      <c r="DQ232" s="13"/>
      <c r="DR232" s="11">
        <v>4</v>
      </c>
      <c r="DS232" s="11"/>
      <c r="DT232" s="13"/>
      <c r="DU232" s="11"/>
      <c r="DV232" s="12"/>
      <c r="DW232" s="12"/>
      <c r="DX232" s="11">
        <v>119</v>
      </c>
      <c r="DY232" s="13">
        <v>2528.89</v>
      </c>
      <c r="DZ232" s="11">
        <v>12</v>
      </c>
      <c r="EA232" s="11"/>
      <c r="EB232" s="13"/>
      <c r="EC232" s="11"/>
      <c r="ED232" s="12"/>
      <c r="EE232" s="12"/>
      <c r="EF232" s="11"/>
      <c r="EG232" s="13"/>
      <c r="EH232" s="11"/>
      <c r="EI232" s="11"/>
      <c r="EJ232" s="13"/>
      <c r="EK232" s="11"/>
      <c r="EL232" s="12"/>
      <c r="EM232" s="12"/>
      <c r="EN232" s="11">
        <v>29</v>
      </c>
      <c r="EO232" s="13">
        <v>1081.71</v>
      </c>
      <c r="EP232" s="11">
        <v>17</v>
      </c>
      <c r="EQ232" s="11"/>
      <c r="ER232" s="13"/>
      <c r="ES232" s="11"/>
      <c r="ET232" s="12"/>
      <c r="EU232" s="12"/>
      <c r="EV232" s="11"/>
      <c r="EW232" s="13"/>
      <c r="EX232" s="11"/>
      <c r="EY232" s="11"/>
      <c r="EZ232" s="13"/>
      <c r="FA232" s="11"/>
      <c r="FB232" s="12"/>
      <c r="FC232" s="12"/>
      <c r="FD232" s="11"/>
      <c r="FE232" s="13"/>
      <c r="FF232" s="11"/>
      <c r="FG232" s="11"/>
      <c r="FH232" s="13"/>
      <c r="FI232" s="11"/>
      <c r="FJ232" s="12"/>
      <c r="FK232" s="12"/>
      <c r="FL232" s="11">
        <v>76</v>
      </c>
      <c r="FM232" s="13">
        <v>1627.06</v>
      </c>
      <c r="FN232" s="11">
        <v>10</v>
      </c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>
        <v>7</v>
      </c>
      <c r="GS232" s="13">
        <v>186.74</v>
      </c>
      <c r="GT232" s="11">
        <v>12</v>
      </c>
      <c r="GU232" s="11"/>
      <c r="GV232" s="13"/>
      <c r="GW232" s="11"/>
      <c r="GX232" s="12"/>
      <c r="GY232" s="12"/>
      <c r="GZ232" s="11"/>
      <c r="HA232" s="13"/>
      <c r="HB232" s="11"/>
      <c r="HC232" s="11"/>
      <c r="HD232" s="13"/>
      <c r="HE232" s="11"/>
      <c r="HF232" s="12"/>
      <c r="HG232" s="12"/>
      <c r="HH232" s="11"/>
      <c r="HI232" s="13"/>
      <c r="HJ232" s="11"/>
      <c r="HK232" s="11"/>
      <c r="HL232" s="13"/>
      <c r="HM232" s="11"/>
      <c r="HN232" s="12"/>
      <c r="HO232" s="12"/>
      <c r="HP232" s="11"/>
      <c r="HQ232" s="13"/>
      <c r="HR232" s="11"/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/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/>
      <c r="IW232" s="13"/>
      <c r="IX232" s="11">
        <v>3</v>
      </c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>
        <v>4</v>
      </c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/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  <c r="LH232" s="11"/>
      <c r="LI232" s="13"/>
      <c r="LJ232" s="11"/>
      <c r="LK232" s="11"/>
      <c r="LL232" s="13"/>
      <c r="LM232" s="11"/>
      <c r="LN232" s="12"/>
      <c r="LO232" s="12"/>
      <c r="LP232" s="11"/>
      <c r="LQ232" s="13"/>
      <c r="LR232" s="11"/>
      <c r="LS232" s="11"/>
      <c r="LT232" s="13"/>
      <c r="LU232" s="11"/>
      <c r="LV232" s="12"/>
      <c r="LW232" s="12"/>
    </row>
    <row r="233">
      <c r="A233" s="10" t="s">
        <v>181</v>
      </c>
      <c r="B233" s="10" t="s">
        <v>111</v>
      </c>
      <c r="C233" s="10" t="s">
        <v>186</v>
      </c>
      <c r="D233" s="11">
        <v>3681</v>
      </c>
      <c r="E233" s="11">
        <f>=ROUNDDOWN(53.7372262773723,0)</f>
      </c>
      <c r="F233" s="11">
        <v>1300</v>
      </c>
      <c r="G233" s="12">
        <v>0.5471</v>
      </c>
      <c r="H233" s="11"/>
      <c r="I233" s="11">
        <f>=ROUNDDOWN({0},0)</f>
      </c>
      <c r="J233" s="11"/>
      <c r="K233" s="12"/>
      <c r="L233" s="11">
        <v>947</v>
      </c>
      <c r="M233" s="13">
        <v>26936.68</v>
      </c>
      <c r="N233" s="11">
        <v>6</v>
      </c>
      <c r="O233" s="14">
        <v>4489.45</v>
      </c>
      <c r="P233" s="11"/>
      <c r="Q233" s="13"/>
      <c r="R233" s="11"/>
      <c r="S233" s="14"/>
      <c r="T233" s="12"/>
      <c r="U233" s="12"/>
      <c r="V233" s="12"/>
      <c r="W233" s="12"/>
      <c r="X233" s="11">
        <v>704</v>
      </c>
      <c r="Y233" s="13">
        <v>19933.24</v>
      </c>
      <c r="Z233" s="11">
        <v>6</v>
      </c>
      <c r="AA233" s="11"/>
      <c r="AB233" s="13"/>
      <c r="AC233" s="11"/>
      <c r="AD233" s="12"/>
      <c r="AE233" s="12"/>
      <c r="AF233" s="11">
        <v>36</v>
      </c>
      <c r="AG233" s="13">
        <v>867.68</v>
      </c>
      <c r="AH233" s="11">
        <v>6</v>
      </c>
      <c r="AI233" s="11"/>
      <c r="AJ233" s="13"/>
      <c r="AK233" s="11"/>
      <c r="AL233" s="12"/>
      <c r="AM233" s="12"/>
      <c r="AN233" s="11">
        <v>71</v>
      </c>
      <c r="AO233" s="13">
        <v>2043.64</v>
      </c>
      <c r="AP233" s="11">
        <v>6</v>
      </c>
      <c r="AQ233" s="11"/>
      <c r="AR233" s="13"/>
      <c r="AS233" s="11"/>
      <c r="AT233" s="12"/>
      <c r="AU233" s="12"/>
      <c r="AV233" s="11">
        <v>80</v>
      </c>
      <c r="AW233" s="13">
        <v>2436.14</v>
      </c>
      <c r="AX233" s="11">
        <v>3</v>
      </c>
      <c r="AY233" s="11"/>
      <c r="AZ233" s="13"/>
      <c r="BA233" s="11"/>
      <c r="BB233" s="12"/>
      <c r="BC233" s="12"/>
      <c r="BD233" s="11">
        <v>6</v>
      </c>
      <c r="BE233" s="13">
        <v>180.9</v>
      </c>
      <c r="BF233" s="11">
        <v>2</v>
      </c>
      <c r="BG233" s="11"/>
      <c r="BH233" s="13"/>
      <c r="BI233" s="11"/>
      <c r="BJ233" s="12"/>
      <c r="BK233" s="12"/>
      <c r="BL233" s="11">
        <v>5</v>
      </c>
      <c r="BM233" s="13">
        <v>148.58</v>
      </c>
      <c r="BN233" s="11">
        <v>6</v>
      </c>
      <c r="BO233" s="11"/>
      <c r="BP233" s="13"/>
      <c r="BQ233" s="11"/>
      <c r="BR233" s="12"/>
      <c r="BS233" s="12"/>
      <c r="BT233" s="11">
        <v>12</v>
      </c>
      <c r="BU233" s="13">
        <v>400.86</v>
      </c>
      <c r="BV233" s="11">
        <v>3</v>
      </c>
      <c r="BW233" s="11"/>
      <c r="BX233" s="13"/>
      <c r="BY233" s="11"/>
      <c r="BZ233" s="12"/>
      <c r="CA233" s="12"/>
      <c r="CB233" s="11">
        <v>15</v>
      </c>
      <c r="CC233" s="13">
        <v>428.82</v>
      </c>
      <c r="CD233" s="11">
        <v>3</v>
      </c>
      <c r="CE233" s="11"/>
      <c r="CF233" s="13"/>
      <c r="CG233" s="11"/>
      <c r="CH233" s="12"/>
      <c r="CI233" s="12"/>
      <c r="CJ233" s="11">
        <v>1</v>
      </c>
      <c r="CK233" s="13">
        <v>48.99</v>
      </c>
      <c r="CL233" s="11">
        <v>3</v>
      </c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/>
      <c r="DI233" s="13"/>
      <c r="DJ233" s="11"/>
      <c r="DK233" s="11"/>
      <c r="DL233" s="13"/>
      <c r="DM233" s="11"/>
      <c r="DN233" s="12"/>
      <c r="DO233" s="12"/>
      <c r="DP233" s="11">
        <v>3</v>
      </c>
      <c r="DQ233" s="13">
        <v>89</v>
      </c>
      <c r="DR233" s="11">
        <v>6</v>
      </c>
      <c r="DS233" s="11"/>
      <c r="DT233" s="13"/>
      <c r="DU233" s="11"/>
      <c r="DV233" s="12"/>
      <c r="DW233" s="12"/>
      <c r="DX233" s="11">
        <v>5</v>
      </c>
      <c r="DY233" s="13">
        <v>107.32</v>
      </c>
      <c r="DZ233" s="11">
        <v>6</v>
      </c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>
        <v>6</v>
      </c>
      <c r="EQ233" s="11"/>
      <c r="ER233" s="13"/>
      <c r="ES233" s="11"/>
      <c r="ET233" s="12"/>
      <c r="EU233" s="12"/>
      <c r="EV233" s="11"/>
      <c r="EW233" s="13"/>
      <c r="EX233" s="11">
        <v>1</v>
      </c>
      <c r="EY233" s="11"/>
      <c r="EZ233" s="13"/>
      <c r="FA233" s="11"/>
      <c r="FB233" s="12"/>
      <c r="FC233" s="12"/>
      <c r="FD233" s="11">
        <v>5</v>
      </c>
      <c r="FE233" s="13">
        <v>134.45</v>
      </c>
      <c r="FF233" s="11">
        <v>3</v>
      </c>
      <c r="FG233" s="11"/>
      <c r="FH233" s="13"/>
      <c r="FI233" s="11"/>
      <c r="FJ233" s="12"/>
      <c r="FK233" s="12"/>
      <c r="FL233" s="11"/>
      <c r="FM233" s="13"/>
      <c r="FN233" s="11">
        <v>1</v>
      </c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>
        <v>4</v>
      </c>
      <c r="GS233" s="13">
        <v>117.06</v>
      </c>
      <c r="GT233" s="11">
        <v>3</v>
      </c>
      <c r="GU233" s="11"/>
      <c r="GV233" s="13"/>
      <c r="GW233" s="11"/>
      <c r="GX233" s="12"/>
      <c r="GY233" s="12"/>
      <c r="GZ233" s="11"/>
      <c r="HA233" s="13"/>
      <c r="HB233" s="11">
        <v>3</v>
      </c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>
        <v>3</v>
      </c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  <c r="LH233" s="11"/>
      <c r="LI233" s="13"/>
      <c r="LJ233" s="11"/>
      <c r="LK233" s="11"/>
      <c r="LL233" s="13"/>
      <c r="LM233" s="11"/>
      <c r="LN233" s="12"/>
      <c r="LO233" s="12"/>
      <c r="LP233" s="11"/>
      <c r="LQ233" s="13"/>
      <c r="LR233" s="11"/>
      <c r="LS233" s="11"/>
      <c r="LT233" s="13"/>
      <c r="LU233" s="11"/>
      <c r="LV233" s="12"/>
      <c r="LW233" s="12"/>
    </row>
    <row r="234">
      <c r="A234" s="10" t="s">
        <v>181</v>
      </c>
      <c r="B234" s="10" t="s">
        <v>111</v>
      </c>
      <c r="C234" s="10" t="s">
        <v>114</v>
      </c>
      <c r="D234" s="11">
        <v>1432</v>
      </c>
      <c r="E234" s="11">
        <f>=ROUNDDOWN(22.375,0)</f>
      </c>
      <c r="F234" s="11">
        <v>600</v>
      </c>
      <c r="G234" s="12">
        <v>1</v>
      </c>
      <c r="H234" s="11"/>
      <c r="I234" s="11">
        <f>=ROUNDDOWN({0},0)</f>
      </c>
      <c r="J234" s="11"/>
      <c r="K234" s="12"/>
      <c r="L234" s="11">
        <v>866</v>
      </c>
      <c r="M234" s="13">
        <v>12400.07</v>
      </c>
      <c r="N234" s="11">
        <v>2</v>
      </c>
      <c r="O234" s="14">
        <v>6200.04</v>
      </c>
      <c r="P234" s="11"/>
      <c r="Q234" s="13"/>
      <c r="R234" s="11"/>
      <c r="S234" s="14"/>
      <c r="T234" s="12"/>
      <c r="U234" s="12"/>
      <c r="V234" s="12"/>
      <c r="W234" s="12"/>
      <c r="X234" s="11">
        <v>109</v>
      </c>
      <c r="Y234" s="13">
        <v>1644.81</v>
      </c>
      <c r="Z234" s="11">
        <v>1</v>
      </c>
      <c r="AA234" s="11"/>
      <c r="AB234" s="13"/>
      <c r="AC234" s="11"/>
      <c r="AD234" s="12"/>
      <c r="AE234" s="12"/>
      <c r="AF234" s="11">
        <v>31</v>
      </c>
      <c r="AG234" s="13">
        <v>291.97</v>
      </c>
      <c r="AH234" s="11">
        <v>2</v>
      </c>
      <c r="AI234" s="11"/>
      <c r="AJ234" s="13"/>
      <c r="AK234" s="11"/>
      <c r="AL234" s="12"/>
      <c r="AM234" s="12"/>
      <c r="AN234" s="11">
        <v>106</v>
      </c>
      <c r="AO234" s="13">
        <v>1469.44</v>
      </c>
      <c r="AP234" s="11">
        <v>2</v>
      </c>
      <c r="AQ234" s="11"/>
      <c r="AR234" s="13"/>
      <c r="AS234" s="11"/>
      <c r="AT234" s="12"/>
      <c r="AU234" s="12"/>
      <c r="AV234" s="11">
        <v>47</v>
      </c>
      <c r="AW234" s="13">
        <v>700.51</v>
      </c>
      <c r="AX234" s="11"/>
      <c r="AY234" s="11"/>
      <c r="AZ234" s="13"/>
      <c r="BA234" s="11"/>
      <c r="BB234" s="12"/>
      <c r="BC234" s="12"/>
      <c r="BD234" s="11">
        <v>277</v>
      </c>
      <c r="BE234" s="13">
        <v>4155</v>
      </c>
      <c r="BF234" s="11">
        <v>2</v>
      </c>
      <c r="BG234" s="11"/>
      <c r="BH234" s="13"/>
      <c r="BI234" s="11"/>
      <c r="BJ234" s="12"/>
      <c r="BK234" s="12"/>
      <c r="BL234" s="11">
        <v>16</v>
      </c>
      <c r="BM234" s="13">
        <v>236.64</v>
      </c>
      <c r="BN234" s="11">
        <v>2</v>
      </c>
      <c r="BO234" s="11"/>
      <c r="BP234" s="13"/>
      <c r="BQ234" s="11"/>
      <c r="BR234" s="12"/>
      <c r="BS234" s="12"/>
      <c r="BT234" s="11">
        <v>9</v>
      </c>
      <c r="BU234" s="13">
        <v>141</v>
      </c>
      <c r="BV234" s="11">
        <v>2</v>
      </c>
      <c r="BW234" s="11"/>
      <c r="BX234" s="13"/>
      <c r="BY234" s="11"/>
      <c r="BZ234" s="12"/>
      <c r="CA234" s="12"/>
      <c r="CB234" s="11">
        <v>258</v>
      </c>
      <c r="CC234" s="13">
        <v>3540.42</v>
      </c>
      <c r="CD234" s="11">
        <v>2</v>
      </c>
      <c r="CE234" s="11"/>
      <c r="CF234" s="13"/>
      <c r="CG234" s="11"/>
      <c r="CH234" s="12"/>
      <c r="CI234" s="12"/>
      <c r="CJ234" s="11"/>
      <c r="CK234" s="13"/>
      <c r="CL234" s="11">
        <v>2</v>
      </c>
      <c r="CM234" s="11"/>
      <c r="CN234" s="13"/>
      <c r="CO234" s="11"/>
      <c r="CP234" s="12"/>
      <c r="CQ234" s="12"/>
      <c r="CR234" s="11"/>
      <c r="CS234" s="13"/>
      <c r="CT234" s="11"/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/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>
        <v>6</v>
      </c>
      <c r="DY234" s="13">
        <v>87.25</v>
      </c>
      <c r="DZ234" s="11">
        <v>2</v>
      </c>
      <c r="EA234" s="11"/>
      <c r="EB234" s="13"/>
      <c r="EC234" s="11"/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>
        <v>2</v>
      </c>
      <c r="EO234" s="13">
        <v>59.98</v>
      </c>
      <c r="EP234" s="11">
        <v>2</v>
      </c>
      <c r="EQ234" s="11"/>
      <c r="ER234" s="13"/>
      <c r="ES234" s="11"/>
      <c r="ET234" s="12"/>
      <c r="EU234" s="12"/>
      <c r="EV234" s="11">
        <v>4</v>
      </c>
      <c r="EW234" s="13">
        <v>58.08</v>
      </c>
      <c r="EX234" s="11">
        <v>2</v>
      </c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/>
      <c r="GM234" s="11"/>
      <c r="GN234" s="13"/>
      <c r="GO234" s="11"/>
      <c r="GP234" s="12"/>
      <c r="GQ234" s="12"/>
      <c r="GR234" s="11">
        <v>1</v>
      </c>
      <c r="GS234" s="13">
        <v>14.97</v>
      </c>
      <c r="GT234" s="11">
        <v>2</v>
      </c>
      <c r="GU234" s="11"/>
      <c r="GV234" s="13"/>
      <c r="GW234" s="11"/>
      <c r="GX234" s="12"/>
      <c r="GY234" s="12"/>
      <c r="GZ234" s="11"/>
      <c r="HA234" s="13"/>
      <c r="HB234" s="11"/>
      <c r="HC234" s="11"/>
      <c r="HD234" s="13"/>
      <c r="HE234" s="11"/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>
        <v>2</v>
      </c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>
        <v>2</v>
      </c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  <c r="LH234" s="11"/>
      <c r="LI234" s="13"/>
      <c r="LJ234" s="11"/>
      <c r="LK234" s="11"/>
      <c r="LL234" s="13"/>
      <c r="LM234" s="11"/>
      <c r="LN234" s="12"/>
      <c r="LO234" s="12"/>
      <c r="LP234" s="11"/>
      <c r="LQ234" s="13"/>
      <c r="LR234" s="11"/>
      <c r="LS234" s="11"/>
      <c r="LT234" s="13"/>
      <c r="LU234" s="11"/>
      <c r="LV234" s="12"/>
      <c r="LW234" s="12"/>
    </row>
    <row r="235">
      <c r="A235" s="10" t="s">
        <v>181</v>
      </c>
      <c r="B235" s="10" t="s">
        <v>112</v>
      </c>
      <c r="C235" s="10" t="s">
        <v>77</v>
      </c>
      <c r="D235" s="11">
        <v>5113</v>
      </c>
      <c r="E235" s="11">
        <f>=ROUNDDOWN({0},0)</f>
      </c>
      <c r="F235" s="11">
        <v>1900</v>
      </c>
      <c r="G235" s="12"/>
      <c r="H235" s="11"/>
      <c r="I235" s="11">
        <f>=ROUNDDOWN({0},0)</f>
      </c>
      <c r="J235" s="11"/>
      <c r="K235" s="12"/>
      <c r="L235" s="11">
        <v>1813</v>
      </c>
      <c r="M235" s="13">
        <v>39336.75</v>
      </c>
      <c r="N235" s="11">
        <v>8</v>
      </c>
      <c r="O235" s="14">
        <v>4917.09</v>
      </c>
      <c r="P235" s="11"/>
      <c r="Q235" s="13"/>
      <c r="R235" s="11"/>
      <c r="S235" s="14"/>
      <c r="T235" s="12"/>
      <c r="U235" s="12"/>
      <c r="V235" s="12"/>
      <c r="W235" s="12"/>
      <c r="X235" s="11">
        <v>813</v>
      </c>
      <c r="Y235" s="13">
        <v>21578.05</v>
      </c>
      <c r="Z235" s="11">
        <v>7</v>
      </c>
      <c r="AA235" s="11"/>
      <c r="AB235" s="13"/>
      <c r="AC235" s="11"/>
      <c r="AD235" s="12"/>
      <c r="AE235" s="12"/>
      <c r="AF235" s="11">
        <v>67</v>
      </c>
      <c r="AG235" s="13">
        <v>1159.65</v>
      </c>
      <c r="AH235" s="11">
        <v>8</v>
      </c>
      <c r="AI235" s="11"/>
      <c r="AJ235" s="13"/>
      <c r="AK235" s="11"/>
      <c r="AL235" s="12"/>
      <c r="AM235" s="12"/>
      <c r="AN235" s="11">
        <v>177</v>
      </c>
      <c r="AO235" s="13">
        <v>3513.08</v>
      </c>
      <c r="AP235" s="11">
        <v>8</v>
      </c>
      <c r="AQ235" s="11"/>
      <c r="AR235" s="13"/>
      <c r="AS235" s="11"/>
      <c r="AT235" s="12"/>
      <c r="AU235" s="12"/>
      <c r="AV235" s="11">
        <v>127</v>
      </c>
      <c r="AW235" s="13">
        <v>3136.65</v>
      </c>
      <c r="AX235" s="11">
        <v>3</v>
      </c>
      <c r="AY235" s="11"/>
      <c r="AZ235" s="13"/>
      <c r="BA235" s="11"/>
      <c r="BB235" s="12"/>
      <c r="BC235" s="12"/>
      <c r="BD235" s="11">
        <v>283</v>
      </c>
      <c r="BE235" s="13">
        <v>4335.9</v>
      </c>
      <c r="BF235" s="11">
        <v>4</v>
      </c>
      <c r="BG235" s="11"/>
      <c r="BH235" s="13"/>
      <c r="BI235" s="11"/>
      <c r="BJ235" s="12"/>
      <c r="BK235" s="12"/>
      <c r="BL235" s="11">
        <v>21</v>
      </c>
      <c r="BM235" s="13">
        <v>385.22</v>
      </c>
      <c r="BN235" s="11">
        <v>8</v>
      </c>
      <c r="BO235" s="11"/>
      <c r="BP235" s="13"/>
      <c r="BQ235" s="11"/>
      <c r="BR235" s="12"/>
      <c r="BS235" s="12"/>
      <c r="BT235" s="11">
        <v>21</v>
      </c>
      <c r="BU235" s="13">
        <v>541.86</v>
      </c>
      <c r="BV235" s="11">
        <v>5</v>
      </c>
      <c r="BW235" s="11"/>
      <c r="BX235" s="13"/>
      <c r="BY235" s="11"/>
      <c r="BZ235" s="12"/>
      <c r="CA235" s="12"/>
      <c r="CB235" s="11">
        <v>273</v>
      </c>
      <c r="CC235" s="13">
        <v>3969.24</v>
      </c>
      <c r="CD235" s="11">
        <v>5</v>
      </c>
      <c r="CE235" s="11"/>
      <c r="CF235" s="13"/>
      <c r="CG235" s="11"/>
      <c r="CH235" s="12"/>
      <c r="CI235" s="12"/>
      <c r="CJ235" s="11">
        <v>1</v>
      </c>
      <c r="CK235" s="13">
        <v>48.99</v>
      </c>
      <c r="CL235" s="11">
        <v>5</v>
      </c>
      <c r="CM235" s="11"/>
      <c r="CN235" s="13"/>
      <c r="CO235" s="11"/>
      <c r="CP235" s="12"/>
      <c r="CQ235" s="12"/>
      <c r="CR235" s="11"/>
      <c r="CS235" s="13"/>
      <c r="CT235" s="11"/>
      <c r="CU235" s="11"/>
      <c r="CV235" s="13"/>
      <c r="CW235" s="11"/>
      <c r="CX235" s="12"/>
      <c r="CY235" s="12"/>
      <c r="CZ235" s="11"/>
      <c r="DA235" s="13"/>
      <c r="DB235" s="11"/>
      <c r="DC235" s="11"/>
      <c r="DD235" s="13"/>
      <c r="DE235" s="11"/>
      <c r="DF235" s="12"/>
      <c r="DG235" s="12"/>
      <c r="DH235" s="11"/>
      <c r="DI235" s="13"/>
      <c r="DJ235" s="11"/>
      <c r="DK235" s="11"/>
      <c r="DL235" s="13"/>
      <c r="DM235" s="11"/>
      <c r="DN235" s="12"/>
      <c r="DO235" s="12"/>
      <c r="DP235" s="11">
        <v>3</v>
      </c>
      <c r="DQ235" s="13">
        <v>89</v>
      </c>
      <c r="DR235" s="11">
        <v>6</v>
      </c>
      <c r="DS235" s="11"/>
      <c r="DT235" s="13"/>
      <c r="DU235" s="11"/>
      <c r="DV235" s="12"/>
      <c r="DW235" s="12"/>
      <c r="DX235" s="11">
        <v>11</v>
      </c>
      <c r="DY235" s="13">
        <v>194.57</v>
      </c>
      <c r="DZ235" s="11">
        <v>8</v>
      </c>
      <c r="EA235" s="11"/>
      <c r="EB235" s="13"/>
      <c r="EC235" s="11"/>
      <c r="ED235" s="12"/>
      <c r="EE235" s="12"/>
      <c r="EF235" s="11"/>
      <c r="EG235" s="13"/>
      <c r="EH235" s="11"/>
      <c r="EI235" s="11"/>
      <c r="EJ235" s="13"/>
      <c r="EK235" s="11"/>
      <c r="EL235" s="12"/>
      <c r="EM235" s="12"/>
      <c r="EN235" s="11">
        <v>2</v>
      </c>
      <c r="EO235" s="13">
        <v>59.98</v>
      </c>
      <c r="EP235" s="11">
        <v>8</v>
      </c>
      <c r="EQ235" s="11"/>
      <c r="ER235" s="13"/>
      <c r="ES235" s="11"/>
      <c r="ET235" s="12"/>
      <c r="EU235" s="12"/>
      <c r="EV235" s="11">
        <v>4</v>
      </c>
      <c r="EW235" s="13">
        <v>58.08</v>
      </c>
      <c r="EX235" s="11">
        <v>3</v>
      </c>
      <c r="EY235" s="11"/>
      <c r="EZ235" s="13"/>
      <c r="FA235" s="11"/>
      <c r="FB235" s="12"/>
      <c r="FC235" s="12"/>
      <c r="FD235" s="11">
        <v>5</v>
      </c>
      <c r="FE235" s="13">
        <v>134.45</v>
      </c>
      <c r="FF235" s="11">
        <v>3</v>
      </c>
      <c r="FG235" s="11"/>
      <c r="FH235" s="13"/>
      <c r="FI235" s="11"/>
      <c r="FJ235" s="12"/>
      <c r="FK235" s="12"/>
      <c r="FL235" s="11"/>
      <c r="FM235" s="13"/>
      <c r="FN235" s="11">
        <v>1</v>
      </c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/>
      <c r="GM235" s="11"/>
      <c r="GN235" s="13"/>
      <c r="GO235" s="11"/>
      <c r="GP235" s="12"/>
      <c r="GQ235" s="12"/>
      <c r="GR235" s="11">
        <v>5</v>
      </c>
      <c r="GS235" s="13">
        <v>132.03</v>
      </c>
      <c r="GT235" s="11">
        <v>5</v>
      </c>
      <c r="GU235" s="11"/>
      <c r="GV235" s="13"/>
      <c r="GW235" s="11"/>
      <c r="GX235" s="12"/>
      <c r="GY235" s="12"/>
      <c r="GZ235" s="11"/>
      <c r="HA235" s="13"/>
      <c r="HB235" s="11">
        <v>3</v>
      </c>
      <c r="HC235" s="11"/>
      <c r="HD235" s="13"/>
      <c r="HE235" s="11"/>
      <c r="HF235" s="12"/>
      <c r="HG235" s="12"/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>
        <v>5</v>
      </c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/>
      <c r="JP235" s="13"/>
      <c r="JQ235" s="11"/>
      <c r="JR235" s="12"/>
      <c r="JS235" s="12"/>
      <c r="JT235" s="11"/>
      <c r="JU235" s="13"/>
      <c r="JV235" s="11">
        <v>2</v>
      </c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/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  <c r="LH235" s="11"/>
      <c r="LI235" s="13"/>
      <c r="LJ235" s="11"/>
      <c r="LK235" s="11"/>
      <c r="LL235" s="13"/>
      <c r="LM235" s="11"/>
      <c r="LN235" s="12"/>
      <c r="LO235" s="12"/>
      <c r="LP235" s="11"/>
      <c r="LQ235" s="13"/>
      <c r="LR235" s="11"/>
      <c r="LS235" s="11"/>
      <c r="LT235" s="13"/>
      <c r="LU235" s="11"/>
      <c r="LV235" s="12"/>
      <c r="LW235" s="12"/>
    </row>
    <row r="236">
      <c r="A236" s="10" t="s">
        <v>181</v>
      </c>
      <c r="B236" s="10" t="s">
        <v>187</v>
      </c>
      <c r="C236" s="10" t="s">
        <v>183</v>
      </c>
      <c r="D236" s="11">
        <v>3417</v>
      </c>
      <c r="E236" s="11">
        <f>=ROUNDDOWN(11390,0)</f>
      </c>
      <c r="F236" s="11"/>
      <c r="G236" s="12"/>
      <c r="H236" s="11"/>
      <c r="I236" s="11">
        <f>=ROUNDDOWN({0},0)</f>
      </c>
      <c r="J236" s="11"/>
      <c r="K236" s="12"/>
      <c r="L236" s="11"/>
      <c r="M236" s="13"/>
      <c r="N236" s="11"/>
      <c r="O236" s="14"/>
      <c r="P236" s="11"/>
      <c r="Q236" s="13"/>
      <c r="R236" s="11"/>
      <c r="S236" s="14"/>
      <c r="T236" s="12"/>
      <c r="U236" s="12"/>
      <c r="V236" s="12"/>
      <c r="W236" s="12"/>
      <c r="X236" s="11"/>
      <c r="Y236" s="13"/>
      <c r="Z236" s="11"/>
      <c r="AA236" s="11"/>
      <c r="AB236" s="13"/>
      <c r="AC236" s="11"/>
      <c r="AD236" s="12"/>
      <c r="AE236" s="12"/>
      <c r="AF236" s="11"/>
      <c r="AG236" s="13"/>
      <c r="AH236" s="11"/>
      <c r="AI236" s="11"/>
      <c r="AJ236" s="13"/>
      <c r="AK236" s="11"/>
      <c r="AL236" s="12"/>
      <c r="AM236" s="12"/>
      <c r="AN236" s="11"/>
      <c r="AO236" s="13"/>
      <c r="AP236" s="11"/>
      <c r="AQ236" s="11"/>
      <c r="AR236" s="13"/>
      <c r="AS236" s="11"/>
      <c r="AT236" s="12"/>
      <c r="AU236" s="12"/>
      <c r="AV236" s="11"/>
      <c r="AW236" s="13"/>
      <c r="AX236" s="11"/>
      <c r="AY236" s="11"/>
      <c r="AZ236" s="13"/>
      <c r="BA236" s="11"/>
      <c r="BB236" s="12"/>
      <c r="BC236" s="12"/>
      <c r="BD236" s="11"/>
      <c r="BE236" s="13"/>
      <c r="BF236" s="11"/>
      <c r="BG236" s="11"/>
      <c r="BH236" s="13"/>
      <c r="BI236" s="11"/>
      <c r="BJ236" s="12"/>
      <c r="BK236" s="12"/>
      <c r="BL236" s="11"/>
      <c r="BM236" s="13"/>
      <c r="BN236" s="11"/>
      <c r="BO236" s="11"/>
      <c r="BP236" s="13"/>
      <c r="BQ236" s="11"/>
      <c r="BR236" s="12"/>
      <c r="BS236" s="12"/>
      <c r="BT236" s="11"/>
      <c r="BU236" s="13"/>
      <c r="BV236" s="11"/>
      <c r="BW236" s="11"/>
      <c r="BX236" s="13"/>
      <c r="BY236" s="11"/>
      <c r="BZ236" s="12"/>
      <c r="CA236" s="12"/>
      <c r="CB236" s="11"/>
      <c r="CC236" s="13"/>
      <c r="CD236" s="11"/>
      <c r="CE236" s="11"/>
      <c r="CF236" s="13"/>
      <c r="CG236" s="11"/>
      <c r="CH236" s="12"/>
      <c r="CI236" s="12"/>
      <c r="CJ236" s="11"/>
      <c r="CK236" s="13"/>
      <c r="CL236" s="11"/>
      <c r="CM236" s="11"/>
      <c r="CN236" s="13"/>
      <c r="CO236" s="11"/>
      <c r="CP236" s="12"/>
      <c r="CQ236" s="12"/>
      <c r="CR236" s="11"/>
      <c r="CS236" s="13"/>
      <c r="CT236" s="11"/>
      <c r="CU236" s="11"/>
      <c r="CV236" s="13"/>
      <c r="CW236" s="11"/>
      <c r="CX236" s="12"/>
      <c r="CY236" s="12"/>
      <c r="CZ236" s="11"/>
      <c r="DA236" s="13"/>
      <c r="DB236" s="11"/>
      <c r="DC236" s="11"/>
      <c r="DD236" s="13"/>
      <c r="DE236" s="11"/>
      <c r="DF236" s="12"/>
      <c r="DG236" s="12"/>
      <c r="DH236" s="11"/>
      <c r="DI236" s="13"/>
      <c r="DJ236" s="11"/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/>
      <c r="DY236" s="13"/>
      <c r="DZ236" s="11"/>
      <c r="EA236" s="11"/>
      <c r="EB236" s="13"/>
      <c r="EC236" s="11"/>
      <c r="ED236" s="12"/>
      <c r="EE236" s="12"/>
      <c r="EF236" s="11"/>
      <c r="EG236" s="13"/>
      <c r="EH236" s="11"/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/>
      <c r="GC236" s="13"/>
      <c r="GD236" s="11"/>
      <c r="GE236" s="11"/>
      <c r="GF236" s="13"/>
      <c r="GG236" s="11"/>
      <c r="GH236" s="12"/>
      <c r="GI236" s="12"/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/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/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  <c r="LH236" s="11"/>
      <c r="LI236" s="13"/>
      <c r="LJ236" s="11"/>
      <c r="LK236" s="11"/>
      <c r="LL236" s="13"/>
      <c r="LM236" s="11"/>
      <c r="LN236" s="12"/>
      <c r="LO236" s="12"/>
      <c r="LP236" s="11"/>
      <c r="LQ236" s="13"/>
      <c r="LR236" s="11"/>
      <c r="LS236" s="11"/>
      <c r="LT236" s="13"/>
      <c r="LU236" s="11"/>
      <c r="LV236" s="12"/>
      <c r="LW236" s="12"/>
    </row>
    <row r="237">
      <c r="A237" s="10" t="s">
        <v>181</v>
      </c>
      <c r="B237" s="10" t="s">
        <v>188</v>
      </c>
      <c r="C237" s="10" t="s">
        <v>77</v>
      </c>
      <c r="D237" s="11">
        <v>3417</v>
      </c>
      <c r="E237" s="11">
        <f>=ROUNDDOWN({0},0)</f>
      </c>
      <c r="F237" s="11"/>
      <c r="G237" s="12"/>
      <c r="H237" s="11"/>
      <c r="I237" s="11">
        <f>=ROUNDDOWN({0},0)</f>
      </c>
      <c r="J237" s="11"/>
      <c r="K237" s="12"/>
      <c r="L237" s="11"/>
      <c r="M237" s="13"/>
      <c r="N237" s="11"/>
      <c r="O237" s="14"/>
      <c r="P237" s="11"/>
      <c r="Q237" s="13"/>
      <c r="R237" s="11"/>
      <c r="S237" s="14"/>
      <c r="T237" s="12"/>
      <c r="U237" s="12"/>
      <c r="V237" s="12"/>
      <c r="W237" s="12"/>
      <c r="X237" s="11"/>
      <c r="Y237" s="13"/>
      <c r="Z237" s="11"/>
      <c r="AA237" s="11"/>
      <c r="AB237" s="13"/>
      <c r="AC237" s="11"/>
      <c r="AD237" s="12"/>
      <c r="AE237" s="12"/>
      <c r="AF237" s="11"/>
      <c r="AG237" s="13"/>
      <c r="AH237" s="11"/>
      <c r="AI237" s="11"/>
      <c r="AJ237" s="13"/>
      <c r="AK237" s="11"/>
      <c r="AL237" s="12"/>
      <c r="AM237" s="12"/>
      <c r="AN237" s="11"/>
      <c r="AO237" s="13"/>
      <c r="AP237" s="11"/>
      <c r="AQ237" s="11"/>
      <c r="AR237" s="13"/>
      <c r="AS237" s="11"/>
      <c r="AT237" s="12"/>
      <c r="AU237" s="12"/>
      <c r="AV237" s="11"/>
      <c r="AW237" s="13"/>
      <c r="AX237" s="11"/>
      <c r="AY237" s="11"/>
      <c r="AZ237" s="13"/>
      <c r="BA237" s="11"/>
      <c r="BB237" s="12"/>
      <c r="BC237" s="12"/>
      <c r="BD237" s="11"/>
      <c r="BE237" s="13"/>
      <c r="BF237" s="11"/>
      <c r="BG237" s="11"/>
      <c r="BH237" s="13"/>
      <c r="BI237" s="11"/>
      <c r="BJ237" s="12"/>
      <c r="BK237" s="12"/>
      <c r="BL237" s="11"/>
      <c r="BM237" s="13"/>
      <c r="BN237" s="11"/>
      <c r="BO237" s="11"/>
      <c r="BP237" s="13"/>
      <c r="BQ237" s="11"/>
      <c r="BR237" s="12"/>
      <c r="BS237" s="12"/>
      <c r="BT237" s="11"/>
      <c r="BU237" s="13"/>
      <c r="BV237" s="11"/>
      <c r="BW237" s="11"/>
      <c r="BX237" s="13"/>
      <c r="BY237" s="11"/>
      <c r="BZ237" s="12"/>
      <c r="CA237" s="12"/>
      <c r="CB237" s="11"/>
      <c r="CC237" s="13"/>
      <c r="CD237" s="11"/>
      <c r="CE237" s="11"/>
      <c r="CF237" s="13"/>
      <c r="CG237" s="11"/>
      <c r="CH237" s="12"/>
      <c r="CI237" s="12"/>
      <c r="CJ237" s="11"/>
      <c r="CK237" s="13"/>
      <c r="CL237" s="11"/>
      <c r="CM237" s="11"/>
      <c r="CN237" s="13"/>
      <c r="CO237" s="11"/>
      <c r="CP237" s="12"/>
      <c r="CQ237" s="12"/>
      <c r="CR237" s="11"/>
      <c r="CS237" s="13"/>
      <c r="CT237" s="11"/>
      <c r="CU237" s="11"/>
      <c r="CV237" s="13"/>
      <c r="CW237" s="11"/>
      <c r="CX237" s="12"/>
      <c r="CY237" s="12"/>
      <c r="CZ237" s="11"/>
      <c r="DA237" s="13"/>
      <c r="DB237" s="11"/>
      <c r="DC237" s="11"/>
      <c r="DD237" s="13"/>
      <c r="DE237" s="11"/>
      <c r="DF237" s="12"/>
      <c r="DG237" s="12"/>
      <c r="DH237" s="11"/>
      <c r="DI237" s="13"/>
      <c r="DJ237" s="11"/>
      <c r="DK237" s="11"/>
      <c r="DL237" s="13"/>
      <c r="DM237" s="11"/>
      <c r="DN237" s="12"/>
      <c r="DO237" s="12"/>
      <c r="DP237" s="11"/>
      <c r="DQ237" s="13"/>
      <c r="DR237" s="11"/>
      <c r="DS237" s="11"/>
      <c r="DT237" s="13"/>
      <c r="DU237" s="11"/>
      <c r="DV237" s="12"/>
      <c r="DW237" s="12"/>
      <c r="DX237" s="11"/>
      <c r="DY237" s="13"/>
      <c r="DZ237" s="11"/>
      <c r="EA237" s="11"/>
      <c r="EB237" s="13"/>
      <c r="EC237" s="11"/>
      <c r="ED237" s="12"/>
      <c r="EE237" s="12"/>
      <c r="EF237" s="11"/>
      <c r="EG237" s="13"/>
      <c r="EH237" s="11"/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/>
      <c r="GC237" s="13"/>
      <c r="GD237" s="11"/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/>
      <c r="GS237" s="13"/>
      <c r="GT237" s="11"/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/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/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/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  <c r="LH237" s="11"/>
      <c r="LI237" s="13"/>
      <c r="LJ237" s="11"/>
      <c r="LK237" s="11"/>
      <c r="LL237" s="13"/>
      <c r="LM237" s="11"/>
      <c r="LN237" s="12"/>
      <c r="LO237" s="12"/>
      <c r="LP237" s="11"/>
      <c r="LQ237" s="13"/>
      <c r="LR237" s="11"/>
      <c r="LS237" s="11"/>
      <c r="LT237" s="13"/>
      <c r="LU237" s="11"/>
      <c r="LV237" s="12"/>
      <c r="LW237" s="12"/>
    </row>
    <row r="238">
      <c r="A238" s="10" t="s">
        <v>181</v>
      </c>
      <c r="B238" s="10" t="s">
        <v>113</v>
      </c>
      <c r="C238" s="10" t="s">
        <v>183</v>
      </c>
      <c r="D238" s="11">
        <v>430</v>
      </c>
      <c r="E238" s="11">
        <f>=ROUNDDOWN(18.695652173913,0)</f>
      </c>
      <c r="F238" s="11">
        <v>380</v>
      </c>
      <c r="G238" s="12">
        <v>1</v>
      </c>
      <c r="H238" s="11"/>
      <c r="I238" s="11">
        <f>=ROUNDDOWN({0},0)</f>
      </c>
      <c r="J238" s="11"/>
      <c r="K238" s="12"/>
      <c r="L238" s="11">
        <v>210</v>
      </c>
      <c r="M238" s="13">
        <v>5359.82</v>
      </c>
      <c r="N238" s="11">
        <v>2</v>
      </c>
      <c r="O238" s="14">
        <v>2679.91</v>
      </c>
      <c r="P238" s="11"/>
      <c r="Q238" s="13"/>
      <c r="R238" s="11"/>
      <c r="S238" s="14"/>
      <c r="T238" s="12"/>
      <c r="U238" s="12"/>
      <c r="V238" s="12"/>
      <c r="W238" s="12"/>
      <c r="X238" s="11">
        <v>34</v>
      </c>
      <c r="Y238" s="13">
        <v>759.14</v>
      </c>
      <c r="Z238" s="11">
        <v>2</v>
      </c>
      <c r="AA238" s="11"/>
      <c r="AB238" s="13"/>
      <c r="AC238" s="11"/>
      <c r="AD238" s="12"/>
      <c r="AE238" s="12"/>
      <c r="AF238" s="11">
        <v>2</v>
      </c>
      <c r="AG238" s="13">
        <v>36.29</v>
      </c>
      <c r="AH238" s="11">
        <v>2</v>
      </c>
      <c r="AI238" s="11"/>
      <c r="AJ238" s="13"/>
      <c r="AK238" s="11"/>
      <c r="AL238" s="12"/>
      <c r="AM238" s="12"/>
      <c r="AN238" s="11"/>
      <c r="AO238" s="13"/>
      <c r="AP238" s="11">
        <v>2</v>
      </c>
      <c r="AQ238" s="11"/>
      <c r="AR238" s="13"/>
      <c r="AS238" s="11"/>
      <c r="AT238" s="12"/>
      <c r="AU238" s="12"/>
      <c r="AV238" s="11"/>
      <c r="AW238" s="13"/>
      <c r="AX238" s="11"/>
      <c r="AY238" s="11"/>
      <c r="AZ238" s="13"/>
      <c r="BA238" s="11"/>
      <c r="BB238" s="12"/>
      <c r="BC238" s="12"/>
      <c r="BD238" s="11">
        <v>115</v>
      </c>
      <c r="BE238" s="13">
        <v>2793.35</v>
      </c>
      <c r="BF238" s="11">
        <v>2</v>
      </c>
      <c r="BG238" s="11"/>
      <c r="BH238" s="13"/>
      <c r="BI238" s="11"/>
      <c r="BJ238" s="12"/>
      <c r="BK238" s="12"/>
      <c r="BL238" s="11">
        <v>10</v>
      </c>
      <c r="BM238" s="13">
        <v>239.2</v>
      </c>
      <c r="BN238" s="11">
        <v>2</v>
      </c>
      <c r="BO238" s="11"/>
      <c r="BP238" s="13"/>
      <c r="BQ238" s="11"/>
      <c r="BR238" s="12"/>
      <c r="BS238" s="12"/>
      <c r="BT238" s="11">
        <v>9</v>
      </c>
      <c r="BU238" s="13">
        <v>224.77</v>
      </c>
      <c r="BV238" s="11">
        <v>2</v>
      </c>
      <c r="BW238" s="11"/>
      <c r="BX238" s="13"/>
      <c r="BY238" s="11"/>
      <c r="BZ238" s="12"/>
      <c r="CA238" s="12"/>
      <c r="CB238" s="11">
        <v>15</v>
      </c>
      <c r="CC238" s="13">
        <v>357.15</v>
      </c>
      <c r="CD238" s="11">
        <v>2</v>
      </c>
      <c r="CE238" s="11"/>
      <c r="CF238" s="13"/>
      <c r="CG238" s="11"/>
      <c r="CH238" s="12"/>
      <c r="CI238" s="12"/>
      <c r="CJ238" s="11">
        <v>24</v>
      </c>
      <c r="CK238" s="13">
        <v>928.92</v>
      </c>
      <c r="CL238" s="11">
        <v>2</v>
      </c>
      <c r="CM238" s="11"/>
      <c r="CN238" s="13"/>
      <c r="CO238" s="11"/>
      <c r="CP238" s="12"/>
      <c r="CQ238" s="12"/>
      <c r="CR238" s="11"/>
      <c r="CS238" s="13"/>
      <c r="CT238" s="11"/>
      <c r="CU238" s="11"/>
      <c r="CV238" s="13"/>
      <c r="CW238" s="11"/>
      <c r="CX238" s="12"/>
      <c r="CY238" s="12"/>
      <c r="CZ238" s="11"/>
      <c r="DA238" s="13"/>
      <c r="DB238" s="11"/>
      <c r="DC238" s="11"/>
      <c r="DD238" s="13"/>
      <c r="DE238" s="11"/>
      <c r="DF238" s="12"/>
      <c r="DG238" s="12"/>
      <c r="DH238" s="11"/>
      <c r="DI238" s="13"/>
      <c r="DJ238" s="11"/>
      <c r="DK238" s="11"/>
      <c r="DL238" s="13"/>
      <c r="DM238" s="11"/>
      <c r="DN238" s="12"/>
      <c r="DO238" s="12"/>
      <c r="DP238" s="11"/>
      <c r="DQ238" s="13"/>
      <c r="DR238" s="11">
        <v>2</v>
      </c>
      <c r="DS238" s="11"/>
      <c r="DT238" s="13"/>
      <c r="DU238" s="11"/>
      <c r="DV238" s="12"/>
      <c r="DW238" s="12"/>
      <c r="DX238" s="11"/>
      <c r="DY238" s="13"/>
      <c r="DZ238" s="11"/>
      <c r="EA238" s="11"/>
      <c r="EB238" s="13"/>
      <c r="EC238" s="11"/>
      <c r="ED238" s="12"/>
      <c r="EE238" s="12"/>
      <c r="EF238" s="11"/>
      <c r="EG238" s="13"/>
      <c r="EH238" s="11"/>
      <c r="EI238" s="11"/>
      <c r="EJ238" s="13"/>
      <c r="EK238" s="11"/>
      <c r="EL238" s="12"/>
      <c r="EM238" s="12"/>
      <c r="EN238" s="11"/>
      <c r="EO238" s="13"/>
      <c r="EP238" s="11">
        <v>2</v>
      </c>
      <c r="EQ238" s="11"/>
      <c r="ER238" s="13"/>
      <c r="ES238" s="11"/>
      <c r="ET238" s="12"/>
      <c r="EU238" s="12"/>
      <c r="EV238" s="11">
        <v>1</v>
      </c>
      <c r="EW238" s="13">
        <v>21</v>
      </c>
      <c r="EX238" s="11">
        <v>2</v>
      </c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/>
      <c r="GS238" s="13"/>
      <c r="GT238" s="11">
        <v>2</v>
      </c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/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>
        <v>2</v>
      </c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  <c r="LH238" s="11"/>
      <c r="LI238" s="13"/>
      <c r="LJ238" s="11"/>
      <c r="LK238" s="11"/>
      <c r="LL238" s="13"/>
      <c r="LM238" s="11"/>
      <c r="LN238" s="12"/>
      <c r="LO238" s="12"/>
      <c r="LP238" s="11"/>
      <c r="LQ238" s="13"/>
      <c r="LR238" s="11"/>
      <c r="LS238" s="11"/>
      <c r="LT238" s="13"/>
      <c r="LU238" s="11"/>
      <c r="LV238" s="12"/>
      <c r="LW238" s="12"/>
    </row>
    <row r="239">
      <c r="A239" s="10" t="s">
        <v>181</v>
      </c>
      <c r="B239" s="10" t="s">
        <v>113</v>
      </c>
      <c r="C239" s="10" t="s">
        <v>182</v>
      </c>
      <c r="D239" s="11">
        <v>51600</v>
      </c>
      <c r="E239" s="11">
        <f>=ROUNDDOWN(36.0083740404745,0)</f>
      </c>
      <c r="F239" s="11">
        <v>17854</v>
      </c>
      <c r="G239" s="12">
        <v>0.9219</v>
      </c>
      <c r="H239" s="11"/>
      <c r="I239" s="11">
        <f>=ROUNDDOWN({0},0)</f>
      </c>
      <c r="J239" s="11"/>
      <c r="K239" s="12"/>
      <c r="L239" s="11">
        <v>19551</v>
      </c>
      <c r="M239" s="13">
        <v>355396.11</v>
      </c>
      <c r="N239" s="11">
        <v>70</v>
      </c>
      <c r="O239" s="14">
        <v>5077.09</v>
      </c>
      <c r="P239" s="11"/>
      <c r="Q239" s="13"/>
      <c r="R239" s="11"/>
      <c r="S239" s="14"/>
      <c r="T239" s="12"/>
      <c r="U239" s="12"/>
      <c r="V239" s="12"/>
      <c r="W239" s="12"/>
      <c r="X239" s="11">
        <v>10624</v>
      </c>
      <c r="Y239" s="13">
        <v>187167.38</v>
      </c>
      <c r="Z239" s="11">
        <v>67</v>
      </c>
      <c r="AA239" s="11"/>
      <c r="AB239" s="13"/>
      <c r="AC239" s="11"/>
      <c r="AD239" s="12"/>
      <c r="AE239" s="12"/>
      <c r="AF239" s="11">
        <v>1553</v>
      </c>
      <c r="AG239" s="13">
        <v>27282.85</v>
      </c>
      <c r="AH239" s="11">
        <v>70</v>
      </c>
      <c r="AI239" s="11"/>
      <c r="AJ239" s="13"/>
      <c r="AK239" s="11"/>
      <c r="AL239" s="12"/>
      <c r="AM239" s="12"/>
      <c r="AN239" s="11">
        <v>2536</v>
      </c>
      <c r="AO239" s="13">
        <v>44046.4</v>
      </c>
      <c r="AP239" s="11">
        <v>70</v>
      </c>
      <c r="AQ239" s="11"/>
      <c r="AR239" s="13"/>
      <c r="AS239" s="11"/>
      <c r="AT239" s="12"/>
      <c r="AU239" s="12"/>
      <c r="AV239" s="11">
        <v>1638</v>
      </c>
      <c r="AW239" s="13">
        <v>31582.94</v>
      </c>
      <c r="AX239" s="11">
        <v>43</v>
      </c>
      <c r="AY239" s="11"/>
      <c r="AZ239" s="13"/>
      <c r="BA239" s="11"/>
      <c r="BB239" s="12"/>
      <c r="BC239" s="12"/>
      <c r="BD239" s="11">
        <v>1637</v>
      </c>
      <c r="BE239" s="13">
        <v>33790.45</v>
      </c>
      <c r="BF239" s="11">
        <v>70</v>
      </c>
      <c r="BG239" s="11"/>
      <c r="BH239" s="13"/>
      <c r="BI239" s="11"/>
      <c r="BJ239" s="12"/>
      <c r="BK239" s="12"/>
      <c r="BL239" s="11">
        <v>343</v>
      </c>
      <c r="BM239" s="13">
        <v>6696.03</v>
      </c>
      <c r="BN239" s="11">
        <v>70</v>
      </c>
      <c r="BO239" s="11"/>
      <c r="BP239" s="13"/>
      <c r="BQ239" s="11"/>
      <c r="BR239" s="12"/>
      <c r="BS239" s="12"/>
      <c r="BT239" s="11">
        <v>217</v>
      </c>
      <c r="BU239" s="13">
        <v>4552.62</v>
      </c>
      <c r="BV239" s="11">
        <v>70</v>
      </c>
      <c r="BW239" s="11"/>
      <c r="BX239" s="13"/>
      <c r="BY239" s="11"/>
      <c r="BZ239" s="12"/>
      <c r="CA239" s="12"/>
      <c r="CB239" s="11">
        <v>437</v>
      </c>
      <c r="CC239" s="13">
        <v>8561.31</v>
      </c>
      <c r="CD239" s="11">
        <v>64</v>
      </c>
      <c r="CE239" s="11"/>
      <c r="CF239" s="13"/>
      <c r="CG239" s="11"/>
      <c r="CH239" s="12"/>
      <c r="CI239" s="12"/>
      <c r="CJ239" s="11">
        <v>2</v>
      </c>
      <c r="CK239" s="13">
        <v>47.98</v>
      </c>
      <c r="CL239" s="11">
        <v>70</v>
      </c>
      <c r="CM239" s="11"/>
      <c r="CN239" s="13"/>
      <c r="CO239" s="11"/>
      <c r="CP239" s="12"/>
      <c r="CQ239" s="12"/>
      <c r="CR239" s="11"/>
      <c r="CS239" s="13"/>
      <c r="CT239" s="11"/>
      <c r="CU239" s="11"/>
      <c r="CV239" s="13"/>
      <c r="CW239" s="11"/>
      <c r="CX239" s="12"/>
      <c r="CY239" s="12"/>
      <c r="CZ239" s="11">
        <v>188</v>
      </c>
      <c r="DA239" s="13">
        <v>3645.79</v>
      </c>
      <c r="DB239" s="11">
        <v>41</v>
      </c>
      <c r="DC239" s="11"/>
      <c r="DD239" s="13"/>
      <c r="DE239" s="11"/>
      <c r="DF239" s="12"/>
      <c r="DG239" s="12"/>
      <c r="DH239" s="11"/>
      <c r="DI239" s="13"/>
      <c r="DJ239" s="11"/>
      <c r="DK239" s="11"/>
      <c r="DL239" s="13"/>
      <c r="DM239" s="11"/>
      <c r="DN239" s="12"/>
      <c r="DO239" s="12"/>
      <c r="DP239" s="11">
        <v>3</v>
      </c>
      <c r="DQ239" s="13">
        <v>62.83</v>
      </c>
      <c r="DR239" s="11">
        <v>5</v>
      </c>
      <c r="DS239" s="11"/>
      <c r="DT239" s="13"/>
      <c r="DU239" s="11"/>
      <c r="DV239" s="12"/>
      <c r="DW239" s="12"/>
      <c r="DX239" s="11">
        <v>212</v>
      </c>
      <c r="DY239" s="13">
        <v>4173.29</v>
      </c>
      <c r="DZ239" s="11">
        <v>66</v>
      </c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>
        <v>38</v>
      </c>
      <c r="EO239" s="13">
        <v>1365.82</v>
      </c>
      <c r="EP239" s="11">
        <v>70</v>
      </c>
      <c r="EQ239" s="11"/>
      <c r="ER239" s="13"/>
      <c r="ES239" s="11"/>
      <c r="ET239" s="12"/>
      <c r="EU239" s="12"/>
      <c r="EV239" s="11">
        <v>17</v>
      </c>
      <c r="EW239" s="13">
        <v>344.72</v>
      </c>
      <c r="EX239" s="11">
        <v>32</v>
      </c>
      <c r="EY239" s="11"/>
      <c r="EZ239" s="13"/>
      <c r="FA239" s="11"/>
      <c r="FB239" s="12"/>
      <c r="FC239" s="12"/>
      <c r="FD239" s="11">
        <v>19</v>
      </c>
      <c r="FE239" s="13">
        <v>402.33</v>
      </c>
      <c r="FF239" s="11">
        <v>16</v>
      </c>
      <c r="FG239" s="11"/>
      <c r="FH239" s="13"/>
      <c r="FI239" s="11"/>
      <c r="FJ239" s="12"/>
      <c r="FK239" s="12"/>
      <c r="FL239" s="11">
        <v>19</v>
      </c>
      <c r="FM239" s="13">
        <v>371.59</v>
      </c>
      <c r="FN239" s="11">
        <v>17</v>
      </c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>
        <v>26</v>
      </c>
      <c r="GS239" s="13">
        <v>525.89</v>
      </c>
      <c r="GT239" s="11">
        <v>56</v>
      </c>
      <c r="GU239" s="11"/>
      <c r="GV239" s="13"/>
      <c r="GW239" s="11"/>
      <c r="GX239" s="12"/>
      <c r="GY239" s="12"/>
      <c r="GZ239" s="11"/>
      <c r="HA239" s="13"/>
      <c r="HB239" s="11">
        <v>27</v>
      </c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/>
      <c r="HS239" s="11"/>
      <c r="HT239" s="13"/>
      <c r="HU239" s="11"/>
      <c r="HV239" s="12"/>
      <c r="HW239" s="12"/>
      <c r="HX239" s="11">
        <v>27</v>
      </c>
      <c r="HY239" s="13">
        <v>509.88</v>
      </c>
      <c r="HZ239" s="11">
        <v>19</v>
      </c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>
        <v>15</v>
      </c>
      <c r="IW239" s="13">
        <v>266.01</v>
      </c>
      <c r="IX239" s="11">
        <v>26</v>
      </c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>
        <v>64</v>
      </c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/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  <c r="LH239" s="11"/>
      <c r="LI239" s="13"/>
      <c r="LJ239" s="11"/>
      <c r="LK239" s="11"/>
      <c r="LL239" s="13"/>
      <c r="LM239" s="11"/>
      <c r="LN239" s="12"/>
      <c r="LO239" s="12"/>
      <c r="LP239" s="11"/>
      <c r="LQ239" s="13"/>
      <c r="LR239" s="11"/>
      <c r="LS239" s="11"/>
      <c r="LT239" s="13"/>
      <c r="LU239" s="11"/>
      <c r="LV239" s="12"/>
      <c r="LW239" s="12"/>
    </row>
    <row r="240">
      <c r="A240" s="10" t="s">
        <v>181</v>
      </c>
      <c r="B240" s="10" t="s">
        <v>113</v>
      </c>
      <c r="C240" s="10" t="s">
        <v>189</v>
      </c>
      <c r="D240" s="11"/>
      <c r="E240" s="11">
        <f>=ROUNDDOWN({0},0)</f>
      </c>
      <c r="F240" s="11"/>
      <c r="G240" s="12"/>
      <c r="H240" s="11"/>
      <c r="I240" s="11">
        <f>=ROUNDDOWN({0},0)</f>
      </c>
      <c r="J240" s="11"/>
      <c r="K240" s="12"/>
      <c r="L240" s="11"/>
      <c r="M240" s="13"/>
      <c r="N240" s="11"/>
      <c r="O240" s="14"/>
      <c r="P240" s="11"/>
      <c r="Q240" s="13"/>
      <c r="R240" s="11"/>
      <c r="S240" s="14"/>
      <c r="T240" s="12"/>
      <c r="U240" s="12"/>
      <c r="V240" s="12"/>
      <c r="W240" s="12"/>
      <c r="X240" s="11"/>
      <c r="Y240" s="13"/>
      <c r="Z240" s="11"/>
      <c r="AA240" s="11"/>
      <c r="AB240" s="13"/>
      <c r="AC240" s="11"/>
      <c r="AD240" s="12"/>
      <c r="AE240" s="12"/>
      <c r="AF240" s="11"/>
      <c r="AG240" s="13"/>
      <c r="AH240" s="11"/>
      <c r="AI240" s="11"/>
      <c r="AJ240" s="13"/>
      <c r="AK240" s="11"/>
      <c r="AL240" s="12"/>
      <c r="AM240" s="12"/>
      <c r="AN240" s="11"/>
      <c r="AO240" s="13"/>
      <c r="AP240" s="11"/>
      <c r="AQ240" s="11"/>
      <c r="AR240" s="13"/>
      <c r="AS240" s="11"/>
      <c r="AT240" s="12"/>
      <c r="AU240" s="12"/>
      <c r="AV240" s="11"/>
      <c r="AW240" s="13"/>
      <c r="AX240" s="11"/>
      <c r="AY240" s="11"/>
      <c r="AZ240" s="13"/>
      <c r="BA240" s="11"/>
      <c r="BB240" s="12"/>
      <c r="BC240" s="12"/>
      <c r="BD240" s="11"/>
      <c r="BE240" s="13"/>
      <c r="BF240" s="11"/>
      <c r="BG240" s="11"/>
      <c r="BH240" s="13"/>
      <c r="BI240" s="11"/>
      <c r="BJ240" s="12"/>
      <c r="BK240" s="12"/>
      <c r="BL240" s="11"/>
      <c r="BM240" s="13"/>
      <c r="BN240" s="11"/>
      <c r="BO240" s="11"/>
      <c r="BP240" s="13"/>
      <c r="BQ240" s="11"/>
      <c r="BR240" s="12"/>
      <c r="BS240" s="12"/>
      <c r="BT240" s="11"/>
      <c r="BU240" s="13"/>
      <c r="BV240" s="11"/>
      <c r="BW240" s="11"/>
      <c r="BX240" s="13"/>
      <c r="BY240" s="11"/>
      <c r="BZ240" s="12"/>
      <c r="CA240" s="12"/>
      <c r="CB240" s="11"/>
      <c r="CC240" s="13"/>
      <c r="CD240" s="11"/>
      <c r="CE240" s="11"/>
      <c r="CF240" s="13"/>
      <c r="CG240" s="11"/>
      <c r="CH240" s="12"/>
      <c r="CI240" s="12"/>
      <c r="CJ240" s="11"/>
      <c r="CK240" s="13"/>
      <c r="CL240" s="11"/>
      <c r="CM240" s="11"/>
      <c r="CN240" s="13"/>
      <c r="CO240" s="11"/>
      <c r="CP240" s="12"/>
      <c r="CQ240" s="12"/>
      <c r="CR240" s="11"/>
      <c r="CS240" s="13"/>
      <c r="CT240" s="11"/>
      <c r="CU240" s="11"/>
      <c r="CV240" s="13"/>
      <c r="CW240" s="11"/>
      <c r="CX240" s="12"/>
      <c r="CY240" s="12"/>
      <c r="CZ240" s="11"/>
      <c r="DA240" s="13"/>
      <c r="DB240" s="11"/>
      <c r="DC240" s="11"/>
      <c r="DD240" s="13"/>
      <c r="DE240" s="11"/>
      <c r="DF240" s="12"/>
      <c r="DG240" s="12"/>
      <c r="DH240" s="11"/>
      <c r="DI240" s="13"/>
      <c r="DJ240" s="11"/>
      <c r="DK240" s="11"/>
      <c r="DL240" s="13"/>
      <c r="DM240" s="11"/>
      <c r="DN240" s="12"/>
      <c r="DO240" s="12"/>
      <c r="DP240" s="11"/>
      <c r="DQ240" s="13"/>
      <c r="DR240" s="11"/>
      <c r="DS240" s="11"/>
      <c r="DT240" s="13"/>
      <c r="DU240" s="11"/>
      <c r="DV240" s="12"/>
      <c r="DW240" s="12"/>
      <c r="DX240" s="11"/>
      <c r="DY240" s="13"/>
      <c r="DZ240" s="11"/>
      <c r="EA240" s="11"/>
      <c r="EB240" s="13"/>
      <c r="EC240" s="11"/>
      <c r="ED240" s="12"/>
      <c r="EE240" s="12"/>
      <c r="EF240" s="11"/>
      <c r="EG240" s="13"/>
      <c r="EH240" s="11"/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/>
      <c r="EW240" s="13"/>
      <c r="EX240" s="11"/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/>
      <c r="GS240" s="13"/>
      <c r="GT240" s="11"/>
      <c r="GU240" s="11"/>
      <c r="GV240" s="13"/>
      <c r="GW240" s="11"/>
      <c r="GX240" s="12"/>
      <c r="GY240" s="12"/>
      <c r="GZ240" s="11"/>
      <c r="HA240" s="13"/>
      <c r="HB240" s="11"/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/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/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  <c r="LH240" s="11"/>
      <c r="LI240" s="13"/>
      <c r="LJ240" s="11"/>
      <c r="LK240" s="11"/>
      <c r="LL240" s="13"/>
      <c r="LM240" s="11"/>
      <c r="LN240" s="12"/>
      <c r="LO240" s="12"/>
      <c r="LP240" s="11"/>
      <c r="LQ240" s="13"/>
      <c r="LR240" s="11"/>
      <c r="LS240" s="11"/>
      <c r="LT240" s="13"/>
      <c r="LU240" s="11"/>
      <c r="LV240" s="12"/>
      <c r="LW240" s="12"/>
    </row>
    <row r="241">
      <c r="A241" s="10" t="s">
        <v>181</v>
      </c>
      <c r="B241" s="10" t="s">
        <v>113</v>
      </c>
      <c r="C241" s="10" t="s">
        <v>186</v>
      </c>
      <c r="D241" s="11">
        <v>9975</v>
      </c>
      <c r="E241" s="11">
        <f>=ROUNDDOWN(24.0072202166065,0)</f>
      </c>
      <c r="F241" s="11">
        <v>6400</v>
      </c>
      <c r="G241" s="12">
        <v>0.7358</v>
      </c>
      <c r="H241" s="11"/>
      <c r="I241" s="11">
        <f>=ROUNDDOWN({0},0)</f>
      </c>
      <c r="J241" s="11"/>
      <c r="K241" s="12"/>
      <c r="L241" s="11">
        <v>4707</v>
      </c>
      <c r="M241" s="13">
        <v>171232.68</v>
      </c>
      <c r="N241" s="11">
        <v>10</v>
      </c>
      <c r="O241" s="14">
        <v>17123.27</v>
      </c>
      <c r="P241" s="11"/>
      <c r="Q241" s="13"/>
      <c r="R241" s="11"/>
      <c r="S241" s="14"/>
      <c r="T241" s="12"/>
      <c r="U241" s="12"/>
      <c r="V241" s="12"/>
      <c r="W241" s="12"/>
      <c r="X241" s="11">
        <v>3009</v>
      </c>
      <c r="Y241" s="13">
        <v>112778.25</v>
      </c>
      <c r="Z241" s="11">
        <v>10</v>
      </c>
      <c r="AA241" s="11"/>
      <c r="AB241" s="13"/>
      <c r="AC241" s="11"/>
      <c r="AD241" s="12"/>
      <c r="AE241" s="12"/>
      <c r="AF241" s="11">
        <v>250</v>
      </c>
      <c r="AG241" s="13">
        <v>7498.67</v>
      </c>
      <c r="AH241" s="11">
        <v>10</v>
      </c>
      <c r="AI241" s="11"/>
      <c r="AJ241" s="13"/>
      <c r="AK241" s="11"/>
      <c r="AL241" s="12"/>
      <c r="AM241" s="12"/>
      <c r="AN241" s="11">
        <v>654</v>
      </c>
      <c r="AO241" s="13">
        <v>21843.85</v>
      </c>
      <c r="AP241" s="11">
        <v>10</v>
      </c>
      <c r="AQ241" s="11"/>
      <c r="AR241" s="13"/>
      <c r="AS241" s="11"/>
      <c r="AT241" s="12"/>
      <c r="AU241" s="12"/>
      <c r="AV241" s="11">
        <v>111</v>
      </c>
      <c r="AW241" s="13">
        <v>4000.95</v>
      </c>
      <c r="AX241" s="11">
        <v>7</v>
      </c>
      <c r="AY241" s="11"/>
      <c r="AZ241" s="13"/>
      <c r="BA241" s="11"/>
      <c r="BB241" s="12"/>
      <c r="BC241" s="12"/>
      <c r="BD241" s="11">
        <v>265</v>
      </c>
      <c r="BE241" s="13">
        <v>9408.15</v>
      </c>
      <c r="BF241" s="11">
        <v>10</v>
      </c>
      <c r="BG241" s="11"/>
      <c r="BH241" s="13"/>
      <c r="BI241" s="11"/>
      <c r="BJ241" s="12"/>
      <c r="BK241" s="12"/>
      <c r="BL241" s="11">
        <v>127</v>
      </c>
      <c r="BM241" s="13">
        <v>4838.71</v>
      </c>
      <c r="BN241" s="11">
        <v>10</v>
      </c>
      <c r="BO241" s="11"/>
      <c r="BP241" s="13"/>
      <c r="BQ241" s="11"/>
      <c r="BR241" s="12"/>
      <c r="BS241" s="12"/>
      <c r="BT241" s="11">
        <v>71</v>
      </c>
      <c r="BU241" s="13">
        <v>2695.93</v>
      </c>
      <c r="BV241" s="11">
        <v>10</v>
      </c>
      <c r="BW241" s="11"/>
      <c r="BX241" s="13"/>
      <c r="BY241" s="11"/>
      <c r="BZ241" s="12"/>
      <c r="CA241" s="12"/>
      <c r="CB241" s="11">
        <v>179</v>
      </c>
      <c r="CC241" s="13">
        <v>6482.16</v>
      </c>
      <c r="CD241" s="11">
        <v>10</v>
      </c>
      <c r="CE241" s="11"/>
      <c r="CF241" s="13"/>
      <c r="CG241" s="11"/>
      <c r="CH241" s="12"/>
      <c r="CI241" s="12"/>
      <c r="CJ241" s="11">
        <v>7</v>
      </c>
      <c r="CK241" s="13">
        <v>347.1</v>
      </c>
      <c r="CL241" s="11">
        <v>10</v>
      </c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/>
      <c r="DD241" s="13"/>
      <c r="DE241" s="11"/>
      <c r="DF241" s="12"/>
      <c r="DG241" s="12"/>
      <c r="DH241" s="11"/>
      <c r="DI241" s="13"/>
      <c r="DJ241" s="11"/>
      <c r="DK241" s="11"/>
      <c r="DL241" s="13"/>
      <c r="DM241" s="11"/>
      <c r="DN241" s="12"/>
      <c r="DO241" s="12"/>
      <c r="DP241" s="11">
        <v>7</v>
      </c>
      <c r="DQ241" s="13">
        <v>239.68</v>
      </c>
      <c r="DR241" s="11">
        <v>8</v>
      </c>
      <c r="DS241" s="11"/>
      <c r="DT241" s="13"/>
      <c r="DU241" s="11"/>
      <c r="DV241" s="12"/>
      <c r="DW241" s="12"/>
      <c r="DX241" s="11">
        <v>8</v>
      </c>
      <c r="DY241" s="13">
        <v>274.08</v>
      </c>
      <c r="DZ241" s="11">
        <v>10</v>
      </c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>
        <v>7</v>
      </c>
      <c r="EO241" s="13">
        <v>394.93</v>
      </c>
      <c r="EP241" s="11">
        <v>10</v>
      </c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>
        <v>4</v>
      </c>
      <c r="FE241" s="13">
        <v>145.16</v>
      </c>
      <c r="FF241" s="11">
        <v>4</v>
      </c>
      <c r="FG241" s="11"/>
      <c r="FH241" s="13"/>
      <c r="FI241" s="11"/>
      <c r="FJ241" s="12"/>
      <c r="FK241" s="12"/>
      <c r="FL241" s="11"/>
      <c r="FM241" s="13"/>
      <c r="FN241" s="11">
        <v>2</v>
      </c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>
        <v>1</v>
      </c>
      <c r="GS241" s="13">
        <v>38.1</v>
      </c>
      <c r="GT241" s="11">
        <v>10</v>
      </c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>
        <v>3</v>
      </c>
      <c r="HY241" s="13">
        <v>105.84</v>
      </c>
      <c r="HZ241" s="11">
        <v>4</v>
      </c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>
        <v>4</v>
      </c>
      <c r="IW241" s="13">
        <v>141.12</v>
      </c>
      <c r="IX241" s="11">
        <v>5</v>
      </c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>
        <v>6</v>
      </c>
      <c r="JW241" s="11"/>
      <c r="JX241" s="13"/>
      <c r="JY241" s="11"/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  <c r="LH241" s="11"/>
      <c r="LI241" s="13"/>
      <c r="LJ241" s="11"/>
      <c r="LK241" s="11"/>
      <c r="LL241" s="13"/>
      <c r="LM241" s="11"/>
      <c r="LN241" s="12"/>
      <c r="LO241" s="12"/>
      <c r="LP241" s="11"/>
      <c r="LQ241" s="13"/>
      <c r="LR241" s="11"/>
      <c r="LS241" s="11"/>
      <c r="LT241" s="13"/>
      <c r="LU241" s="11"/>
      <c r="LV241" s="12"/>
      <c r="LW241" s="12"/>
    </row>
    <row r="242">
      <c r="A242" s="10" t="s">
        <v>181</v>
      </c>
      <c r="B242" s="10" t="s">
        <v>113</v>
      </c>
      <c r="C242" s="10" t="s">
        <v>114</v>
      </c>
      <c r="D242" s="11">
        <v>99491</v>
      </c>
      <c r="E242" s="11">
        <f>=ROUNDDOWN(22.7975985884833,0)</f>
      </c>
      <c r="F242" s="11">
        <v>118244</v>
      </c>
      <c r="G242" s="12">
        <v>0.8351</v>
      </c>
      <c r="H242" s="11"/>
      <c r="I242" s="11">
        <f>=ROUNDDOWN({0},0)</f>
      </c>
      <c r="J242" s="11"/>
      <c r="K242" s="12"/>
      <c r="L242" s="11">
        <v>57408</v>
      </c>
      <c r="M242" s="13">
        <v>948523.34</v>
      </c>
      <c r="N242" s="11">
        <v>83</v>
      </c>
      <c r="O242" s="14">
        <v>11427.99</v>
      </c>
      <c r="P242" s="11"/>
      <c r="Q242" s="13"/>
      <c r="R242" s="11"/>
      <c r="S242" s="14"/>
      <c r="T242" s="12"/>
      <c r="U242" s="12"/>
      <c r="V242" s="12"/>
      <c r="W242" s="12"/>
      <c r="X242" s="11">
        <v>38363</v>
      </c>
      <c r="Y242" s="13">
        <v>634069.69</v>
      </c>
      <c r="Z242" s="11">
        <v>79</v>
      </c>
      <c r="AA242" s="11"/>
      <c r="AB242" s="13"/>
      <c r="AC242" s="11"/>
      <c r="AD242" s="12"/>
      <c r="AE242" s="12"/>
      <c r="AF242" s="11">
        <v>1332</v>
      </c>
      <c r="AG242" s="13">
        <v>19547.37</v>
      </c>
      <c r="AH242" s="11">
        <v>80</v>
      </c>
      <c r="AI242" s="11"/>
      <c r="AJ242" s="13"/>
      <c r="AK242" s="11"/>
      <c r="AL242" s="12"/>
      <c r="AM242" s="12"/>
      <c r="AN242" s="11">
        <v>6552</v>
      </c>
      <c r="AO242" s="13">
        <v>102081.23</v>
      </c>
      <c r="AP242" s="11">
        <v>80</v>
      </c>
      <c r="AQ242" s="11"/>
      <c r="AR242" s="13"/>
      <c r="AS242" s="11"/>
      <c r="AT242" s="12"/>
      <c r="AU242" s="12"/>
      <c r="AV242" s="11">
        <v>2349</v>
      </c>
      <c r="AW242" s="13">
        <v>40982.22</v>
      </c>
      <c r="AX242" s="11">
        <v>41</v>
      </c>
      <c r="AY242" s="11"/>
      <c r="AZ242" s="13"/>
      <c r="BA242" s="11"/>
      <c r="BB242" s="12"/>
      <c r="BC242" s="12"/>
      <c r="BD242" s="11">
        <v>4725</v>
      </c>
      <c r="BE242" s="13">
        <v>81540.58</v>
      </c>
      <c r="BF242" s="11">
        <v>75</v>
      </c>
      <c r="BG242" s="11"/>
      <c r="BH242" s="13"/>
      <c r="BI242" s="11"/>
      <c r="BJ242" s="12"/>
      <c r="BK242" s="12"/>
      <c r="BL242" s="11">
        <v>852</v>
      </c>
      <c r="BM242" s="13">
        <v>14505.76</v>
      </c>
      <c r="BN242" s="11">
        <v>80</v>
      </c>
      <c r="BO242" s="11"/>
      <c r="BP242" s="13"/>
      <c r="BQ242" s="11"/>
      <c r="BR242" s="12"/>
      <c r="BS242" s="12"/>
      <c r="BT242" s="11">
        <v>546</v>
      </c>
      <c r="BU242" s="13">
        <v>9982.47</v>
      </c>
      <c r="BV242" s="11">
        <v>80</v>
      </c>
      <c r="BW242" s="11"/>
      <c r="BX242" s="13"/>
      <c r="BY242" s="11"/>
      <c r="BZ242" s="12"/>
      <c r="CA242" s="12"/>
      <c r="CB242" s="11">
        <v>1649</v>
      </c>
      <c r="CC242" s="13">
        <v>26171.51</v>
      </c>
      <c r="CD242" s="11">
        <v>73</v>
      </c>
      <c r="CE242" s="11"/>
      <c r="CF242" s="13"/>
      <c r="CG242" s="11"/>
      <c r="CH242" s="12"/>
      <c r="CI242" s="12"/>
      <c r="CJ242" s="11">
        <v>36</v>
      </c>
      <c r="CK242" s="13">
        <v>1172.19</v>
      </c>
      <c r="CL242" s="11">
        <v>80</v>
      </c>
      <c r="CM242" s="11"/>
      <c r="CN242" s="13"/>
      <c r="CO242" s="11"/>
      <c r="CP242" s="12"/>
      <c r="CQ242" s="12"/>
      <c r="CR242" s="11"/>
      <c r="CS242" s="13"/>
      <c r="CT242" s="11"/>
      <c r="CU242" s="11"/>
      <c r="CV242" s="13"/>
      <c r="CW242" s="11"/>
      <c r="CX242" s="12"/>
      <c r="CY242" s="12"/>
      <c r="CZ242" s="11">
        <v>35</v>
      </c>
      <c r="DA242" s="13">
        <v>616.57</v>
      </c>
      <c r="DB242" s="11">
        <v>12</v>
      </c>
      <c r="DC242" s="11"/>
      <c r="DD242" s="13"/>
      <c r="DE242" s="11"/>
      <c r="DF242" s="12"/>
      <c r="DG242" s="12"/>
      <c r="DH242" s="11"/>
      <c r="DI242" s="13"/>
      <c r="DJ242" s="11"/>
      <c r="DK242" s="11"/>
      <c r="DL242" s="13"/>
      <c r="DM242" s="11"/>
      <c r="DN242" s="12"/>
      <c r="DO242" s="12"/>
      <c r="DP242" s="11"/>
      <c r="DQ242" s="13"/>
      <c r="DR242" s="11">
        <v>4</v>
      </c>
      <c r="DS242" s="11"/>
      <c r="DT242" s="13"/>
      <c r="DU242" s="11"/>
      <c r="DV242" s="12"/>
      <c r="DW242" s="12"/>
      <c r="DX242" s="11">
        <v>507</v>
      </c>
      <c r="DY242" s="13">
        <v>8699.31</v>
      </c>
      <c r="DZ242" s="11">
        <v>72</v>
      </c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>
        <v>120</v>
      </c>
      <c r="EO242" s="13">
        <v>3617</v>
      </c>
      <c r="EP242" s="11">
        <v>80</v>
      </c>
      <c r="EQ242" s="11"/>
      <c r="ER242" s="13"/>
      <c r="ES242" s="11"/>
      <c r="ET242" s="12"/>
      <c r="EU242" s="12"/>
      <c r="EV242" s="11">
        <v>101</v>
      </c>
      <c r="EW242" s="13">
        <v>1650.55</v>
      </c>
      <c r="EX242" s="11">
        <v>30</v>
      </c>
      <c r="EY242" s="11"/>
      <c r="EZ242" s="13"/>
      <c r="FA242" s="11"/>
      <c r="FB242" s="12"/>
      <c r="FC242" s="12"/>
      <c r="FD242" s="11">
        <v>82</v>
      </c>
      <c r="FE242" s="13">
        <v>1167.5</v>
      </c>
      <c r="FF242" s="11">
        <v>13</v>
      </c>
      <c r="FG242" s="11"/>
      <c r="FH242" s="13"/>
      <c r="FI242" s="11"/>
      <c r="FJ242" s="12"/>
      <c r="FK242" s="12"/>
      <c r="FL242" s="11">
        <v>68</v>
      </c>
      <c r="FM242" s="13">
        <v>1337.41</v>
      </c>
      <c r="FN242" s="11">
        <v>23</v>
      </c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/>
      <c r="GM242" s="11"/>
      <c r="GN242" s="13"/>
      <c r="GO242" s="11"/>
      <c r="GP242" s="12"/>
      <c r="GQ242" s="12"/>
      <c r="GR242" s="11">
        <v>10</v>
      </c>
      <c r="GS242" s="13">
        <v>171.37</v>
      </c>
      <c r="GT242" s="11">
        <v>57</v>
      </c>
      <c r="GU242" s="11"/>
      <c r="GV242" s="13"/>
      <c r="GW242" s="11"/>
      <c r="GX242" s="12"/>
      <c r="GY242" s="12"/>
      <c r="GZ242" s="11">
        <v>34</v>
      </c>
      <c r="HA242" s="13">
        <v>537.05</v>
      </c>
      <c r="HB242" s="11">
        <v>12</v>
      </c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/>
      <c r="HS242" s="11"/>
      <c r="HT242" s="13"/>
      <c r="HU242" s="11"/>
      <c r="HV242" s="12"/>
      <c r="HW242" s="12"/>
      <c r="HX242" s="11">
        <v>38</v>
      </c>
      <c r="HY242" s="13">
        <v>532.06</v>
      </c>
      <c r="HZ242" s="11">
        <v>19</v>
      </c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>
        <v>9</v>
      </c>
      <c r="IW242" s="13">
        <v>141.5</v>
      </c>
      <c r="IX242" s="11">
        <v>32</v>
      </c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>
        <v>43</v>
      </c>
      <c r="JW242" s="11"/>
      <c r="JX242" s="13"/>
      <c r="JY242" s="11"/>
      <c r="JZ242" s="12"/>
      <c r="KA242" s="12"/>
      <c r="KB242" s="11"/>
      <c r="KC242" s="13"/>
      <c r="KD242" s="11"/>
      <c r="KE242" s="11"/>
      <c r="KF242" s="13"/>
      <c r="KG242" s="11"/>
      <c r="KH242" s="12"/>
      <c r="KI242" s="12"/>
      <c r="KJ242" s="11"/>
      <c r="KK242" s="13"/>
      <c r="KL242" s="11"/>
      <c r="KM242" s="11"/>
      <c r="KN242" s="13"/>
      <c r="KO242" s="11"/>
      <c r="KP242" s="12"/>
      <c r="KQ242" s="12"/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  <c r="LH242" s="11"/>
      <c r="LI242" s="13"/>
      <c r="LJ242" s="11"/>
      <c r="LK242" s="11"/>
      <c r="LL242" s="13"/>
      <c r="LM242" s="11"/>
      <c r="LN242" s="12"/>
      <c r="LO242" s="12"/>
      <c r="LP242" s="11"/>
      <c r="LQ242" s="13"/>
      <c r="LR242" s="11"/>
      <c r="LS242" s="11"/>
      <c r="LT242" s="13"/>
      <c r="LU242" s="11"/>
      <c r="LV242" s="12"/>
      <c r="LW242" s="12"/>
    </row>
    <row r="243">
      <c r="A243" s="10" t="s">
        <v>181</v>
      </c>
      <c r="B243" s="10" t="s">
        <v>116</v>
      </c>
      <c r="C243" s="10" t="s">
        <v>77</v>
      </c>
      <c r="D243" s="11">
        <v>161496</v>
      </c>
      <c r="E243" s="11">
        <f>=ROUNDDOWN({0},0)</f>
      </c>
      <c r="F243" s="11">
        <v>142878</v>
      </c>
      <c r="G243" s="12"/>
      <c r="H243" s="11"/>
      <c r="I243" s="11">
        <f>=ROUNDDOWN({0},0)</f>
      </c>
      <c r="J243" s="11"/>
      <c r="K243" s="12"/>
      <c r="L243" s="11">
        <v>81876</v>
      </c>
      <c r="M243" s="13">
        <v>1480511.95</v>
      </c>
      <c r="N243" s="11">
        <v>165</v>
      </c>
      <c r="O243" s="14">
        <v>8972.8</v>
      </c>
      <c r="P243" s="11"/>
      <c r="Q243" s="13"/>
      <c r="R243" s="11"/>
      <c r="S243" s="14"/>
      <c r="T243" s="12"/>
      <c r="U243" s="12"/>
      <c r="V243" s="12"/>
      <c r="W243" s="12"/>
      <c r="X243" s="11">
        <v>52030</v>
      </c>
      <c r="Y243" s="13">
        <v>934774.46</v>
      </c>
      <c r="Z243" s="11">
        <v>158</v>
      </c>
      <c r="AA243" s="11"/>
      <c r="AB243" s="13"/>
      <c r="AC243" s="11"/>
      <c r="AD243" s="12"/>
      <c r="AE243" s="12"/>
      <c r="AF243" s="11">
        <v>3137</v>
      </c>
      <c r="AG243" s="13">
        <v>54365.18</v>
      </c>
      <c r="AH243" s="11">
        <v>162</v>
      </c>
      <c r="AI243" s="11"/>
      <c r="AJ243" s="13"/>
      <c r="AK243" s="11"/>
      <c r="AL243" s="12"/>
      <c r="AM243" s="12"/>
      <c r="AN243" s="11">
        <v>9742</v>
      </c>
      <c r="AO243" s="13">
        <v>167971.48</v>
      </c>
      <c r="AP243" s="11">
        <v>162</v>
      </c>
      <c r="AQ243" s="11"/>
      <c r="AR243" s="13"/>
      <c r="AS243" s="11"/>
      <c r="AT243" s="12"/>
      <c r="AU243" s="12"/>
      <c r="AV243" s="11">
        <v>4098</v>
      </c>
      <c r="AW243" s="13">
        <v>76566.11</v>
      </c>
      <c r="AX243" s="11">
        <v>91</v>
      </c>
      <c r="AY243" s="11"/>
      <c r="AZ243" s="13"/>
      <c r="BA243" s="11"/>
      <c r="BB243" s="12"/>
      <c r="BC243" s="12"/>
      <c r="BD243" s="11">
        <v>6742</v>
      </c>
      <c r="BE243" s="13">
        <v>127532.53</v>
      </c>
      <c r="BF243" s="11">
        <v>157</v>
      </c>
      <c r="BG243" s="11"/>
      <c r="BH243" s="13"/>
      <c r="BI243" s="11"/>
      <c r="BJ243" s="12"/>
      <c r="BK243" s="12"/>
      <c r="BL243" s="11">
        <v>1332</v>
      </c>
      <c r="BM243" s="13">
        <v>26279.7</v>
      </c>
      <c r="BN243" s="11">
        <v>162</v>
      </c>
      <c r="BO243" s="11"/>
      <c r="BP243" s="13"/>
      <c r="BQ243" s="11"/>
      <c r="BR243" s="12"/>
      <c r="BS243" s="12"/>
      <c r="BT243" s="11">
        <v>843</v>
      </c>
      <c r="BU243" s="13">
        <v>17455.79</v>
      </c>
      <c r="BV243" s="11">
        <v>162</v>
      </c>
      <c r="BW243" s="11"/>
      <c r="BX243" s="13"/>
      <c r="BY243" s="11"/>
      <c r="BZ243" s="12"/>
      <c r="CA243" s="12"/>
      <c r="CB243" s="11">
        <v>2280</v>
      </c>
      <c r="CC243" s="13">
        <v>41572.13</v>
      </c>
      <c r="CD243" s="11">
        <v>149</v>
      </c>
      <c r="CE243" s="11"/>
      <c r="CF243" s="13"/>
      <c r="CG243" s="11"/>
      <c r="CH243" s="12"/>
      <c r="CI243" s="12"/>
      <c r="CJ243" s="11">
        <v>69</v>
      </c>
      <c r="CK243" s="13">
        <v>2496.19</v>
      </c>
      <c r="CL243" s="11">
        <v>162</v>
      </c>
      <c r="CM243" s="11"/>
      <c r="CN243" s="13"/>
      <c r="CO243" s="11"/>
      <c r="CP243" s="12"/>
      <c r="CQ243" s="12"/>
      <c r="CR243" s="11"/>
      <c r="CS243" s="13"/>
      <c r="CT243" s="11"/>
      <c r="CU243" s="11"/>
      <c r="CV243" s="13"/>
      <c r="CW243" s="11"/>
      <c r="CX243" s="12"/>
      <c r="CY243" s="12"/>
      <c r="CZ243" s="11">
        <v>223</v>
      </c>
      <c r="DA243" s="13">
        <v>4262.36</v>
      </c>
      <c r="DB243" s="11">
        <v>53</v>
      </c>
      <c r="DC243" s="11"/>
      <c r="DD243" s="13"/>
      <c r="DE243" s="11"/>
      <c r="DF243" s="12"/>
      <c r="DG243" s="12"/>
      <c r="DH243" s="11"/>
      <c r="DI243" s="13"/>
      <c r="DJ243" s="11"/>
      <c r="DK243" s="11"/>
      <c r="DL243" s="13"/>
      <c r="DM243" s="11"/>
      <c r="DN243" s="12"/>
      <c r="DO243" s="12"/>
      <c r="DP243" s="11">
        <v>10</v>
      </c>
      <c r="DQ243" s="13">
        <v>302.51</v>
      </c>
      <c r="DR243" s="11">
        <v>19</v>
      </c>
      <c r="DS243" s="11"/>
      <c r="DT243" s="13"/>
      <c r="DU243" s="11"/>
      <c r="DV243" s="12"/>
      <c r="DW243" s="12"/>
      <c r="DX243" s="11">
        <v>727</v>
      </c>
      <c r="DY243" s="13">
        <v>13146.68</v>
      </c>
      <c r="DZ243" s="11">
        <v>148</v>
      </c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>
        <v>165</v>
      </c>
      <c r="EO243" s="13">
        <v>5377.75</v>
      </c>
      <c r="EP243" s="11">
        <v>162</v>
      </c>
      <c r="EQ243" s="11"/>
      <c r="ER243" s="13"/>
      <c r="ES243" s="11"/>
      <c r="ET243" s="12"/>
      <c r="EU243" s="12"/>
      <c r="EV243" s="11">
        <v>119</v>
      </c>
      <c r="EW243" s="13">
        <v>2016.27</v>
      </c>
      <c r="EX243" s="11">
        <v>64</v>
      </c>
      <c r="EY243" s="11"/>
      <c r="EZ243" s="13"/>
      <c r="FA243" s="11"/>
      <c r="FB243" s="12"/>
      <c r="FC243" s="12"/>
      <c r="FD243" s="11">
        <v>105</v>
      </c>
      <c r="FE243" s="13">
        <v>1714.99</v>
      </c>
      <c r="FF243" s="11">
        <v>33</v>
      </c>
      <c r="FG243" s="11"/>
      <c r="FH243" s="13"/>
      <c r="FI243" s="11"/>
      <c r="FJ243" s="12"/>
      <c r="FK243" s="12"/>
      <c r="FL243" s="11">
        <v>87</v>
      </c>
      <c r="FM243" s="13">
        <v>1709</v>
      </c>
      <c r="FN243" s="11">
        <v>42</v>
      </c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/>
      <c r="GM243" s="11"/>
      <c r="GN243" s="13"/>
      <c r="GO243" s="11"/>
      <c r="GP243" s="12"/>
      <c r="GQ243" s="12"/>
      <c r="GR243" s="11">
        <v>37</v>
      </c>
      <c r="GS243" s="13">
        <v>735.36</v>
      </c>
      <c r="GT243" s="11">
        <v>125</v>
      </c>
      <c r="GU243" s="11"/>
      <c r="GV243" s="13"/>
      <c r="GW243" s="11"/>
      <c r="GX243" s="12"/>
      <c r="GY243" s="12"/>
      <c r="GZ243" s="11">
        <v>34</v>
      </c>
      <c r="HA243" s="13">
        <v>537.05</v>
      </c>
      <c r="HB243" s="11">
        <v>39</v>
      </c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/>
      <c r="HS243" s="11"/>
      <c r="HT243" s="13"/>
      <c r="HU243" s="11"/>
      <c r="HV243" s="12"/>
      <c r="HW243" s="12"/>
      <c r="HX243" s="11">
        <v>68</v>
      </c>
      <c r="HY243" s="13">
        <v>1147.78</v>
      </c>
      <c r="HZ243" s="11">
        <v>42</v>
      </c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>
        <v>28</v>
      </c>
      <c r="IW243" s="13">
        <v>548.63</v>
      </c>
      <c r="IX243" s="11">
        <v>65</v>
      </c>
      <c r="IY243" s="11"/>
      <c r="IZ243" s="13"/>
      <c r="JA243" s="11"/>
      <c r="JB243" s="12"/>
      <c r="JC243" s="12"/>
      <c r="JD243" s="11"/>
      <c r="JE243" s="13"/>
      <c r="JF243" s="11"/>
      <c r="JG243" s="11"/>
      <c r="JH243" s="13"/>
      <c r="JI243" s="11"/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>
        <v>113</v>
      </c>
      <c r="JW243" s="11"/>
      <c r="JX243" s="13"/>
      <c r="JY243" s="11"/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/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  <c r="LH243" s="11"/>
      <c r="LI243" s="13"/>
      <c r="LJ243" s="11"/>
      <c r="LK243" s="11"/>
      <c r="LL243" s="13"/>
      <c r="LM243" s="11"/>
      <c r="LN243" s="12"/>
      <c r="LO243" s="12"/>
      <c r="LP243" s="11"/>
      <c r="LQ243" s="13"/>
      <c r="LR243" s="11"/>
      <c r="LS243" s="11"/>
      <c r="LT243" s="13"/>
      <c r="LU243" s="11"/>
      <c r="LV243" s="12"/>
      <c r="LW243" s="12"/>
    </row>
    <row r="244">
      <c r="A244" s="10" t="s">
        <v>181</v>
      </c>
      <c r="B244" s="10" t="s">
        <v>117</v>
      </c>
      <c r="C244" s="10" t="s">
        <v>114</v>
      </c>
      <c r="D244" s="11">
        <v>3985</v>
      </c>
      <c r="E244" s="11">
        <f>=ROUNDDOWN(17.5550660792952,0)</f>
      </c>
      <c r="F244" s="11">
        <v>3740</v>
      </c>
      <c r="G244" s="12">
        <v>0.971</v>
      </c>
      <c r="H244" s="11"/>
      <c r="I244" s="11">
        <f>=ROUNDDOWN({0},0)</f>
      </c>
      <c r="J244" s="11"/>
      <c r="K244" s="12"/>
      <c r="L244" s="11">
        <v>2718</v>
      </c>
      <c r="M244" s="13">
        <v>38516.66</v>
      </c>
      <c r="N244" s="11">
        <v>5</v>
      </c>
      <c r="O244" s="14">
        <v>7703.33</v>
      </c>
      <c r="P244" s="11"/>
      <c r="Q244" s="13"/>
      <c r="R244" s="11"/>
      <c r="S244" s="14"/>
      <c r="T244" s="12"/>
      <c r="U244" s="12"/>
      <c r="V244" s="12"/>
      <c r="W244" s="12"/>
      <c r="X244" s="11">
        <v>992</v>
      </c>
      <c r="Y244" s="13">
        <v>14417.04</v>
      </c>
      <c r="Z244" s="11">
        <v>3</v>
      </c>
      <c r="AA244" s="11"/>
      <c r="AB244" s="13"/>
      <c r="AC244" s="11"/>
      <c r="AD244" s="12"/>
      <c r="AE244" s="12"/>
      <c r="AF244" s="11">
        <v>33</v>
      </c>
      <c r="AG244" s="13">
        <v>429.69</v>
      </c>
      <c r="AH244" s="11">
        <v>5</v>
      </c>
      <c r="AI244" s="11"/>
      <c r="AJ244" s="13"/>
      <c r="AK244" s="11"/>
      <c r="AL244" s="12"/>
      <c r="AM244" s="12"/>
      <c r="AN244" s="11">
        <v>1145</v>
      </c>
      <c r="AO244" s="13">
        <v>15680.91</v>
      </c>
      <c r="AP244" s="11">
        <v>5</v>
      </c>
      <c r="AQ244" s="11"/>
      <c r="AR244" s="13"/>
      <c r="AS244" s="11"/>
      <c r="AT244" s="12"/>
      <c r="AU244" s="12"/>
      <c r="AV244" s="11">
        <v>169</v>
      </c>
      <c r="AW244" s="13">
        <v>2385.95</v>
      </c>
      <c r="AX244" s="11">
        <v>5</v>
      </c>
      <c r="AY244" s="11"/>
      <c r="AZ244" s="13"/>
      <c r="BA244" s="11"/>
      <c r="BB244" s="12"/>
      <c r="BC244" s="12"/>
      <c r="BD244" s="11">
        <v>118</v>
      </c>
      <c r="BE244" s="13">
        <v>1799.4</v>
      </c>
      <c r="BF244" s="11">
        <v>3</v>
      </c>
      <c r="BG244" s="11"/>
      <c r="BH244" s="13"/>
      <c r="BI244" s="11"/>
      <c r="BJ244" s="12"/>
      <c r="BK244" s="12"/>
      <c r="BL244" s="11">
        <v>106</v>
      </c>
      <c r="BM244" s="13">
        <v>1478.48</v>
      </c>
      <c r="BN244" s="11">
        <v>5</v>
      </c>
      <c r="BO244" s="11"/>
      <c r="BP244" s="13"/>
      <c r="BQ244" s="11"/>
      <c r="BR244" s="12"/>
      <c r="BS244" s="12"/>
      <c r="BT244" s="11">
        <v>20</v>
      </c>
      <c r="BU244" s="13">
        <v>282.95</v>
      </c>
      <c r="BV244" s="11">
        <v>5</v>
      </c>
      <c r="BW244" s="11"/>
      <c r="BX244" s="13"/>
      <c r="BY244" s="11"/>
      <c r="BZ244" s="12"/>
      <c r="CA244" s="12"/>
      <c r="CB244" s="11">
        <v>95</v>
      </c>
      <c r="CC244" s="13">
        <v>1402.61</v>
      </c>
      <c r="CD244" s="11">
        <v>3</v>
      </c>
      <c r="CE244" s="11"/>
      <c r="CF244" s="13"/>
      <c r="CG244" s="11"/>
      <c r="CH244" s="12"/>
      <c r="CI244" s="12"/>
      <c r="CJ244" s="11">
        <v>1</v>
      </c>
      <c r="CK244" s="13">
        <v>27.99</v>
      </c>
      <c r="CL244" s="11">
        <v>5</v>
      </c>
      <c r="CM244" s="11"/>
      <c r="CN244" s="13"/>
      <c r="CO244" s="11"/>
      <c r="CP244" s="12"/>
      <c r="CQ244" s="12"/>
      <c r="CR244" s="11"/>
      <c r="CS244" s="13"/>
      <c r="CT244" s="11"/>
      <c r="CU244" s="11"/>
      <c r="CV244" s="13"/>
      <c r="CW244" s="11"/>
      <c r="CX244" s="12"/>
      <c r="CY244" s="12"/>
      <c r="CZ244" s="11">
        <v>7</v>
      </c>
      <c r="DA244" s="13">
        <v>97.23</v>
      </c>
      <c r="DB244" s="11">
        <v>1</v>
      </c>
      <c r="DC244" s="11"/>
      <c r="DD244" s="13"/>
      <c r="DE244" s="11"/>
      <c r="DF244" s="12"/>
      <c r="DG244" s="12"/>
      <c r="DH244" s="11"/>
      <c r="DI244" s="13"/>
      <c r="DJ244" s="11"/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>
        <v>9</v>
      </c>
      <c r="DY244" s="13">
        <v>129.2</v>
      </c>
      <c r="DZ244" s="11">
        <v>4</v>
      </c>
      <c r="EA244" s="11"/>
      <c r="EB244" s="13"/>
      <c r="EC244" s="11"/>
      <c r="ED244" s="12"/>
      <c r="EE244" s="12"/>
      <c r="EF244" s="11"/>
      <c r="EG244" s="13"/>
      <c r="EH244" s="11"/>
      <c r="EI244" s="11"/>
      <c r="EJ244" s="13"/>
      <c r="EK244" s="11"/>
      <c r="EL244" s="12"/>
      <c r="EM244" s="12"/>
      <c r="EN244" s="11">
        <v>5</v>
      </c>
      <c r="EO244" s="13">
        <v>149.95</v>
      </c>
      <c r="EP244" s="11">
        <v>5</v>
      </c>
      <c r="EQ244" s="11"/>
      <c r="ER244" s="13"/>
      <c r="ES244" s="11"/>
      <c r="ET244" s="12"/>
      <c r="EU244" s="12"/>
      <c r="EV244" s="11">
        <v>18</v>
      </c>
      <c r="EW244" s="13">
        <v>235.26</v>
      </c>
      <c r="EX244" s="11">
        <v>2</v>
      </c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/>
      <c r="GM244" s="11"/>
      <c r="GN244" s="13"/>
      <c r="GO244" s="11"/>
      <c r="GP244" s="12"/>
      <c r="GQ244" s="12"/>
      <c r="GR244" s="11"/>
      <c r="GS244" s="13"/>
      <c r="GT244" s="11">
        <v>5</v>
      </c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/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/>
      <c r="JG244" s="11"/>
      <c r="JH244" s="13"/>
      <c r="JI244" s="11"/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>
        <v>2</v>
      </c>
      <c r="JW244" s="11"/>
      <c r="JX244" s="13"/>
      <c r="JY244" s="11"/>
      <c r="JZ244" s="12"/>
      <c r="KA244" s="12"/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/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  <c r="LH244" s="11"/>
      <c r="LI244" s="13"/>
      <c r="LJ244" s="11"/>
      <c r="LK244" s="11"/>
      <c r="LL244" s="13"/>
      <c r="LM244" s="11"/>
      <c r="LN244" s="12"/>
      <c r="LO244" s="12"/>
      <c r="LP244" s="11"/>
      <c r="LQ244" s="13"/>
      <c r="LR244" s="11"/>
      <c r="LS244" s="11"/>
      <c r="LT244" s="13"/>
      <c r="LU244" s="11"/>
      <c r="LV244" s="12"/>
      <c r="LW244" s="12"/>
    </row>
    <row r="245">
      <c r="A245" s="10" t="s">
        <v>181</v>
      </c>
      <c r="B245" s="10" t="s">
        <v>119</v>
      </c>
      <c r="C245" s="10" t="s">
        <v>77</v>
      </c>
      <c r="D245" s="11">
        <v>3985</v>
      </c>
      <c r="E245" s="11">
        <f>=ROUNDDOWN({0},0)</f>
      </c>
      <c r="F245" s="11">
        <v>3740</v>
      </c>
      <c r="G245" s="12"/>
      <c r="H245" s="11"/>
      <c r="I245" s="11">
        <f>=ROUNDDOWN({0},0)</f>
      </c>
      <c r="J245" s="11"/>
      <c r="K245" s="12"/>
      <c r="L245" s="11">
        <v>2718</v>
      </c>
      <c r="M245" s="13">
        <v>38516.66</v>
      </c>
      <c r="N245" s="11">
        <v>5</v>
      </c>
      <c r="O245" s="14">
        <v>7703.33</v>
      </c>
      <c r="P245" s="11"/>
      <c r="Q245" s="13"/>
      <c r="R245" s="11"/>
      <c r="S245" s="14"/>
      <c r="T245" s="12"/>
      <c r="U245" s="12"/>
      <c r="V245" s="12"/>
      <c r="W245" s="12"/>
      <c r="X245" s="11">
        <v>992</v>
      </c>
      <c r="Y245" s="13">
        <v>14417.04</v>
      </c>
      <c r="Z245" s="11">
        <v>3</v>
      </c>
      <c r="AA245" s="11"/>
      <c r="AB245" s="13"/>
      <c r="AC245" s="11"/>
      <c r="AD245" s="12"/>
      <c r="AE245" s="12"/>
      <c r="AF245" s="11">
        <v>33</v>
      </c>
      <c r="AG245" s="13">
        <v>429.69</v>
      </c>
      <c r="AH245" s="11">
        <v>5</v>
      </c>
      <c r="AI245" s="11"/>
      <c r="AJ245" s="13"/>
      <c r="AK245" s="11"/>
      <c r="AL245" s="12"/>
      <c r="AM245" s="12"/>
      <c r="AN245" s="11">
        <v>1145</v>
      </c>
      <c r="AO245" s="13">
        <v>15680.91</v>
      </c>
      <c r="AP245" s="11">
        <v>5</v>
      </c>
      <c r="AQ245" s="11"/>
      <c r="AR245" s="13"/>
      <c r="AS245" s="11"/>
      <c r="AT245" s="12"/>
      <c r="AU245" s="12"/>
      <c r="AV245" s="11">
        <v>169</v>
      </c>
      <c r="AW245" s="13">
        <v>2385.95</v>
      </c>
      <c r="AX245" s="11">
        <v>5</v>
      </c>
      <c r="AY245" s="11"/>
      <c r="AZ245" s="13"/>
      <c r="BA245" s="11"/>
      <c r="BB245" s="12"/>
      <c r="BC245" s="12"/>
      <c r="BD245" s="11">
        <v>118</v>
      </c>
      <c r="BE245" s="13">
        <v>1799.4</v>
      </c>
      <c r="BF245" s="11">
        <v>3</v>
      </c>
      <c r="BG245" s="11"/>
      <c r="BH245" s="13"/>
      <c r="BI245" s="11"/>
      <c r="BJ245" s="12"/>
      <c r="BK245" s="12"/>
      <c r="BL245" s="11">
        <v>106</v>
      </c>
      <c r="BM245" s="13">
        <v>1478.48</v>
      </c>
      <c r="BN245" s="11">
        <v>5</v>
      </c>
      <c r="BO245" s="11"/>
      <c r="BP245" s="13"/>
      <c r="BQ245" s="11"/>
      <c r="BR245" s="12"/>
      <c r="BS245" s="12"/>
      <c r="BT245" s="11">
        <v>20</v>
      </c>
      <c r="BU245" s="13">
        <v>282.95</v>
      </c>
      <c r="BV245" s="11">
        <v>5</v>
      </c>
      <c r="BW245" s="11"/>
      <c r="BX245" s="13"/>
      <c r="BY245" s="11"/>
      <c r="BZ245" s="12"/>
      <c r="CA245" s="12"/>
      <c r="CB245" s="11">
        <v>95</v>
      </c>
      <c r="CC245" s="13">
        <v>1402.61</v>
      </c>
      <c r="CD245" s="11">
        <v>3</v>
      </c>
      <c r="CE245" s="11"/>
      <c r="CF245" s="13"/>
      <c r="CG245" s="11"/>
      <c r="CH245" s="12"/>
      <c r="CI245" s="12"/>
      <c r="CJ245" s="11">
        <v>1</v>
      </c>
      <c r="CK245" s="13">
        <v>27.99</v>
      </c>
      <c r="CL245" s="11">
        <v>5</v>
      </c>
      <c r="CM245" s="11"/>
      <c r="CN245" s="13"/>
      <c r="CO245" s="11"/>
      <c r="CP245" s="12"/>
      <c r="CQ245" s="12"/>
      <c r="CR245" s="11"/>
      <c r="CS245" s="13"/>
      <c r="CT245" s="11"/>
      <c r="CU245" s="11"/>
      <c r="CV245" s="13"/>
      <c r="CW245" s="11"/>
      <c r="CX245" s="12"/>
      <c r="CY245" s="12"/>
      <c r="CZ245" s="11">
        <v>7</v>
      </c>
      <c r="DA245" s="13">
        <v>97.23</v>
      </c>
      <c r="DB245" s="11">
        <v>1</v>
      </c>
      <c r="DC245" s="11"/>
      <c r="DD245" s="13"/>
      <c r="DE245" s="11"/>
      <c r="DF245" s="12"/>
      <c r="DG245" s="12"/>
      <c r="DH245" s="11"/>
      <c r="DI245" s="13"/>
      <c r="DJ245" s="11"/>
      <c r="DK245" s="11"/>
      <c r="DL245" s="13"/>
      <c r="DM245" s="11"/>
      <c r="DN245" s="12"/>
      <c r="DO245" s="12"/>
      <c r="DP245" s="11"/>
      <c r="DQ245" s="13"/>
      <c r="DR245" s="11"/>
      <c r="DS245" s="11"/>
      <c r="DT245" s="13"/>
      <c r="DU245" s="11"/>
      <c r="DV245" s="12"/>
      <c r="DW245" s="12"/>
      <c r="DX245" s="11">
        <v>9</v>
      </c>
      <c r="DY245" s="13">
        <v>129.2</v>
      </c>
      <c r="DZ245" s="11">
        <v>4</v>
      </c>
      <c r="EA245" s="11"/>
      <c r="EB245" s="13"/>
      <c r="EC245" s="11"/>
      <c r="ED245" s="12"/>
      <c r="EE245" s="12"/>
      <c r="EF245" s="11"/>
      <c r="EG245" s="13"/>
      <c r="EH245" s="11"/>
      <c r="EI245" s="11"/>
      <c r="EJ245" s="13"/>
      <c r="EK245" s="11"/>
      <c r="EL245" s="12"/>
      <c r="EM245" s="12"/>
      <c r="EN245" s="11">
        <v>5</v>
      </c>
      <c r="EO245" s="13">
        <v>149.95</v>
      </c>
      <c r="EP245" s="11">
        <v>5</v>
      </c>
      <c r="EQ245" s="11"/>
      <c r="ER245" s="13"/>
      <c r="ES245" s="11"/>
      <c r="ET245" s="12"/>
      <c r="EU245" s="12"/>
      <c r="EV245" s="11">
        <v>18</v>
      </c>
      <c r="EW245" s="13">
        <v>235.26</v>
      </c>
      <c r="EX245" s="11">
        <v>2</v>
      </c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/>
      <c r="GM245" s="11"/>
      <c r="GN245" s="13"/>
      <c r="GO245" s="11"/>
      <c r="GP245" s="12"/>
      <c r="GQ245" s="12"/>
      <c r="GR245" s="11"/>
      <c r="GS245" s="13"/>
      <c r="GT245" s="11">
        <v>5</v>
      </c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/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/>
      <c r="HY245" s="13"/>
      <c r="HZ245" s="11"/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/>
      <c r="JE245" s="13"/>
      <c r="JF245" s="11"/>
      <c r="JG245" s="11"/>
      <c r="JH245" s="13"/>
      <c r="JI245" s="11"/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>
        <v>2</v>
      </c>
      <c r="JW245" s="11"/>
      <c r="JX245" s="13"/>
      <c r="JY245" s="11"/>
      <c r="JZ245" s="12"/>
      <c r="KA245" s="12"/>
      <c r="KB245" s="11"/>
      <c r="KC245" s="13"/>
      <c r="KD245" s="11"/>
      <c r="KE245" s="11"/>
      <c r="KF245" s="13"/>
      <c r="KG245" s="11"/>
      <c r="KH245" s="12"/>
      <c r="KI245" s="12"/>
      <c r="KJ245" s="11"/>
      <c r="KK245" s="13"/>
      <c r="KL245" s="11"/>
      <c r="KM245" s="11"/>
      <c r="KN245" s="13"/>
      <c r="KO245" s="11"/>
      <c r="KP245" s="12"/>
      <c r="KQ245" s="12"/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  <c r="LH245" s="11"/>
      <c r="LI245" s="13"/>
      <c r="LJ245" s="11"/>
      <c r="LK245" s="11"/>
      <c r="LL245" s="13"/>
      <c r="LM245" s="11"/>
      <c r="LN245" s="12"/>
      <c r="LO245" s="12"/>
      <c r="LP245" s="11"/>
      <c r="LQ245" s="13"/>
      <c r="LR245" s="11"/>
      <c r="LS245" s="11"/>
      <c r="LT245" s="13"/>
      <c r="LU245" s="11"/>
      <c r="LV245" s="12"/>
      <c r="LW245" s="12"/>
    </row>
    <row r="246">
      <c r="A246" s="10" t="s">
        <v>181</v>
      </c>
      <c r="B246" s="10" t="s">
        <v>122</v>
      </c>
      <c r="C246" s="10" t="s">
        <v>183</v>
      </c>
      <c r="D246" s="11"/>
      <c r="E246" s="11">
        <f>=ROUNDDOWN({0},0)</f>
      </c>
      <c r="F246" s="11"/>
      <c r="G246" s="12"/>
      <c r="H246" s="11"/>
      <c r="I246" s="11">
        <f>=ROUNDDOWN({0},0)</f>
      </c>
      <c r="J246" s="11"/>
      <c r="K246" s="12"/>
      <c r="L246" s="11"/>
      <c r="M246" s="13"/>
      <c r="N246" s="11"/>
      <c r="O246" s="14"/>
      <c r="P246" s="11"/>
      <c r="Q246" s="13"/>
      <c r="R246" s="11"/>
      <c r="S246" s="14"/>
      <c r="T246" s="12"/>
      <c r="U246" s="12"/>
      <c r="V246" s="12"/>
      <c r="W246" s="12"/>
      <c r="X246" s="11"/>
      <c r="Y246" s="13"/>
      <c r="Z246" s="11"/>
      <c r="AA246" s="11"/>
      <c r="AB246" s="13"/>
      <c r="AC246" s="11"/>
      <c r="AD246" s="12"/>
      <c r="AE246" s="12"/>
      <c r="AF246" s="11"/>
      <c r="AG246" s="13"/>
      <c r="AH246" s="11"/>
      <c r="AI246" s="11"/>
      <c r="AJ246" s="13"/>
      <c r="AK246" s="11"/>
      <c r="AL246" s="12"/>
      <c r="AM246" s="12"/>
      <c r="AN246" s="11"/>
      <c r="AO246" s="13"/>
      <c r="AP246" s="11"/>
      <c r="AQ246" s="11"/>
      <c r="AR246" s="13"/>
      <c r="AS246" s="11"/>
      <c r="AT246" s="12"/>
      <c r="AU246" s="12"/>
      <c r="AV246" s="11"/>
      <c r="AW246" s="13"/>
      <c r="AX246" s="11"/>
      <c r="AY246" s="11"/>
      <c r="AZ246" s="13"/>
      <c r="BA246" s="11"/>
      <c r="BB246" s="12"/>
      <c r="BC246" s="12"/>
      <c r="BD246" s="11"/>
      <c r="BE246" s="13"/>
      <c r="BF246" s="11"/>
      <c r="BG246" s="11"/>
      <c r="BH246" s="13"/>
      <c r="BI246" s="11"/>
      <c r="BJ246" s="12"/>
      <c r="BK246" s="12"/>
      <c r="BL246" s="11"/>
      <c r="BM246" s="13"/>
      <c r="BN246" s="11"/>
      <c r="BO246" s="11"/>
      <c r="BP246" s="13"/>
      <c r="BQ246" s="11"/>
      <c r="BR246" s="12"/>
      <c r="BS246" s="12"/>
      <c r="BT246" s="11"/>
      <c r="BU246" s="13"/>
      <c r="BV246" s="11"/>
      <c r="BW246" s="11"/>
      <c r="BX246" s="13"/>
      <c r="BY246" s="11"/>
      <c r="BZ246" s="12"/>
      <c r="CA246" s="12"/>
      <c r="CB246" s="11"/>
      <c r="CC246" s="13"/>
      <c r="CD246" s="11"/>
      <c r="CE246" s="11"/>
      <c r="CF246" s="13"/>
      <c r="CG246" s="11"/>
      <c r="CH246" s="12"/>
      <c r="CI246" s="12"/>
      <c r="CJ246" s="11"/>
      <c r="CK246" s="13"/>
      <c r="CL246" s="11"/>
      <c r="CM246" s="11"/>
      <c r="CN246" s="13"/>
      <c r="CO246" s="11"/>
      <c r="CP246" s="12"/>
      <c r="CQ246" s="12"/>
      <c r="CR246" s="11"/>
      <c r="CS246" s="13"/>
      <c r="CT246" s="11"/>
      <c r="CU246" s="11"/>
      <c r="CV246" s="13"/>
      <c r="CW246" s="11"/>
      <c r="CX246" s="12"/>
      <c r="CY246" s="12"/>
      <c r="CZ246" s="11"/>
      <c r="DA246" s="13"/>
      <c r="DB246" s="11"/>
      <c r="DC246" s="11"/>
      <c r="DD246" s="13"/>
      <c r="DE246" s="11"/>
      <c r="DF246" s="12"/>
      <c r="DG246" s="12"/>
      <c r="DH246" s="11"/>
      <c r="DI246" s="13"/>
      <c r="DJ246" s="11"/>
      <c r="DK246" s="11"/>
      <c r="DL246" s="13"/>
      <c r="DM246" s="11"/>
      <c r="DN246" s="12"/>
      <c r="DO246" s="12"/>
      <c r="DP246" s="11"/>
      <c r="DQ246" s="13"/>
      <c r="DR246" s="11"/>
      <c r="DS246" s="11"/>
      <c r="DT246" s="13"/>
      <c r="DU246" s="11"/>
      <c r="DV246" s="12"/>
      <c r="DW246" s="12"/>
      <c r="DX246" s="11"/>
      <c r="DY246" s="13"/>
      <c r="DZ246" s="11"/>
      <c r="EA246" s="11"/>
      <c r="EB246" s="13"/>
      <c r="EC246" s="11"/>
      <c r="ED246" s="12"/>
      <c r="EE246" s="12"/>
      <c r="EF246" s="11"/>
      <c r="EG246" s="13"/>
      <c r="EH246" s="11"/>
      <c r="EI246" s="11"/>
      <c r="EJ246" s="13"/>
      <c r="EK246" s="11"/>
      <c r="EL246" s="12"/>
      <c r="EM246" s="12"/>
      <c r="EN246" s="11"/>
      <c r="EO246" s="13"/>
      <c r="EP246" s="11"/>
      <c r="EQ246" s="11"/>
      <c r="ER246" s="13"/>
      <c r="ES246" s="11"/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/>
      <c r="FM246" s="13"/>
      <c r="FN246" s="11"/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/>
      <c r="GM246" s="11"/>
      <c r="GN246" s="13"/>
      <c r="GO246" s="11"/>
      <c r="GP246" s="12"/>
      <c r="GQ246" s="12"/>
      <c r="GR246" s="11"/>
      <c r="GS246" s="13"/>
      <c r="GT246" s="11"/>
      <c r="GU246" s="11"/>
      <c r="GV246" s="13"/>
      <c r="GW246" s="11"/>
      <c r="GX246" s="12"/>
      <c r="GY246" s="12"/>
      <c r="GZ246" s="11"/>
      <c r="HA246" s="13"/>
      <c r="HB246" s="11"/>
      <c r="HC246" s="11"/>
      <c r="HD246" s="13"/>
      <c r="HE246" s="11"/>
      <c r="HF246" s="12"/>
      <c r="HG246" s="12"/>
      <c r="HH246" s="11"/>
      <c r="HI246" s="13"/>
      <c r="HJ246" s="11"/>
      <c r="HK246" s="11"/>
      <c r="HL246" s="13"/>
      <c r="HM246" s="11"/>
      <c r="HN246" s="12"/>
      <c r="HO246" s="12"/>
      <c r="HP246" s="11"/>
      <c r="HQ246" s="13"/>
      <c r="HR246" s="11"/>
      <c r="HS246" s="11"/>
      <c r="HT246" s="13"/>
      <c r="HU246" s="11"/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/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/>
      <c r="JW246" s="11"/>
      <c r="JX246" s="13"/>
      <c r="JY246" s="11"/>
      <c r="JZ246" s="12"/>
      <c r="KA246" s="12"/>
      <c r="KB246" s="11"/>
      <c r="KC246" s="13"/>
      <c r="KD246" s="11"/>
      <c r="KE246" s="11"/>
      <c r="KF246" s="13"/>
      <c r="KG246" s="11"/>
      <c r="KH246" s="12"/>
      <c r="KI246" s="12"/>
      <c r="KJ246" s="11"/>
      <c r="KK246" s="13"/>
      <c r="KL246" s="11"/>
      <c r="KM246" s="11"/>
      <c r="KN246" s="13"/>
      <c r="KO246" s="11"/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  <c r="LH246" s="11"/>
      <c r="LI246" s="13"/>
      <c r="LJ246" s="11"/>
      <c r="LK246" s="11"/>
      <c r="LL246" s="13"/>
      <c r="LM246" s="11"/>
      <c r="LN246" s="12"/>
      <c r="LO246" s="12"/>
      <c r="LP246" s="11"/>
      <c r="LQ246" s="13"/>
      <c r="LR246" s="11"/>
      <c r="LS246" s="11"/>
      <c r="LT246" s="13"/>
      <c r="LU246" s="11"/>
      <c r="LV246" s="12"/>
      <c r="LW246" s="12"/>
    </row>
    <row r="247">
      <c r="A247" s="10" t="s">
        <v>181</v>
      </c>
      <c r="B247" s="10" t="s">
        <v>122</v>
      </c>
      <c r="C247" s="10" t="s">
        <v>182</v>
      </c>
      <c r="D247" s="11">
        <v>29520</v>
      </c>
      <c r="E247" s="11">
        <f>=ROUNDDOWN(22.9727626459144,0)</f>
      </c>
      <c r="F247" s="11">
        <v>47224</v>
      </c>
      <c r="G247" s="12">
        <v>0.9912</v>
      </c>
      <c r="H247" s="11"/>
      <c r="I247" s="11">
        <f>=ROUNDDOWN({0},0)</f>
      </c>
      <c r="J247" s="11"/>
      <c r="K247" s="12"/>
      <c r="L247" s="11">
        <v>16478</v>
      </c>
      <c r="M247" s="13">
        <v>377992.58</v>
      </c>
      <c r="N247" s="11">
        <v>30</v>
      </c>
      <c r="O247" s="14">
        <v>12599.75</v>
      </c>
      <c r="P247" s="11"/>
      <c r="Q247" s="13"/>
      <c r="R247" s="11"/>
      <c r="S247" s="14"/>
      <c r="T247" s="12"/>
      <c r="U247" s="12"/>
      <c r="V247" s="12"/>
      <c r="W247" s="12"/>
      <c r="X247" s="11">
        <v>8489</v>
      </c>
      <c r="Y247" s="13">
        <v>204603.94</v>
      </c>
      <c r="Z247" s="11">
        <v>30</v>
      </c>
      <c r="AA247" s="11"/>
      <c r="AB247" s="13"/>
      <c r="AC247" s="11"/>
      <c r="AD247" s="12"/>
      <c r="AE247" s="12"/>
      <c r="AF247" s="11">
        <v>789</v>
      </c>
      <c r="AG247" s="13">
        <v>15491.42</v>
      </c>
      <c r="AH247" s="11">
        <v>30</v>
      </c>
      <c r="AI247" s="11"/>
      <c r="AJ247" s="13"/>
      <c r="AK247" s="11"/>
      <c r="AL247" s="12"/>
      <c r="AM247" s="12"/>
      <c r="AN247" s="11">
        <v>2233</v>
      </c>
      <c r="AO247" s="13">
        <v>45176.96</v>
      </c>
      <c r="AP247" s="11">
        <v>30</v>
      </c>
      <c r="AQ247" s="11"/>
      <c r="AR247" s="13"/>
      <c r="AS247" s="11"/>
      <c r="AT247" s="12"/>
      <c r="AU247" s="12"/>
      <c r="AV247" s="11">
        <v>824</v>
      </c>
      <c r="AW247" s="13">
        <v>19438.07</v>
      </c>
      <c r="AX247" s="11">
        <v>28</v>
      </c>
      <c r="AY247" s="11"/>
      <c r="AZ247" s="13"/>
      <c r="BA247" s="11"/>
      <c r="BB247" s="12"/>
      <c r="BC247" s="12"/>
      <c r="BD247" s="11">
        <v>2387</v>
      </c>
      <c r="BE247" s="13">
        <v>52843.49</v>
      </c>
      <c r="BF247" s="11">
        <v>30</v>
      </c>
      <c r="BG247" s="11"/>
      <c r="BH247" s="13"/>
      <c r="BI247" s="11"/>
      <c r="BJ247" s="12"/>
      <c r="BK247" s="12"/>
      <c r="BL247" s="11">
        <v>913</v>
      </c>
      <c r="BM247" s="13">
        <v>20423.86</v>
      </c>
      <c r="BN247" s="11">
        <v>30</v>
      </c>
      <c r="BO247" s="11"/>
      <c r="BP247" s="13"/>
      <c r="BQ247" s="11"/>
      <c r="BR247" s="12"/>
      <c r="BS247" s="12"/>
      <c r="BT247" s="11">
        <v>133</v>
      </c>
      <c r="BU247" s="13">
        <v>3192.48</v>
      </c>
      <c r="BV247" s="11">
        <v>30</v>
      </c>
      <c r="BW247" s="11"/>
      <c r="BX247" s="13"/>
      <c r="BY247" s="11"/>
      <c r="BZ247" s="12"/>
      <c r="CA247" s="12"/>
      <c r="CB247" s="11">
        <v>158</v>
      </c>
      <c r="CC247" s="13">
        <v>3582.68</v>
      </c>
      <c r="CD247" s="11">
        <v>26</v>
      </c>
      <c r="CE247" s="11"/>
      <c r="CF247" s="13"/>
      <c r="CG247" s="11"/>
      <c r="CH247" s="12"/>
      <c r="CI247" s="12"/>
      <c r="CJ247" s="11"/>
      <c r="CK247" s="13"/>
      <c r="CL247" s="11">
        <v>30</v>
      </c>
      <c r="CM247" s="11"/>
      <c r="CN247" s="13"/>
      <c r="CO247" s="11"/>
      <c r="CP247" s="12"/>
      <c r="CQ247" s="12"/>
      <c r="CR247" s="11"/>
      <c r="CS247" s="13"/>
      <c r="CT247" s="11"/>
      <c r="CU247" s="11"/>
      <c r="CV247" s="13"/>
      <c r="CW247" s="11"/>
      <c r="CX247" s="12"/>
      <c r="CY247" s="12"/>
      <c r="CZ247" s="11">
        <v>128</v>
      </c>
      <c r="DA247" s="13">
        <v>2637.43</v>
      </c>
      <c r="DB247" s="11">
        <v>24</v>
      </c>
      <c r="DC247" s="11"/>
      <c r="DD247" s="13"/>
      <c r="DE247" s="11"/>
      <c r="DF247" s="12"/>
      <c r="DG247" s="12"/>
      <c r="DH247" s="11"/>
      <c r="DI247" s="13"/>
      <c r="DJ247" s="11"/>
      <c r="DK247" s="11"/>
      <c r="DL247" s="13"/>
      <c r="DM247" s="11"/>
      <c r="DN247" s="12"/>
      <c r="DO247" s="12"/>
      <c r="DP247" s="11"/>
      <c r="DQ247" s="13"/>
      <c r="DR247" s="11">
        <v>8</v>
      </c>
      <c r="DS247" s="11"/>
      <c r="DT247" s="13"/>
      <c r="DU247" s="11"/>
      <c r="DV247" s="12"/>
      <c r="DW247" s="12"/>
      <c r="DX247" s="11">
        <v>254</v>
      </c>
      <c r="DY247" s="13">
        <v>6508.68</v>
      </c>
      <c r="DZ247" s="11">
        <v>30</v>
      </c>
      <c r="EA247" s="11"/>
      <c r="EB247" s="13"/>
      <c r="EC247" s="11"/>
      <c r="ED247" s="12"/>
      <c r="EE247" s="12"/>
      <c r="EF247" s="11"/>
      <c r="EG247" s="13"/>
      <c r="EH247" s="11"/>
      <c r="EI247" s="11"/>
      <c r="EJ247" s="13"/>
      <c r="EK247" s="11"/>
      <c r="EL247" s="12"/>
      <c r="EM247" s="12"/>
      <c r="EN247" s="11">
        <v>15</v>
      </c>
      <c r="EO247" s="13">
        <v>535.37</v>
      </c>
      <c r="EP247" s="11">
        <v>30</v>
      </c>
      <c r="EQ247" s="11"/>
      <c r="ER247" s="13"/>
      <c r="ES247" s="11"/>
      <c r="ET247" s="12"/>
      <c r="EU247" s="12"/>
      <c r="EV247" s="11">
        <v>5</v>
      </c>
      <c r="EW247" s="13">
        <v>129.93</v>
      </c>
      <c r="EX247" s="11">
        <v>3</v>
      </c>
      <c r="EY247" s="11"/>
      <c r="EZ247" s="13"/>
      <c r="FA247" s="11"/>
      <c r="FB247" s="12"/>
      <c r="FC247" s="12"/>
      <c r="FD247" s="11">
        <v>12</v>
      </c>
      <c r="FE247" s="13">
        <v>291.98</v>
      </c>
      <c r="FF247" s="11">
        <v>10</v>
      </c>
      <c r="FG247" s="11"/>
      <c r="FH247" s="13"/>
      <c r="FI247" s="11"/>
      <c r="FJ247" s="12"/>
      <c r="FK247" s="12"/>
      <c r="FL247" s="11">
        <v>128</v>
      </c>
      <c r="FM247" s="13">
        <v>2983.2</v>
      </c>
      <c r="FN247" s="11">
        <v>30</v>
      </c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/>
      <c r="GM247" s="11"/>
      <c r="GN247" s="13"/>
      <c r="GO247" s="11"/>
      <c r="GP247" s="12"/>
      <c r="GQ247" s="12"/>
      <c r="GR247" s="11"/>
      <c r="GS247" s="13"/>
      <c r="GT247" s="11">
        <v>26</v>
      </c>
      <c r="GU247" s="11"/>
      <c r="GV247" s="13"/>
      <c r="GW247" s="11"/>
      <c r="GX247" s="12"/>
      <c r="GY247" s="12"/>
      <c r="GZ247" s="11"/>
      <c r="HA247" s="13"/>
      <c r="HB247" s="11"/>
      <c r="HC247" s="11"/>
      <c r="HD247" s="13"/>
      <c r="HE247" s="11"/>
      <c r="HF247" s="12"/>
      <c r="HG247" s="12"/>
      <c r="HH247" s="11"/>
      <c r="HI247" s="13"/>
      <c r="HJ247" s="11"/>
      <c r="HK247" s="11"/>
      <c r="HL247" s="13"/>
      <c r="HM247" s="11"/>
      <c r="HN247" s="12"/>
      <c r="HO247" s="12"/>
      <c r="HP247" s="11"/>
      <c r="HQ247" s="13"/>
      <c r="HR247" s="11"/>
      <c r="HS247" s="11"/>
      <c r="HT247" s="13"/>
      <c r="HU247" s="11"/>
      <c r="HV247" s="12"/>
      <c r="HW247" s="12"/>
      <c r="HX247" s="11">
        <v>10</v>
      </c>
      <c r="HY247" s="13">
        <v>153.09</v>
      </c>
      <c r="HZ247" s="11">
        <v>16</v>
      </c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>
        <v>2</v>
      </c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/>
      <c r="JP247" s="13"/>
      <c r="JQ247" s="11"/>
      <c r="JR247" s="12"/>
      <c r="JS247" s="12"/>
      <c r="JT247" s="11"/>
      <c r="JU247" s="13"/>
      <c r="JV247" s="11">
        <v>30</v>
      </c>
      <c r="JW247" s="11"/>
      <c r="JX247" s="13"/>
      <c r="JY247" s="11"/>
      <c r="JZ247" s="12"/>
      <c r="KA247" s="12"/>
      <c r="KB247" s="11"/>
      <c r="KC247" s="13"/>
      <c r="KD247" s="11"/>
      <c r="KE247" s="11"/>
      <c r="KF247" s="13"/>
      <c r="KG247" s="11"/>
      <c r="KH247" s="12"/>
      <c r="KI247" s="12"/>
      <c r="KJ247" s="11"/>
      <c r="KK247" s="13"/>
      <c r="KL247" s="11"/>
      <c r="KM247" s="11"/>
      <c r="KN247" s="13"/>
      <c r="KO247" s="11"/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  <c r="LH247" s="11"/>
      <c r="LI247" s="13"/>
      <c r="LJ247" s="11"/>
      <c r="LK247" s="11"/>
      <c r="LL247" s="13"/>
      <c r="LM247" s="11"/>
      <c r="LN247" s="12"/>
      <c r="LO247" s="12"/>
      <c r="LP247" s="11"/>
      <c r="LQ247" s="13"/>
      <c r="LR247" s="11"/>
      <c r="LS247" s="11"/>
      <c r="LT247" s="13"/>
      <c r="LU247" s="11"/>
      <c r="LV247" s="12"/>
      <c r="LW247" s="12"/>
    </row>
    <row r="248">
      <c r="A248" s="10" t="s">
        <v>181</v>
      </c>
      <c r="B248" s="10" t="s">
        <v>123</v>
      </c>
      <c r="C248" s="10" t="s">
        <v>77</v>
      </c>
      <c r="D248" s="11">
        <v>29520</v>
      </c>
      <c r="E248" s="11">
        <f>=ROUNDDOWN({0},0)</f>
      </c>
      <c r="F248" s="11">
        <v>47224</v>
      </c>
      <c r="G248" s="12"/>
      <c r="H248" s="11"/>
      <c r="I248" s="11">
        <f>=ROUNDDOWN({0},0)</f>
      </c>
      <c r="J248" s="11"/>
      <c r="K248" s="12"/>
      <c r="L248" s="11">
        <v>16478</v>
      </c>
      <c r="M248" s="13">
        <v>377992.58</v>
      </c>
      <c r="N248" s="11">
        <v>30</v>
      </c>
      <c r="O248" s="14">
        <v>12599.75</v>
      </c>
      <c r="P248" s="11"/>
      <c r="Q248" s="13"/>
      <c r="R248" s="11"/>
      <c r="S248" s="14"/>
      <c r="T248" s="12"/>
      <c r="U248" s="12"/>
      <c r="V248" s="12"/>
      <c r="W248" s="12"/>
      <c r="X248" s="11">
        <v>8489</v>
      </c>
      <c r="Y248" s="13">
        <v>204603.94</v>
      </c>
      <c r="Z248" s="11">
        <v>30</v>
      </c>
      <c r="AA248" s="11"/>
      <c r="AB248" s="13"/>
      <c r="AC248" s="11"/>
      <c r="AD248" s="12"/>
      <c r="AE248" s="12"/>
      <c r="AF248" s="11">
        <v>789</v>
      </c>
      <c r="AG248" s="13">
        <v>15491.42</v>
      </c>
      <c r="AH248" s="11">
        <v>30</v>
      </c>
      <c r="AI248" s="11"/>
      <c r="AJ248" s="13"/>
      <c r="AK248" s="11"/>
      <c r="AL248" s="12"/>
      <c r="AM248" s="12"/>
      <c r="AN248" s="11">
        <v>2233</v>
      </c>
      <c r="AO248" s="13">
        <v>45176.96</v>
      </c>
      <c r="AP248" s="11">
        <v>30</v>
      </c>
      <c r="AQ248" s="11"/>
      <c r="AR248" s="13"/>
      <c r="AS248" s="11"/>
      <c r="AT248" s="12"/>
      <c r="AU248" s="12"/>
      <c r="AV248" s="11">
        <v>824</v>
      </c>
      <c r="AW248" s="13">
        <v>19438.07</v>
      </c>
      <c r="AX248" s="11">
        <v>28</v>
      </c>
      <c r="AY248" s="11"/>
      <c r="AZ248" s="13"/>
      <c r="BA248" s="11"/>
      <c r="BB248" s="12"/>
      <c r="BC248" s="12"/>
      <c r="BD248" s="11">
        <v>2387</v>
      </c>
      <c r="BE248" s="13">
        <v>52843.49</v>
      </c>
      <c r="BF248" s="11">
        <v>30</v>
      </c>
      <c r="BG248" s="11"/>
      <c r="BH248" s="13"/>
      <c r="BI248" s="11"/>
      <c r="BJ248" s="12"/>
      <c r="BK248" s="12"/>
      <c r="BL248" s="11">
        <v>913</v>
      </c>
      <c r="BM248" s="13">
        <v>20423.86</v>
      </c>
      <c r="BN248" s="11">
        <v>30</v>
      </c>
      <c r="BO248" s="11"/>
      <c r="BP248" s="13"/>
      <c r="BQ248" s="11"/>
      <c r="BR248" s="12"/>
      <c r="BS248" s="12"/>
      <c r="BT248" s="11">
        <v>133</v>
      </c>
      <c r="BU248" s="13">
        <v>3192.48</v>
      </c>
      <c r="BV248" s="11">
        <v>30</v>
      </c>
      <c r="BW248" s="11"/>
      <c r="BX248" s="13"/>
      <c r="BY248" s="11"/>
      <c r="BZ248" s="12"/>
      <c r="CA248" s="12"/>
      <c r="CB248" s="11">
        <v>158</v>
      </c>
      <c r="CC248" s="13">
        <v>3582.68</v>
      </c>
      <c r="CD248" s="11">
        <v>26</v>
      </c>
      <c r="CE248" s="11"/>
      <c r="CF248" s="13"/>
      <c r="CG248" s="11"/>
      <c r="CH248" s="12"/>
      <c r="CI248" s="12"/>
      <c r="CJ248" s="11"/>
      <c r="CK248" s="13"/>
      <c r="CL248" s="11">
        <v>30</v>
      </c>
      <c r="CM248" s="11"/>
      <c r="CN248" s="13"/>
      <c r="CO248" s="11"/>
      <c r="CP248" s="12"/>
      <c r="CQ248" s="12"/>
      <c r="CR248" s="11"/>
      <c r="CS248" s="13"/>
      <c r="CT248" s="11"/>
      <c r="CU248" s="11"/>
      <c r="CV248" s="13"/>
      <c r="CW248" s="11"/>
      <c r="CX248" s="12"/>
      <c r="CY248" s="12"/>
      <c r="CZ248" s="11">
        <v>128</v>
      </c>
      <c r="DA248" s="13">
        <v>2637.43</v>
      </c>
      <c r="DB248" s="11">
        <v>24</v>
      </c>
      <c r="DC248" s="11"/>
      <c r="DD248" s="13"/>
      <c r="DE248" s="11"/>
      <c r="DF248" s="12"/>
      <c r="DG248" s="12"/>
      <c r="DH248" s="11"/>
      <c r="DI248" s="13"/>
      <c r="DJ248" s="11"/>
      <c r="DK248" s="11"/>
      <c r="DL248" s="13"/>
      <c r="DM248" s="11"/>
      <c r="DN248" s="12"/>
      <c r="DO248" s="12"/>
      <c r="DP248" s="11"/>
      <c r="DQ248" s="13"/>
      <c r="DR248" s="11">
        <v>8</v>
      </c>
      <c r="DS248" s="11"/>
      <c r="DT248" s="13"/>
      <c r="DU248" s="11"/>
      <c r="DV248" s="12"/>
      <c r="DW248" s="12"/>
      <c r="DX248" s="11">
        <v>254</v>
      </c>
      <c r="DY248" s="13">
        <v>6508.68</v>
      </c>
      <c r="DZ248" s="11">
        <v>30</v>
      </c>
      <c r="EA248" s="11"/>
      <c r="EB248" s="13"/>
      <c r="EC248" s="11"/>
      <c r="ED248" s="12"/>
      <c r="EE248" s="12"/>
      <c r="EF248" s="11"/>
      <c r="EG248" s="13"/>
      <c r="EH248" s="11"/>
      <c r="EI248" s="11"/>
      <c r="EJ248" s="13"/>
      <c r="EK248" s="11"/>
      <c r="EL248" s="12"/>
      <c r="EM248" s="12"/>
      <c r="EN248" s="11">
        <v>15</v>
      </c>
      <c r="EO248" s="13">
        <v>535.37</v>
      </c>
      <c r="EP248" s="11">
        <v>30</v>
      </c>
      <c r="EQ248" s="11"/>
      <c r="ER248" s="13"/>
      <c r="ES248" s="11"/>
      <c r="ET248" s="12"/>
      <c r="EU248" s="12"/>
      <c r="EV248" s="11">
        <v>5</v>
      </c>
      <c r="EW248" s="13">
        <v>129.93</v>
      </c>
      <c r="EX248" s="11">
        <v>3</v>
      </c>
      <c r="EY248" s="11"/>
      <c r="EZ248" s="13"/>
      <c r="FA248" s="11"/>
      <c r="FB248" s="12"/>
      <c r="FC248" s="12"/>
      <c r="FD248" s="11">
        <v>12</v>
      </c>
      <c r="FE248" s="13">
        <v>291.98</v>
      </c>
      <c r="FF248" s="11">
        <v>10</v>
      </c>
      <c r="FG248" s="11"/>
      <c r="FH248" s="13"/>
      <c r="FI248" s="11"/>
      <c r="FJ248" s="12"/>
      <c r="FK248" s="12"/>
      <c r="FL248" s="11">
        <v>128</v>
      </c>
      <c r="FM248" s="13">
        <v>2983.2</v>
      </c>
      <c r="FN248" s="11">
        <v>30</v>
      </c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/>
      <c r="GE248" s="11"/>
      <c r="GF248" s="13"/>
      <c r="GG248" s="11"/>
      <c r="GH248" s="12"/>
      <c r="GI248" s="12"/>
      <c r="GJ248" s="11"/>
      <c r="GK248" s="13"/>
      <c r="GL248" s="11"/>
      <c r="GM248" s="11"/>
      <c r="GN248" s="13"/>
      <c r="GO248" s="11"/>
      <c r="GP248" s="12"/>
      <c r="GQ248" s="12"/>
      <c r="GR248" s="11"/>
      <c r="GS248" s="13"/>
      <c r="GT248" s="11">
        <v>26</v>
      </c>
      <c r="GU248" s="11"/>
      <c r="GV248" s="13"/>
      <c r="GW248" s="11"/>
      <c r="GX248" s="12"/>
      <c r="GY248" s="12"/>
      <c r="GZ248" s="11"/>
      <c r="HA248" s="13"/>
      <c r="HB248" s="11"/>
      <c r="HC248" s="11"/>
      <c r="HD248" s="13"/>
      <c r="HE248" s="11"/>
      <c r="HF248" s="12"/>
      <c r="HG248" s="12"/>
      <c r="HH248" s="11"/>
      <c r="HI248" s="13"/>
      <c r="HJ248" s="11"/>
      <c r="HK248" s="11"/>
      <c r="HL248" s="13"/>
      <c r="HM248" s="11"/>
      <c r="HN248" s="12"/>
      <c r="HO248" s="12"/>
      <c r="HP248" s="11"/>
      <c r="HQ248" s="13"/>
      <c r="HR248" s="11"/>
      <c r="HS248" s="11"/>
      <c r="HT248" s="13"/>
      <c r="HU248" s="11"/>
      <c r="HV248" s="12"/>
      <c r="HW248" s="12"/>
      <c r="HX248" s="11">
        <v>10</v>
      </c>
      <c r="HY248" s="13">
        <v>153.09</v>
      </c>
      <c r="HZ248" s="11">
        <v>16</v>
      </c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/>
      <c r="IO248" s="13"/>
      <c r="IP248" s="11"/>
      <c r="IQ248" s="11"/>
      <c r="IR248" s="13"/>
      <c r="IS248" s="11"/>
      <c r="IT248" s="12"/>
      <c r="IU248" s="12"/>
      <c r="IV248" s="11"/>
      <c r="IW248" s="13"/>
      <c r="IX248" s="11">
        <v>2</v>
      </c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/>
      <c r="JP248" s="13"/>
      <c r="JQ248" s="11"/>
      <c r="JR248" s="12"/>
      <c r="JS248" s="12"/>
      <c r="JT248" s="11"/>
      <c r="JU248" s="13"/>
      <c r="JV248" s="11">
        <v>30</v>
      </c>
      <c r="JW248" s="11"/>
      <c r="JX248" s="13"/>
      <c r="JY248" s="11"/>
      <c r="JZ248" s="12"/>
      <c r="KA248" s="12"/>
      <c r="KB248" s="11"/>
      <c r="KC248" s="13"/>
      <c r="KD248" s="11"/>
      <c r="KE248" s="11"/>
      <c r="KF248" s="13"/>
      <c r="KG248" s="11"/>
      <c r="KH248" s="12"/>
      <c r="KI248" s="12"/>
      <c r="KJ248" s="11"/>
      <c r="KK248" s="13"/>
      <c r="KL248" s="11"/>
      <c r="KM248" s="11"/>
      <c r="KN248" s="13"/>
      <c r="KO248" s="11"/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  <c r="LH248" s="11"/>
      <c r="LI248" s="13"/>
      <c r="LJ248" s="11"/>
      <c r="LK248" s="11"/>
      <c r="LL248" s="13"/>
      <c r="LM248" s="11"/>
      <c r="LN248" s="12"/>
      <c r="LO248" s="12"/>
      <c r="LP248" s="11"/>
      <c r="LQ248" s="13"/>
      <c r="LR248" s="11"/>
      <c r="LS248" s="11"/>
      <c r="LT248" s="13"/>
      <c r="LU248" s="11"/>
      <c r="LV248" s="12"/>
      <c r="LW248" s="12"/>
    </row>
    <row r="249">
      <c r="A249" s="10" t="s">
        <v>181</v>
      </c>
      <c r="B249" s="10" t="s">
        <v>163</v>
      </c>
      <c r="C249" s="10" t="s">
        <v>183</v>
      </c>
      <c r="D249" s="11">
        <v>278</v>
      </c>
      <c r="E249" s="11">
        <f>=ROUNDDOWN(6.46511627906977,0)</f>
      </c>
      <c r="F249" s="11">
        <v>1500</v>
      </c>
      <c r="G249" s="12">
        <v>0.375</v>
      </c>
      <c r="H249" s="11"/>
      <c r="I249" s="11">
        <f>=ROUNDDOWN({0},0)</f>
      </c>
      <c r="J249" s="11"/>
      <c r="K249" s="12"/>
      <c r="L249" s="11">
        <v>320</v>
      </c>
      <c r="M249" s="13">
        <v>6645.12</v>
      </c>
      <c r="N249" s="11">
        <v>2</v>
      </c>
      <c r="O249" s="14">
        <v>3322.56</v>
      </c>
      <c r="P249" s="11"/>
      <c r="Q249" s="13"/>
      <c r="R249" s="11"/>
      <c r="S249" s="14"/>
      <c r="T249" s="12"/>
      <c r="U249" s="12"/>
      <c r="V249" s="12"/>
      <c r="W249" s="12"/>
      <c r="X249" s="11">
        <v>264</v>
      </c>
      <c r="Y249" s="13">
        <v>5356.56</v>
      </c>
      <c r="Z249" s="11">
        <v>2</v>
      </c>
      <c r="AA249" s="11"/>
      <c r="AB249" s="13"/>
      <c r="AC249" s="11"/>
      <c r="AD249" s="12"/>
      <c r="AE249" s="12"/>
      <c r="AF249" s="11"/>
      <c r="AG249" s="13"/>
      <c r="AH249" s="11"/>
      <c r="AI249" s="11"/>
      <c r="AJ249" s="13"/>
      <c r="AK249" s="11"/>
      <c r="AL249" s="12"/>
      <c r="AM249" s="12"/>
      <c r="AN249" s="11">
        <v>43</v>
      </c>
      <c r="AO249" s="13">
        <v>989.43</v>
      </c>
      <c r="AP249" s="11">
        <v>2</v>
      </c>
      <c r="AQ249" s="11"/>
      <c r="AR249" s="13"/>
      <c r="AS249" s="11"/>
      <c r="AT249" s="12"/>
      <c r="AU249" s="12"/>
      <c r="AV249" s="11"/>
      <c r="AW249" s="13"/>
      <c r="AX249" s="11"/>
      <c r="AY249" s="11"/>
      <c r="AZ249" s="13"/>
      <c r="BA249" s="11"/>
      <c r="BB249" s="12"/>
      <c r="BC249" s="12"/>
      <c r="BD249" s="11">
        <v>13</v>
      </c>
      <c r="BE249" s="13">
        <v>299.13</v>
      </c>
      <c r="BF249" s="11">
        <v>2</v>
      </c>
      <c r="BG249" s="11"/>
      <c r="BH249" s="13"/>
      <c r="BI249" s="11"/>
      <c r="BJ249" s="12"/>
      <c r="BK249" s="12"/>
      <c r="BL249" s="11"/>
      <c r="BM249" s="13"/>
      <c r="BN249" s="11"/>
      <c r="BO249" s="11"/>
      <c r="BP249" s="13"/>
      <c r="BQ249" s="11"/>
      <c r="BR249" s="12"/>
      <c r="BS249" s="12"/>
      <c r="BT249" s="11"/>
      <c r="BU249" s="13"/>
      <c r="BV249" s="11"/>
      <c r="BW249" s="11"/>
      <c r="BX249" s="13"/>
      <c r="BY249" s="11"/>
      <c r="BZ249" s="12"/>
      <c r="CA249" s="12"/>
      <c r="CB249" s="11"/>
      <c r="CC249" s="13"/>
      <c r="CD249" s="11"/>
      <c r="CE249" s="11"/>
      <c r="CF249" s="13"/>
      <c r="CG249" s="11"/>
      <c r="CH249" s="12"/>
      <c r="CI249" s="12"/>
      <c r="CJ249" s="11"/>
      <c r="CK249" s="13"/>
      <c r="CL249" s="11"/>
      <c r="CM249" s="11"/>
      <c r="CN249" s="13"/>
      <c r="CO249" s="11"/>
      <c r="CP249" s="12"/>
      <c r="CQ249" s="12"/>
      <c r="CR249" s="11"/>
      <c r="CS249" s="13"/>
      <c r="CT249" s="11"/>
      <c r="CU249" s="11"/>
      <c r="CV249" s="13"/>
      <c r="CW249" s="11"/>
      <c r="CX249" s="12"/>
      <c r="CY249" s="12"/>
      <c r="CZ249" s="11"/>
      <c r="DA249" s="13"/>
      <c r="DB249" s="11"/>
      <c r="DC249" s="11"/>
      <c r="DD249" s="13"/>
      <c r="DE249" s="11"/>
      <c r="DF249" s="12"/>
      <c r="DG249" s="12"/>
      <c r="DH249" s="11"/>
      <c r="DI249" s="13"/>
      <c r="DJ249" s="11"/>
      <c r="DK249" s="11"/>
      <c r="DL249" s="13"/>
      <c r="DM249" s="11"/>
      <c r="DN249" s="12"/>
      <c r="DO249" s="12"/>
      <c r="DP249" s="11"/>
      <c r="DQ249" s="13"/>
      <c r="DR249" s="11"/>
      <c r="DS249" s="11"/>
      <c r="DT249" s="13"/>
      <c r="DU249" s="11"/>
      <c r="DV249" s="12"/>
      <c r="DW249" s="12"/>
      <c r="DX249" s="11"/>
      <c r="DY249" s="13"/>
      <c r="DZ249" s="11"/>
      <c r="EA249" s="11"/>
      <c r="EB249" s="13"/>
      <c r="EC249" s="11"/>
      <c r="ED249" s="12"/>
      <c r="EE249" s="12"/>
      <c r="EF249" s="11"/>
      <c r="EG249" s="13"/>
      <c r="EH249" s="11"/>
      <c r="EI249" s="11"/>
      <c r="EJ249" s="13"/>
      <c r="EK249" s="11"/>
      <c r="EL249" s="12"/>
      <c r="EM249" s="12"/>
      <c r="EN249" s="11"/>
      <c r="EO249" s="13"/>
      <c r="EP249" s="11"/>
      <c r="EQ249" s="11"/>
      <c r="ER249" s="13"/>
      <c r="ES249" s="11"/>
      <c r="ET249" s="12"/>
      <c r="EU249" s="12"/>
      <c r="EV249" s="11"/>
      <c r="EW249" s="13"/>
      <c r="EX249" s="11"/>
      <c r="EY249" s="11"/>
      <c r="EZ249" s="13"/>
      <c r="FA249" s="11"/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/>
      <c r="GC249" s="13"/>
      <c r="GD249" s="11"/>
      <c r="GE249" s="11"/>
      <c r="GF249" s="13"/>
      <c r="GG249" s="11"/>
      <c r="GH249" s="12"/>
      <c r="GI249" s="12"/>
      <c r="GJ249" s="11"/>
      <c r="GK249" s="13"/>
      <c r="GL249" s="11"/>
      <c r="GM249" s="11"/>
      <c r="GN249" s="13"/>
      <c r="GO249" s="11"/>
      <c r="GP249" s="12"/>
      <c r="GQ249" s="12"/>
      <c r="GR249" s="11"/>
      <c r="GS249" s="13"/>
      <c r="GT249" s="11"/>
      <c r="GU249" s="11"/>
      <c r="GV249" s="13"/>
      <c r="GW249" s="11"/>
      <c r="GX249" s="12"/>
      <c r="GY249" s="12"/>
      <c r="GZ249" s="11"/>
      <c r="HA249" s="13"/>
      <c r="HB249" s="11"/>
      <c r="HC249" s="11"/>
      <c r="HD249" s="13"/>
      <c r="HE249" s="11"/>
      <c r="HF249" s="12"/>
      <c r="HG249" s="12"/>
      <c r="HH249" s="11"/>
      <c r="HI249" s="13"/>
      <c r="HJ249" s="11"/>
      <c r="HK249" s="11"/>
      <c r="HL249" s="13"/>
      <c r="HM249" s="11"/>
      <c r="HN249" s="12"/>
      <c r="HO249" s="12"/>
      <c r="HP249" s="11"/>
      <c r="HQ249" s="13"/>
      <c r="HR249" s="11"/>
      <c r="HS249" s="11"/>
      <c r="HT249" s="13"/>
      <c r="HU249" s="11"/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/>
      <c r="JO249" s="11"/>
      <c r="JP249" s="13"/>
      <c r="JQ249" s="11"/>
      <c r="JR249" s="12"/>
      <c r="JS249" s="12"/>
      <c r="JT249" s="11"/>
      <c r="JU249" s="13"/>
      <c r="JV249" s="11"/>
      <c r="JW249" s="11"/>
      <c r="JX249" s="13"/>
      <c r="JY249" s="11"/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/>
      <c r="KM249" s="11"/>
      <c r="KN249" s="13"/>
      <c r="KO249" s="11"/>
      <c r="KP249" s="12"/>
      <c r="KQ249" s="12"/>
      <c r="KR249" s="11"/>
      <c r="KS249" s="13"/>
      <c r="KT249" s="11"/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  <c r="LH249" s="11"/>
      <c r="LI249" s="13"/>
      <c r="LJ249" s="11"/>
      <c r="LK249" s="11"/>
      <c r="LL249" s="13"/>
      <c r="LM249" s="11"/>
      <c r="LN249" s="12"/>
      <c r="LO249" s="12"/>
      <c r="LP249" s="11"/>
      <c r="LQ249" s="13"/>
      <c r="LR249" s="11"/>
      <c r="LS249" s="11"/>
      <c r="LT249" s="13"/>
      <c r="LU249" s="11"/>
      <c r="LV249" s="12"/>
      <c r="LW249" s="12"/>
    </row>
    <row r="250">
      <c r="A250" s="10" t="s">
        <v>181</v>
      </c>
      <c r="B250" s="10" t="s">
        <v>163</v>
      </c>
      <c r="C250" s="10" t="s">
        <v>114</v>
      </c>
      <c r="D250" s="11">
        <v>3571</v>
      </c>
      <c r="E250" s="11">
        <f>=ROUNDDOWN(90.4050632911392,0)</f>
      </c>
      <c r="F250" s="11">
        <v>1940</v>
      </c>
      <c r="G250" s="12">
        <v>1</v>
      </c>
      <c r="H250" s="11"/>
      <c r="I250" s="11">
        <f>=ROUNDDOWN({0},0)</f>
      </c>
      <c r="J250" s="11"/>
      <c r="K250" s="12"/>
      <c r="L250" s="11">
        <v>452</v>
      </c>
      <c r="M250" s="13">
        <v>10060.96</v>
      </c>
      <c r="N250" s="11">
        <v>5</v>
      </c>
      <c r="O250" s="14">
        <v>2012.19</v>
      </c>
      <c r="P250" s="11"/>
      <c r="Q250" s="13"/>
      <c r="R250" s="11"/>
      <c r="S250" s="14"/>
      <c r="T250" s="12"/>
      <c r="U250" s="12"/>
      <c r="V250" s="12"/>
      <c r="W250" s="12"/>
      <c r="X250" s="11">
        <v>54</v>
      </c>
      <c r="Y250" s="13">
        <v>1252.26</v>
      </c>
      <c r="Z250" s="11">
        <v>5</v>
      </c>
      <c r="AA250" s="11"/>
      <c r="AB250" s="13"/>
      <c r="AC250" s="11"/>
      <c r="AD250" s="12"/>
      <c r="AE250" s="12"/>
      <c r="AF250" s="11"/>
      <c r="AG250" s="13"/>
      <c r="AH250" s="11"/>
      <c r="AI250" s="11"/>
      <c r="AJ250" s="13"/>
      <c r="AK250" s="11"/>
      <c r="AL250" s="12"/>
      <c r="AM250" s="12"/>
      <c r="AN250" s="11">
        <v>71</v>
      </c>
      <c r="AO250" s="13">
        <v>1530.05</v>
      </c>
      <c r="AP250" s="11">
        <v>5</v>
      </c>
      <c r="AQ250" s="11"/>
      <c r="AR250" s="13"/>
      <c r="AS250" s="11"/>
      <c r="AT250" s="12"/>
      <c r="AU250" s="12"/>
      <c r="AV250" s="11"/>
      <c r="AW250" s="13"/>
      <c r="AX250" s="11"/>
      <c r="AY250" s="11"/>
      <c r="AZ250" s="13"/>
      <c r="BA250" s="11"/>
      <c r="BB250" s="12"/>
      <c r="BC250" s="12"/>
      <c r="BD250" s="11">
        <v>83</v>
      </c>
      <c r="BE250" s="13">
        <v>1788.65</v>
      </c>
      <c r="BF250" s="11">
        <v>5</v>
      </c>
      <c r="BG250" s="11"/>
      <c r="BH250" s="13"/>
      <c r="BI250" s="11"/>
      <c r="BJ250" s="12"/>
      <c r="BK250" s="12"/>
      <c r="BL250" s="11"/>
      <c r="BM250" s="13"/>
      <c r="BN250" s="11"/>
      <c r="BO250" s="11"/>
      <c r="BP250" s="13"/>
      <c r="BQ250" s="11"/>
      <c r="BR250" s="12"/>
      <c r="BS250" s="12"/>
      <c r="BT250" s="11"/>
      <c r="BU250" s="13"/>
      <c r="BV250" s="11"/>
      <c r="BW250" s="11"/>
      <c r="BX250" s="13"/>
      <c r="BY250" s="11"/>
      <c r="BZ250" s="12"/>
      <c r="CA250" s="12"/>
      <c r="CB250" s="11"/>
      <c r="CC250" s="13"/>
      <c r="CD250" s="11"/>
      <c r="CE250" s="11"/>
      <c r="CF250" s="13"/>
      <c r="CG250" s="11"/>
      <c r="CH250" s="12"/>
      <c r="CI250" s="12"/>
      <c r="CJ250" s="11"/>
      <c r="CK250" s="13"/>
      <c r="CL250" s="11"/>
      <c r="CM250" s="11"/>
      <c r="CN250" s="13"/>
      <c r="CO250" s="11"/>
      <c r="CP250" s="12"/>
      <c r="CQ250" s="12"/>
      <c r="CR250" s="11"/>
      <c r="CS250" s="13"/>
      <c r="CT250" s="11"/>
      <c r="CU250" s="11"/>
      <c r="CV250" s="13"/>
      <c r="CW250" s="11"/>
      <c r="CX250" s="12"/>
      <c r="CY250" s="12"/>
      <c r="CZ250" s="11"/>
      <c r="DA250" s="13"/>
      <c r="DB250" s="11"/>
      <c r="DC250" s="11"/>
      <c r="DD250" s="13"/>
      <c r="DE250" s="11"/>
      <c r="DF250" s="12"/>
      <c r="DG250" s="12"/>
      <c r="DH250" s="11"/>
      <c r="DI250" s="13"/>
      <c r="DJ250" s="11"/>
      <c r="DK250" s="11"/>
      <c r="DL250" s="13"/>
      <c r="DM250" s="11"/>
      <c r="DN250" s="12"/>
      <c r="DO250" s="12"/>
      <c r="DP250" s="11"/>
      <c r="DQ250" s="13"/>
      <c r="DR250" s="11"/>
      <c r="DS250" s="11"/>
      <c r="DT250" s="13"/>
      <c r="DU250" s="11"/>
      <c r="DV250" s="12"/>
      <c r="DW250" s="12"/>
      <c r="DX250" s="11"/>
      <c r="DY250" s="13"/>
      <c r="DZ250" s="11"/>
      <c r="EA250" s="11"/>
      <c r="EB250" s="13"/>
      <c r="EC250" s="11"/>
      <c r="ED250" s="12"/>
      <c r="EE250" s="12"/>
      <c r="EF250" s="11">
        <v>244</v>
      </c>
      <c r="EG250" s="13">
        <v>5490</v>
      </c>
      <c r="EH250" s="11"/>
      <c r="EI250" s="11"/>
      <c r="EJ250" s="13"/>
      <c r="EK250" s="11"/>
      <c r="EL250" s="12"/>
      <c r="EM250" s="12"/>
      <c r="EN250" s="11"/>
      <c r="EO250" s="13"/>
      <c r="EP250" s="11"/>
      <c r="EQ250" s="11"/>
      <c r="ER250" s="13"/>
      <c r="ES250" s="11"/>
      <c r="ET250" s="12"/>
      <c r="EU250" s="12"/>
      <c r="EV250" s="11"/>
      <c r="EW250" s="13"/>
      <c r="EX250" s="11"/>
      <c r="EY250" s="11"/>
      <c r="EZ250" s="13"/>
      <c r="FA250" s="11"/>
      <c r="FB250" s="12"/>
      <c r="FC250" s="12"/>
      <c r="FD250" s="11"/>
      <c r="FE250" s="13"/>
      <c r="FF250" s="11"/>
      <c r="FG250" s="11"/>
      <c r="FH250" s="13"/>
      <c r="FI250" s="11"/>
      <c r="FJ250" s="12"/>
      <c r="FK250" s="12"/>
      <c r="FL250" s="11"/>
      <c r="FM250" s="13"/>
      <c r="FN250" s="11"/>
      <c r="FO250" s="11"/>
      <c r="FP250" s="13"/>
      <c r="FQ250" s="11"/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/>
      <c r="GC250" s="13"/>
      <c r="GD250" s="11"/>
      <c r="GE250" s="11"/>
      <c r="GF250" s="13"/>
      <c r="GG250" s="11"/>
      <c r="GH250" s="12"/>
      <c r="GI250" s="12"/>
      <c r="GJ250" s="11"/>
      <c r="GK250" s="13"/>
      <c r="GL250" s="11"/>
      <c r="GM250" s="11"/>
      <c r="GN250" s="13"/>
      <c r="GO250" s="11"/>
      <c r="GP250" s="12"/>
      <c r="GQ250" s="12"/>
      <c r="GR250" s="11"/>
      <c r="GS250" s="13"/>
      <c r="GT250" s="11"/>
      <c r="GU250" s="11"/>
      <c r="GV250" s="13"/>
      <c r="GW250" s="11"/>
      <c r="GX250" s="12"/>
      <c r="GY250" s="12"/>
      <c r="GZ250" s="11"/>
      <c r="HA250" s="13"/>
      <c r="HB250" s="11"/>
      <c r="HC250" s="11"/>
      <c r="HD250" s="13"/>
      <c r="HE250" s="11"/>
      <c r="HF250" s="12"/>
      <c r="HG250" s="12"/>
      <c r="HH250" s="11"/>
      <c r="HI250" s="13"/>
      <c r="HJ250" s="11"/>
      <c r="HK250" s="11"/>
      <c r="HL250" s="13"/>
      <c r="HM250" s="11"/>
      <c r="HN250" s="12"/>
      <c r="HO250" s="12"/>
      <c r="HP250" s="11"/>
      <c r="HQ250" s="13"/>
      <c r="HR250" s="11"/>
      <c r="HS250" s="11"/>
      <c r="HT250" s="13"/>
      <c r="HU250" s="11"/>
      <c r="HV250" s="12"/>
      <c r="HW250" s="12"/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/>
      <c r="IO250" s="13"/>
      <c r="IP250" s="11"/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/>
      <c r="JO250" s="11"/>
      <c r="JP250" s="13"/>
      <c r="JQ250" s="11"/>
      <c r="JR250" s="12"/>
      <c r="JS250" s="12"/>
      <c r="JT250" s="11"/>
      <c r="JU250" s="13"/>
      <c r="JV250" s="11"/>
      <c r="JW250" s="11"/>
      <c r="JX250" s="13"/>
      <c r="JY250" s="11"/>
      <c r="JZ250" s="12"/>
      <c r="KA250" s="12"/>
      <c r="KB250" s="11"/>
      <c r="KC250" s="13"/>
      <c r="KD250" s="11"/>
      <c r="KE250" s="11"/>
      <c r="KF250" s="13"/>
      <c r="KG250" s="11"/>
      <c r="KH250" s="12"/>
      <c r="KI250" s="12"/>
      <c r="KJ250" s="11"/>
      <c r="KK250" s="13"/>
      <c r="KL250" s="11"/>
      <c r="KM250" s="11"/>
      <c r="KN250" s="13"/>
      <c r="KO250" s="11"/>
      <c r="KP250" s="12"/>
      <c r="KQ250" s="12"/>
      <c r="KR250" s="11"/>
      <c r="KS250" s="13"/>
      <c r="KT250" s="11"/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  <c r="LH250" s="11"/>
      <c r="LI250" s="13"/>
      <c r="LJ250" s="11"/>
      <c r="LK250" s="11"/>
      <c r="LL250" s="13"/>
      <c r="LM250" s="11"/>
      <c r="LN250" s="12"/>
      <c r="LO250" s="12"/>
      <c r="LP250" s="11"/>
      <c r="LQ250" s="13"/>
      <c r="LR250" s="11"/>
      <c r="LS250" s="11"/>
      <c r="LT250" s="13"/>
      <c r="LU250" s="11"/>
      <c r="LV250" s="12"/>
      <c r="LW250" s="12"/>
    </row>
    <row r="251">
      <c r="A251" s="10" t="s">
        <v>181</v>
      </c>
      <c r="B251" s="10" t="s">
        <v>164</v>
      </c>
      <c r="C251" s="10" t="s">
        <v>77</v>
      </c>
      <c r="D251" s="11">
        <v>3849</v>
      </c>
      <c r="E251" s="11">
        <f>=ROUNDDOWN({0},0)</f>
      </c>
      <c r="F251" s="11">
        <v>3440</v>
      </c>
      <c r="G251" s="12"/>
      <c r="H251" s="11"/>
      <c r="I251" s="11">
        <f>=ROUNDDOWN({0},0)</f>
      </c>
      <c r="J251" s="11"/>
      <c r="K251" s="12"/>
      <c r="L251" s="11">
        <v>772</v>
      </c>
      <c r="M251" s="13">
        <v>16706.08</v>
      </c>
      <c r="N251" s="11">
        <v>7</v>
      </c>
      <c r="O251" s="14">
        <v>2386.58</v>
      </c>
      <c r="P251" s="11"/>
      <c r="Q251" s="13"/>
      <c r="R251" s="11"/>
      <c r="S251" s="14"/>
      <c r="T251" s="12"/>
      <c r="U251" s="12"/>
      <c r="V251" s="12"/>
      <c r="W251" s="12"/>
      <c r="X251" s="11">
        <v>318</v>
      </c>
      <c r="Y251" s="13">
        <v>6608.82</v>
      </c>
      <c r="Z251" s="11">
        <v>7</v>
      </c>
      <c r="AA251" s="11"/>
      <c r="AB251" s="13"/>
      <c r="AC251" s="11"/>
      <c r="AD251" s="12"/>
      <c r="AE251" s="12"/>
      <c r="AF251" s="11"/>
      <c r="AG251" s="13"/>
      <c r="AH251" s="11"/>
      <c r="AI251" s="11"/>
      <c r="AJ251" s="13"/>
      <c r="AK251" s="11"/>
      <c r="AL251" s="12"/>
      <c r="AM251" s="12"/>
      <c r="AN251" s="11">
        <v>114</v>
      </c>
      <c r="AO251" s="13">
        <v>2519.48</v>
      </c>
      <c r="AP251" s="11">
        <v>7</v>
      </c>
      <c r="AQ251" s="11"/>
      <c r="AR251" s="13"/>
      <c r="AS251" s="11"/>
      <c r="AT251" s="12"/>
      <c r="AU251" s="12"/>
      <c r="AV251" s="11"/>
      <c r="AW251" s="13"/>
      <c r="AX251" s="11"/>
      <c r="AY251" s="11"/>
      <c r="AZ251" s="13"/>
      <c r="BA251" s="11"/>
      <c r="BB251" s="12"/>
      <c r="BC251" s="12"/>
      <c r="BD251" s="11">
        <v>96</v>
      </c>
      <c r="BE251" s="13">
        <v>2087.78</v>
      </c>
      <c r="BF251" s="11">
        <v>7</v>
      </c>
      <c r="BG251" s="11"/>
      <c r="BH251" s="13"/>
      <c r="BI251" s="11"/>
      <c r="BJ251" s="12"/>
      <c r="BK251" s="12"/>
      <c r="BL251" s="11"/>
      <c r="BM251" s="13"/>
      <c r="BN251" s="11"/>
      <c r="BO251" s="11"/>
      <c r="BP251" s="13"/>
      <c r="BQ251" s="11"/>
      <c r="BR251" s="12"/>
      <c r="BS251" s="12"/>
      <c r="BT251" s="11"/>
      <c r="BU251" s="13"/>
      <c r="BV251" s="11"/>
      <c r="BW251" s="11"/>
      <c r="BX251" s="13"/>
      <c r="BY251" s="11"/>
      <c r="BZ251" s="12"/>
      <c r="CA251" s="12"/>
      <c r="CB251" s="11"/>
      <c r="CC251" s="13"/>
      <c r="CD251" s="11"/>
      <c r="CE251" s="11"/>
      <c r="CF251" s="13"/>
      <c r="CG251" s="11"/>
      <c r="CH251" s="12"/>
      <c r="CI251" s="12"/>
      <c r="CJ251" s="11"/>
      <c r="CK251" s="13"/>
      <c r="CL251" s="11"/>
      <c r="CM251" s="11"/>
      <c r="CN251" s="13"/>
      <c r="CO251" s="11"/>
      <c r="CP251" s="12"/>
      <c r="CQ251" s="12"/>
      <c r="CR251" s="11"/>
      <c r="CS251" s="13"/>
      <c r="CT251" s="11"/>
      <c r="CU251" s="11"/>
      <c r="CV251" s="13"/>
      <c r="CW251" s="11"/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/>
      <c r="DI251" s="13"/>
      <c r="DJ251" s="11"/>
      <c r="DK251" s="11"/>
      <c r="DL251" s="13"/>
      <c r="DM251" s="11"/>
      <c r="DN251" s="12"/>
      <c r="DO251" s="12"/>
      <c r="DP251" s="11"/>
      <c r="DQ251" s="13"/>
      <c r="DR251" s="11"/>
      <c r="DS251" s="11"/>
      <c r="DT251" s="13"/>
      <c r="DU251" s="11"/>
      <c r="DV251" s="12"/>
      <c r="DW251" s="12"/>
      <c r="DX251" s="11"/>
      <c r="DY251" s="13"/>
      <c r="DZ251" s="11"/>
      <c r="EA251" s="11"/>
      <c r="EB251" s="13"/>
      <c r="EC251" s="11"/>
      <c r="ED251" s="12"/>
      <c r="EE251" s="12"/>
      <c r="EF251" s="11">
        <v>244</v>
      </c>
      <c r="EG251" s="13">
        <v>5490</v>
      </c>
      <c r="EH251" s="11"/>
      <c r="EI251" s="11"/>
      <c r="EJ251" s="13"/>
      <c r="EK251" s="11"/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/>
      <c r="EW251" s="13"/>
      <c r="EX251" s="11"/>
      <c r="EY251" s="11"/>
      <c r="EZ251" s="13"/>
      <c r="FA251" s="11"/>
      <c r="FB251" s="12"/>
      <c r="FC251" s="12"/>
      <c r="FD251" s="11"/>
      <c r="FE251" s="13"/>
      <c r="FF251" s="11"/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/>
      <c r="GS251" s="13"/>
      <c r="GT251" s="11"/>
      <c r="GU251" s="11"/>
      <c r="GV251" s="13"/>
      <c r="GW251" s="11"/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/>
      <c r="HQ251" s="13"/>
      <c r="HR251" s="11"/>
      <c r="HS251" s="11"/>
      <c r="HT251" s="13"/>
      <c r="HU251" s="11"/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/>
      <c r="JP251" s="13"/>
      <c r="JQ251" s="11"/>
      <c r="JR251" s="12"/>
      <c r="JS251" s="12"/>
      <c r="JT251" s="11"/>
      <c r="JU251" s="13"/>
      <c r="JV251" s="11"/>
      <c r="JW251" s="11"/>
      <c r="JX251" s="13"/>
      <c r="JY251" s="11"/>
      <c r="JZ251" s="12"/>
      <c r="KA251" s="12"/>
      <c r="KB251" s="11"/>
      <c r="KC251" s="13"/>
      <c r="KD251" s="11"/>
      <c r="KE251" s="11"/>
      <c r="KF251" s="13"/>
      <c r="KG251" s="11"/>
      <c r="KH251" s="12"/>
      <c r="KI251" s="12"/>
      <c r="KJ251" s="11"/>
      <c r="KK251" s="13"/>
      <c r="KL251" s="11"/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  <c r="LH251" s="11"/>
      <c r="LI251" s="13"/>
      <c r="LJ251" s="11"/>
      <c r="LK251" s="11"/>
      <c r="LL251" s="13"/>
      <c r="LM251" s="11"/>
      <c r="LN251" s="12"/>
      <c r="LO251" s="12"/>
      <c r="LP251" s="11"/>
      <c r="LQ251" s="13"/>
      <c r="LR251" s="11"/>
      <c r="LS251" s="11"/>
      <c r="LT251" s="13"/>
      <c r="LU251" s="11"/>
      <c r="LV251" s="12"/>
      <c r="LW251" s="12"/>
    </row>
    <row r="252">
      <c r="A252" s="10" t="s">
        <v>181</v>
      </c>
      <c r="B252" s="10" t="s">
        <v>190</v>
      </c>
      <c r="C252" s="10" t="s">
        <v>114</v>
      </c>
      <c r="D252" s="11"/>
      <c r="E252" s="11">
        <f>=ROUNDDOWN({0},0)</f>
      </c>
      <c r="F252" s="11"/>
      <c r="G252" s="12"/>
      <c r="H252" s="11"/>
      <c r="I252" s="11">
        <f>=ROUNDDOWN({0},0)</f>
      </c>
      <c r="J252" s="11"/>
      <c r="K252" s="12"/>
      <c r="L252" s="11"/>
      <c r="M252" s="13"/>
      <c r="N252" s="11"/>
      <c r="O252" s="14"/>
      <c r="P252" s="11"/>
      <c r="Q252" s="13"/>
      <c r="R252" s="11"/>
      <c r="S252" s="14"/>
      <c r="T252" s="12"/>
      <c r="U252" s="12"/>
      <c r="V252" s="12"/>
      <c r="W252" s="12"/>
      <c r="X252" s="11"/>
      <c r="Y252" s="13"/>
      <c r="Z252" s="11"/>
      <c r="AA252" s="11"/>
      <c r="AB252" s="13"/>
      <c r="AC252" s="11"/>
      <c r="AD252" s="12"/>
      <c r="AE252" s="12"/>
      <c r="AF252" s="11"/>
      <c r="AG252" s="13"/>
      <c r="AH252" s="11"/>
      <c r="AI252" s="11"/>
      <c r="AJ252" s="13"/>
      <c r="AK252" s="11"/>
      <c r="AL252" s="12"/>
      <c r="AM252" s="12"/>
      <c r="AN252" s="11"/>
      <c r="AO252" s="13"/>
      <c r="AP252" s="11"/>
      <c r="AQ252" s="11"/>
      <c r="AR252" s="13"/>
      <c r="AS252" s="11"/>
      <c r="AT252" s="12"/>
      <c r="AU252" s="12"/>
      <c r="AV252" s="11"/>
      <c r="AW252" s="13"/>
      <c r="AX252" s="11"/>
      <c r="AY252" s="11"/>
      <c r="AZ252" s="13"/>
      <c r="BA252" s="11"/>
      <c r="BB252" s="12"/>
      <c r="BC252" s="12"/>
      <c r="BD252" s="11"/>
      <c r="BE252" s="13"/>
      <c r="BF252" s="11"/>
      <c r="BG252" s="11"/>
      <c r="BH252" s="13"/>
      <c r="BI252" s="11"/>
      <c r="BJ252" s="12"/>
      <c r="BK252" s="12"/>
      <c r="BL252" s="11"/>
      <c r="BM252" s="13"/>
      <c r="BN252" s="11"/>
      <c r="BO252" s="11"/>
      <c r="BP252" s="13"/>
      <c r="BQ252" s="11"/>
      <c r="BR252" s="12"/>
      <c r="BS252" s="12"/>
      <c r="BT252" s="11"/>
      <c r="BU252" s="13"/>
      <c r="BV252" s="11"/>
      <c r="BW252" s="11"/>
      <c r="BX252" s="13"/>
      <c r="BY252" s="11"/>
      <c r="BZ252" s="12"/>
      <c r="CA252" s="12"/>
      <c r="CB252" s="11"/>
      <c r="CC252" s="13"/>
      <c r="CD252" s="11"/>
      <c r="CE252" s="11"/>
      <c r="CF252" s="13"/>
      <c r="CG252" s="11"/>
      <c r="CH252" s="12"/>
      <c r="CI252" s="12"/>
      <c r="CJ252" s="11"/>
      <c r="CK252" s="13"/>
      <c r="CL252" s="11"/>
      <c r="CM252" s="11"/>
      <c r="CN252" s="13"/>
      <c r="CO252" s="11"/>
      <c r="CP252" s="12"/>
      <c r="CQ252" s="12"/>
      <c r="CR252" s="11"/>
      <c r="CS252" s="13"/>
      <c r="CT252" s="11"/>
      <c r="CU252" s="11"/>
      <c r="CV252" s="13"/>
      <c r="CW252" s="11"/>
      <c r="CX252" s="12"/>
      <c r="CY252" s="12"/>
      <c r="CZ252" s="11"/>
      <c r="DA252" s="13"/>
      <c r="DB252" s="11"/>
      <c r="DC252" s="11"/>
      <c r="DD252" s="13"/>
      <c r="DE252" s="11"/>
      <c r="DF252" s="12"/>
      <c r="DG252" s="12"/>
      <c r="DH252" s="11"/>
      <c r="DI252" s="13"/>
      <c r="DJ252" s="11"/>
      <c r="DK252" s="11"/>
      <c r="DL252" s="13"/>
      <c r="DM252" s="11"/>
      <c r="DN252" s="12"/>
      <c r="DO252" s="12"/>
      <c r="DP252" s="11"/>
      <c r="DQ252" s="13"/>
      <c r="DR252" s="11"/>
      <c r="DS252" s="11"/>
      <c r="DT252" s="13"/>
      <c r="DU252" s="11"/>
      <c r="DV252" s="12"/>
      <c r="DW252" s="12"/>
      <c r="DX252" s="11"/>
      <c r="DY252" s="13"/>
      <c r="DZ252" s="11"/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/>
      <c r="EO252" s="13"/>
      <c r="EP252" s="11"/>
      <c r="EQ252" s="11"/>
      <c r="ER252" s="13"/>
      <c r="ES252" s="11"/>
      <c r="ET252" s="12"/>
      <c r="EU252" s="12"/>
      <c r="EV252" s="11"/>
      <c r="EW252" s="13"/>
      <c r="EX252" s="11"/>
      <c r="EY252" s="11"/>
      <c r="EZ252" s="13"/>
      <c r="FA252" s="11"/>
      <c r="FB252" s="12"/>
      <c r="FC252" s="12"/>
      <c r="FD252" s="11"/>
      <c r="FE252" s="13"/>
      <c r="FF252" s="11"/>
      <c r="FG252" s="11"/>
      <c r="FH252" s="13"/>
      <c r="FI252" s="11"/>
      <c r="FJ252" s="12"/>
      <c r="FK252" s="12"/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/>
      <c r="GS252" s="13"/>
      <c r="GT252" s="11"/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/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/>
      <c r="JP252" s="13"/>
      <c r="JQ252" s="11"/>
      <c r="JR252" s="12"/>
      <c r="JS252" s="12"/>
      <c r="JT252" s="11"/>
      <c r="JU252" s="13"/>
      <c r="JV252" s="11"/>
      <c r="JW252" s="11"/>
      <c r="JX252" s="13"/>
      <c r="JY252" s="11"/>
      <c r="JZ252" s="12"/>
      <c r="KA252" s="12"/>
      <c r="KB252" s="11"/>
      <c r="KC252" s="13"/>
      <c r="KD252" s="11"/>
      <c r="KE252" s="11"/>
      <c r="KF252" s="13"/>
      <c r="KG252" s="11"/>
      <c r="KH252" s="12"/>
      <c r="KI252" s="12"/>
      <c r="KJ252" s="11"/>
      <c r="KK252" s="13"/>
      <c r="KL252" s="11"/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  <c r="LH252" s="11"/>
      <c r="LI252" s="13"/>
      <c r="LJ252" s="11"/>
      <c r="LK252" s="11"/>
      <c r="LL252" s="13"/>
      <c r="LM252" s="11"/>
      <c r="LN252" s="12"/>
      <c r="LO252" s="12"/>
      <c r="LP252" s="11"/>
      <c r="LQ252" s="13"/>
      <c r="LR252" s="11"/>
      <c r="LS252" s="11"/>
      <c r="LT252" s="13"/>
      <c r="LU252" s="11"/>
      <c r="LV252" s="12"/>
      <c r="LW252" s="12"/>
    </row>
    <row r="253">
      <c r="A253" s="10" t="s">
        <v>181</v>
      </c>
      <c r="B253" s="10" t="s">
        <v>191</v>
      </c>
      <c r="C253" s="10" t="s">
        <v>77</v>
      </c>
      <c r="D253" s="11"/>
      <c r="E253" s="11">
        <f>=ROUNDDOWN({0},0)</f>
      </c>
      <c r="F253" s="11"/>
      <c r="G253" s="12"/>
      <c r="H253" s="11"/>
      <c r="I253" s="11">
        <f>=ROUNDDOWN({0},0)</f>
      </c>
      <c r="J253" s="11"/>
      <c r="K253" s="12"/>
      <c r="L253" s="11"/>
      <c r="M253" s="13"/>
      <c r="N253" s="11"/>
      <c r="O253" s="14"/>
      <c r="P253" s="11"/>
      <c r="Q253" s="13"/>
      <c r="R253" s="11"/>
      <c r="S253" s="14"/>
      <c r="T253" s="12"/>
      <c r="U253" s="12"/>
      <c r="V253" s="12"/>
      <c r="W253" s="12"/>
      <c r="X253" s="11"/>
      <c r="Y253" s="13"/>
      <c r="Z253" s="11"/>
      <c r="AA253" s="11"/>
      <c r="AB253" s="13"/>
      <c r="AC253" s="11"/>
      <c r="AD253" s="12"/>
      <c r="AE253" s="12"/>
      <c r="AF253" s="11"/>
      <c r="AG253" s="13"/>
      <c r="AH253" s="11"/>
      <c r="AI253" s="11"/>
      <c r="AJ253" s="13"/>
      <c r="AK253" s="11"/>
      <c r="AL253" s="12"/>
      <c r="AM253" s="12"/>
      <c r="AN253" s="11"/>
      <c r="AO253" s="13"/>
      <c r="AP253" s="11"/>
      <c r="AQ253" s="11"/>
      <c r="AR253" s="13"/>
      <c r="AS253" s="11"/>
      <c r="AT253" s="12"/>
      <c r="AU253" s="12"/>
      <c r="AV253" s="11"/>
      <c r="AW253" s="13"/>
      <c r="AX253" s="11"/>
      <c r="AY253" s="11"/>
      <c r="AZ253" s="13"/>
      <c r="BA253" s="11"/>
      <c r="BB253" s="12"/>
      <c r="BC253" s="12"/>
      <c r="BD253" s="11"/>
      <c r="BE253" s="13"/>
      <c r="BF253" s="11"/>
      <c r="BG253" s="11"/>
      <c r="BH253" s="13"/>
      <c r="BI253" s="11"/>
      <c r="BJ253" s="12"/>
      <c r="BK253" s="12"/>
      <c r="BL253" s="11"/>
      <c r="BM253" s="13"/>
      <c r="BN253" s="11"/>
      <c r="BO253" s="11"/>
      <c r="BP253" s="13"/>
      <c r="BQ253" s="11"/>
      <c r="BR253" s="12"/>
      <c r="BS253" s="12"/>
      <c r="BT253" s="11"/>
      <c r="BU253" s="13"/>
      <c r="BV253" s="11"/>
      <c r="BW253" s="11"/>
      <c r="BX253" s="13"/>
      <c r="BY253" s="11"/>
      <c r="BZ253" s="12"/>
      <c r="CA253" s="12"/>
      <c r="CB253" s="11"/>
      <c r="CC253" s="13"/>
      <c r="CD253" s="11"/>
      <c r="CE253" s="11"/>
      <c r="CF253" s="13"/>
      <c r="CG253" s="11"/>
      <c r="CH253" s="12"/>
      <c r="CI253" s="12"/>
      <c r="CJ253" s="11"/>
      <c r="CK253" s="13"/>
      <c r="CL253" s="11"/>
      <c r="CM253" s="11"/>
      <c r="CN253" s="13"/>
      <c r="CO253" s="11"/>
      <c r="CP253" s="12"/>
      <c r="CQ253" s="12"/>
      <c r="CR253" s="11"/>
      <c r="CS253" s="13"/>
      <c r="CT253" s="11"/>
      <c r="CU253" s="11"/>
      <c r="CV253" s="13"/>
      <c r="CW253" s="11"/>
      <c r="CX253" s="12"/>
      <c r="CY253" s="12"/>
      <c r="CZ253" s="11"/>
      <c r="DA253" s="13"/>
      <c r="DB253" s="11"/>
      <c r="DC253" s="11"/>
      <c r="DD253" s="13"/>
      <c r="DE253" s="11"/>
      <c r="DF253" s="12"/>
      <c r="DG253" s="12"/>
      <c r="DH253" s="11"/>
      <c r="DI253" s="13"/>
      <c r="DJ253" s="11"/>
      <c r="DK253" s="11"/>
      <c r="DL253" s="13"/>
      <c r="DM253" s="11"/>
      <c r="DN253" s="12"/>
      <c r="DO253" s="12"/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/>
      <c r="EA253" s="11"/>
      <c r="EB253" s="13"/>
      <c r="EC253" s="11"/>
      <c r="ED253" s="12"/>
      <c r="EE253" s="12"/>
      <c r="EF253" s="11"/>
      <c r="EG253" s="13"/>
      <c r="EH253" s="11"/>
      <c r="EI253" s="11"/>
      <c r="EJ253" s="13"/>
      <c r="EK253" s="11"/>
      <c r="EL253" s="12"/>
      <c r="EM253" s="12"/>
      <c r="EN253" s="11"/>
      <c r="EO253" s="13"/>
      <c r="EP253" s="11"/>
      <c r="EQ253" s="11"/>
      <c r="ER253" s="13"/>
      <c r="ES253" s="11"/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/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/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/>
      <c r="JP253" s="13"/>
      <c r="JQ253" s="11"/>
      <c r="JR253" s="12"/>
      <c r="JS253" s="12"/>
      <c r="JT253" s="11"/>
      <c r="JU253" s="13"/>
      <c r="JV253" s="11"/>
      <c r="JW253" s="11"/>
      <c r="JX253" s="13"/>
      <c r="JY253" s="11"/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/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  <c r="LH253" s="11"/>
      <c r="LI253" s="13"/>
      <c r="LJ253" s="11"/>
      <c r="LK253" s="11"/>
      <c r="LL253" s="13"/>
      <c r="LM253" s="11"/>
      <c r="LN253" s="12"/>
      <c r="LO253" s="12"/>
      <c r="LP253" s="11"/>
      <c r="LQ253" s="13"/>
      <c r="LR253" s="11"/>
      <c r="LS253" s="11"/>
      <c r="LT253" s="13"/>
      <c r="LU253" s="11"/>
      <c r="LV253" s="12"/>
      <c r="LW253" s="12"/>
    </row>
    <row r="254">
      <c r="A254" s="10" t="s">
        <v>181</v>
      </c>
      <c r="B254" s="10" t="s">
        <v>128</v>
      </c>
      <c r="C254" s="10" t="s">
        <v>183</v>
      </c>
      <c r="D254" s="11">
        <v>8880</v>
      </c>
      <c r="E254" s="11">
        <f>=ROUNDDOWN({0},0)</f>
      </c>
      <c r="F254" s="11"/>
      <c r="G254" s="12"/>
      <c r="H254" s="11"/>
      <c r="I254" s="11">
        <f>=ROUNDDOWN({0},0)</f>
      </c>
      <c r="J254" s="11"/>
      <c r="K254" s="12"/>
      <c r="L254" s="11"/>
      <c r="M254" s="13"/>
      <c r="N254" s="11"/>
      <c r="O254" s="14"/>
      <c r="P254" s="11"/>
      <c r="Q254" s="13"/>
      <c r="R254" s="11"/>
      <c r="S254" s="14"/>
      <c r="T254" s="12"/>
      <c r="U254" s="12"/>
      <c r="V254" s="12"/>
      <c r="W254" s="12"/>
      <c r="X254" s="11"/>
      <c r="Y254" s="13"/>
      <c r="Z254" s="11"/>
      <c r="AA254" s="11"/>
      <c r="AB254" s="13"/>
      <c r="AC254" s="11"/>
      <c r="AD254" s="12"/>
      <c r="AE254" s="12"/>
      <c r="AF254" s="11"/>
      <c r="AG254" s="13"/>
      <c r="AH254" s="11"/>
      <c r="AI254" s="11"/>
      <c r="AJ254" s="13"/>
      <c r="AK254" s="11"/>
      <c r="AL254" s="12"/>
      <c r="AM254" s="12"/>
      <c r="AN254" s="11"/>
      <c r="AO254" s="13"/>
      <c r="AP254" s="11"/>
      <c r="AQ254" s="11"/>
      <c r="AR254" s="13"/>
      <c r="AS254" s="11"/>
      <c r="AT254" s="12"/>
      <c r="AU254" s="12"/>
      <c r="AV254" s="11"/>
      <c r="AW254" s="13"/>
      <c r="AX254" s="11"/>
      <c r="AY254" s="11"/>
      <c r="AZ254" s="13"/>
      <c r="BA254" s="11"/>
      <c r="BB254" s="12"/>
      <c r="BC254" s="12"/>
      <c r="BD254" s="11"/>
      <c r="BE254" s="13"/>
      <c r="BF254" s="11"/>
      <c r="BG254" s="11"/>
      <c r="BH254" s="13"/>
      <c r="BI254" s="11"/>
      <c r="BJ254" s="12"/>
      <c r="BK254" s="12"/>
      <c r="BL254" s="11"/>
      <c r="BM254" s="13"/>
      <c r="BN254" s="11"/>
      <c r="BO254" s="11"/>
      <c r="BP254" s="13"/>
      <c r="BQ254" s="11"/>
      <c r="BR254" s="12"/>
      <c r="BS254" s="12"/>
      <c r="BT254" s="11"/>
      <c r="BU254" s="13"/>
      <c r="BV254" s="11"/>
      <c r="BW254" s="11"/>
      <c r="BX254" s="13"/>
      <c r="BY254" s="11"/>
      <c r="BZ254" s="12"/>
      <c r="CA254" s="12"/>
      <c r="CB254" s="11"/>
      <c r="CC254" s="13"/>
      <c r="CD254" s="11"/>
      <c r="CE254" s="11"/>
      <c r="CF254" s="13"/>
      <c r="CG254" s="11"/>
      <c r="CH254" s="12"/>
      <c r="CI254" s="12"/>
      <c r="CJ254" s="11"/>
      <c r="CK254" s="13"/>
      <c r="CL254" s="11"/>
      <c r="CM254" s="11"/>
      <c r="CN254" s="13"/>
      <c r="CO254" s="11"/>
      <c r="CP254" s="12"/>
      <c r="CQ254" s="12"/>
      <c r="CR254" s="11"/>
      <c r="CS254" s="13"/>
      <c r="CT254" s="11"/>
      <c r="CU254" s="11"/>
      <c r="CV254" s="13"/>
      <c r="CW254" s="11"/>
      <c r="CX254" s="12"/>
      <c r="CY254" s="12"/>
      <c r="CZ254" s="11"/>
      <c r="DA254" s="13"/>
      <c r="DB254" s="11"/>
      <c r="DC254" s="11"/>
      <c r="DD254" s="13"/>
      <c r="DE254" s="11"/>
      <c r="DF254" s="12"/>
      <c r="DG254" s="12"/>
      <c r="DH254" s="11"/>
      <c r="DI254" s="13"/>
      <c r="DJ254" s="11"/>
      <c r="DK254" s="11"/>
      <c r="DL254" s="13"/>
      <c r="DM254" s="11"/>
      <c r="DN254" s="12"/>
      <c r="DO254" s="12"/>
      <c r="DP254" s="11"/>
      <c r="DQ254" s="13"/>
      <c r="DR254" s="11"/>
      <c r="DS254" s="11"/>
      <c r="DT254" s="13"/>
      <c r="DU254" s="11"/>
      <c r="DV254" s="12"/>
      <c r="DW254" s="12"/>
      <c r="DX254" s="11"/>
      <c r="DY254" s="13"/>
      <c r="DZ254" s="11"/>
      <c r="EA254" s="11"/>
      <c r="EB254" s="13"/>
      <c r="EC254" s="11"/>
      <c r="ED254" s="12"/>
      <c r="EE254" s="12"/>
      <c r="EF254" s="11"/>
      <c r="EG254" s="13"/>
      <c r="EH254" s="11"/>
      <c r="EI254" s="11"/>
      <c r="EJ254" s="13"/>
      <c r="EK254" s="11"/>
      <c r="EL254" s="12"/>
      <c r="EM254" s="12"/>
      <c r="EN254" s="11"/>
      <c r="EO254" s="13"/>
      <c r="EP254" s="11"/>
      <c r="EQ254" s="11"/>
      <c r="ER254" s="13"/>
      <c r="ES254" s="11"/>
      <c r="ET254" s="12"/>
      <c r="EU254" s="12"/>
      <c r="EV254" s="11"/>
      <c r="EW254" s="13"/>
      <c r="EX254" s="11"/>
      <c r="EY254" s="11"/>
      <c r="EZ254" s="13"/>
      <c r="FA254" s="11"/>
      <c r="FB254" s="12"/>
      <c r="FC254" s="12"/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/>
      <c r="GS254" s="13"/>
      <c r="GT254" s="11"/>
      <c r="GU254" s="11"/>
      <c r="GV254" s="13"/>
      <c r="GW254" s="11"/>
      <c r="GX254" s="12"/>
      <c r="GY254" s="12"/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/>
      <c r="HQ254" s="13"/>
      <c r="HR254" s="11"/>
      <c r="HS254" s="11"/>
      <c r="HT254" s="13"/>
      <c r="HU254" s="11"/>
      <c r="HV254" s="12"/>
      <c r="HW254" s="12"/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/>
      <c r="JP254" s="13"/>
      <c r="JQ254" s="11"/>
      <c r="JR254" s="12"/>
      <c r="JS254" s="12"/>
      <c r="JT254" s="11"/>
      <c r="JU254" s="13"/>
      <c r="JV254" s="11"/>
      <c r="JW254" s="11"/>
      <c r="JX254" s="13"/>
      <c r="JY254" s="11"/>
      <c r="JZ254" s="12"/>
      <c r="KA254" s="12"/>
      <c r="KB254" s="11"/>
      <c r="KC254" s="13"/>
      <c r="KD254" s="11"/>
      <c r="KE254" s="11"/>
      <c r="KF254" s="13"/>
      <c r="KG254" s="11"/>
      <c r="KH254" s="12"/>
      <c r="KI254" s="12"/>
      <c r="KJ254" s="11"/>
      <c r="KK254" s="13"/>
      <c r="KL254" s="11"/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  <c r="LH254" s="11"/>
      <c r="LI254" s="13"/>
      <c r="LJ254" s="11"/>
      <c r="LK254" s="11"/>
      <c r="LL254" s="13"/>
      <c r="LM254" s="11"/>
      <c r="LN254" s="12"/>
      <c r="LO254" s="12"/>
      <c r="LP254" s="11"/>
      <c r="LQ254" s="13"/>
      <c r="LR254" s="11"/>
      <c r="LS254" s="11"/>
      <c r="LT254" s="13"/>
      <c r="LU254" s="11"/>
      <c r="LV254" s="12"/>
      <c r="LW254" s="12"/>
    </row>
    <row r="255">
      <c r="A255" s="10" t="s">
        <v>181</v>
      </c>
      <c r="B255" s="10" t="s">
        <v>129</v>
      </c>
      <c r="C255" s="10" t="s">
        <v>77</v>
      </c>
      <c r="D255" s="11">
        <v>8880</v>
      </c>
      <c r="E255" s="11">
        <f>=ROUNDDOWN({0},0)</f>
      </c>
      <c r="F255" s="11"/>
      <c r="G255" s="12"/>
      <c r="H255" s="11"/>
      <c r="I255" s="11">
        <f>=ROUNDDOWN({0},0)</f>
      </c>
      <c r="J255" s="11"/>
      <c r="K255" s="12"/>
      <c r="L255" s="11"/>
      <c r="M255" s="13"/>
      <c r="N255" s="11"/>
      <c r="O255" s="14"/>
      <c r="P255" s="11"/>
      <c r="Q255" s="13"/>
      <c r="R255" s="11"/>
      <c r="S255" s="14"/>
      <c r="T255" s="12"/>
      <c r="U255" s="12"/>
      <c r="V255" s="12"/>
      <c r="W255" s="12"/>
      <c r="X255" s="11"/>
      <c r="Y255" s="13"/>
      <c r="Z255" s="11"/>
      <c r="AA255" s="11"/>
      <c r="AB255" s="13"/>
      <c r="AC255" s="11"/>
      <c r="AD255" s="12"/>
      <c r="AE255" s="12"/>
      <c r="AF255" s="11"/>
      <c r="AG255" s="13"/>
      <c r="AH255" s="11"/>
      <c r="AI255" s="11"/>
      <c r="AJ255" s="13"/>
      <c r="AK255" s="11"/>
      <c r="AL255" s="12"/>
      <c r="AM255" s="12"/>
      <c r="AN255" s="11"/>
      <c r="AO255" s="13"/>
      <c r="AP255" s="11"/>
      <c r="AQ255" s="11"/>
      <c r="AR255" s="13"/>
      <c r="AS255" s="11"/>
      <c r="AT255" s="12"/>
      <c r="AU255" s="12"/>
      <c r="AV255" s="11"/>
      <c r="AW255" s="13"/>
      <c r="AX255" s="11"/>
      <c r="AY255" s="11"/>
      <c r="AZ255" s="13"/>
      <c r="BA255" s="11"/>
      <c r="BB255" s="12"/>
      <c r="BC255" s="12"/>
      <c r="BD255" s="11"/>
      <c r="BE255" s="13"/>
      <c r="BF255" s="11"/>
      <c r="BG255" s="11"/>
      <c r="BH255" s="13"/>
      <c r="BI255" s="11"/>
      <c r="BJ255" s="12"/>
      <c r="BK255" s="12"/>
      <c r="BL255" s="11"/>
      <c r="BM255" s="13"/>
      <c r="BN255" s="11"/>
      <c r="BO255" s="11"/>
      <c r="BP255" s="13"/>
      <c r="BQ255" s="11"/>
      <c r="BR255" s="12"/>
      <c r="BS255" s="12"/>
      <c r="BT255" s="11"/>
      <c r="BU255" s="13"/>
      <c r="BV255" s="11"/>
      <c r="BW255" s="11"/>
      <c r="BX255" s="13"/>
      <c r="BY255" s="11"/>
      <c r="BZ255" s="12"/>
      <c r="CA255" s="12"/>
      <c r="CB255" s="11"/>
      <c r="CC255" s="13"/>
      <c r="CD255" s="11"/>
      <c r="CE255" s="11"/>
      <c r="CF255" s="13"/>
      <c r="CG255" s="11"/>
      <c r="CH255" s="12"/>
      <c r="CI255" s="12"/>
      <c r="CJ255" s="11"/>
      <c r="CK255" s="13"/>
      <c r="CL255" s="11"/>
      <c r="CM255" s="11"/>
      <c r="CN255" s="13"/>
      <c r="CO255" s="11"/>
      <c r="CP255" s="12"/>
      <c r="CQ255" s="12"/>
      <c r="CR255" s="11"/>
      <c r="CS255" s="13"/>
      <c r="CT255" s="11"/>
      <c r="CU255" s="11"/>
      <c r="CV255" s="13"/>
      <c r="CW255" s="11"/>
      <c r="CX255" s="12"/>
      <c r="CY255" s="12"/>
      <c r="CZ255" s="11"/>
      <c r="DA255" s="13"/>
      <c r="DB255" s="11"/>
      <c r="DC255" s="11"/>
      <c r="DD255" s="13"/>
      <c r="DE255" s="11"/>
      <c r="DF255" s="12"/>
      <c r="DG255" s="12"/>
      <c r="DH255" s="11"/>
      <c r="DI255" s="13"/>
      <c r="DJ255" s="11"/>
      <c r="DK255" s="11"/>
      <c r="DL255" s="13"/>
      <c r="DM255" s="11"/>
      <c r="DN255" s="12"/>
      <c r="DO255" s="12"/>
      <c r="DP255" s="11"/>
      <c r="DQ255" s="13"/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/>
      <c r="EG255" s="13"/>
      <c r="EH255" s="11"/>
      <c r="EI255" s="11"/>
      <c r="EJ255" s="13"/>
      <c r="EK255" s="11"/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/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/>
      <c r="GM255" s="11"/>
      <c r="GN255" s="13"/>
      <c r="GO255" s="11"/>
      <c r="GP255" s="12"/>
      <c r="GQ255" s="12"/>
      <c r="GR255" s="11"/>
      <c r="GS255" s="13"/>
      <c r="GT255" s="11"/>
      <c r="GU255" s="11"/>
      <c r="GV255" s="13"/>
      <c r="GW255" s="11"/>
      <c r="GX255" s="12"/>
      <c r="GY255" s="12"/>
      <c r="GZ255" s="11"/>
      <c r="HA255" s="13"/>
      <c r="HB255" s="11"/>
      <c r="HC255" s="11"/>
      <c r="HD255" s="13"/>
      <c r="HE255" s="11"/>
      <c r="HF255" s="12"/>
      <c r="HG255" s="12"/>
      <c r="HH255" s="11"/>
      <c r="HI255" s="13"/>
      <c r="HJ255" s="11"/>
      <c r="HK255" s="11"/>
      <c r="HL255" s="13"/>
      <c r="HM255" s="11"/>
      <c r="HN255" s="12"/>
      <c r="HO255" s="12"/>
      <c r="HP255" s="11"/>
      <c r="HQ255" s="13"/>
      <c r="HR255" s="11"/>
      <c r="HS255" s="11"/>
      <c r="HT255" s="13"/>
      <c r="HU255" s="11"/>
      <c r="HV255" s="12"/>
      <c r="HW255" s="12"/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/>
      <c r="JP255" s="13"/>
      <c r="JQ255" s="11"/>
      <c r="JR255" s="12"/>
      <c r="JS255" s="12"/>
      <c r="JT255" s="11"/>
      <c r="JU255" s="13"/>
      <c r="JV255" s="11"/>
      <c r="JW255" s="11"/>
      <c r="JX255" s="13"/>
      <c r="JY255" s="11"/>
      <c r="JZ255" s="12"/>
      <c r="KA255" s="12"/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/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  <c r="LH255" s="11"/>
      <c r="LI255" s="13"/>
      <c r="LJ255" s="11"/>
      <c r="LK255" s="11"/>
      <c r="LL255" s="13"/>
      <c r="LM255" s="11"/>
      <c r="LN255" s="12"/>
      <c r="LO255" s="12"/>
      <c r="LP255" s="11"/>
      <c r="LQ255" s="13"/>
      <c r="LR255" s="11"/>
      <c r="LS255" s="11"/>
      <c r="LT255" s="13"/>
      <c r="LU255" s="11"/>
      <c r="LV255" s="12"/>
      <c r="LW255" s="12"/>
    </row>
    <row r="256">
      <c r="A256" s="10" t="s">
        <v>181</v>
      </c>
      <c r="B256" s="10" t="s">
        <v>165</v>
      </c>
      <c r="C256" s="10" t="s">
        <v>114</v>
      </c>
      <c r="D256" s="11">
        <v>1113</v>
      </c>
      <c r="E256" s="11">
        <f>=ROUNDDOWN(35.1104100946372,0)</f>
      </c>
      <c r="F256" s="11">
        <v>1200</v>
      </c>
      <c r="G256" s="12">
        <v>1</v>
      </c>
      <c r="H256" s="11"/>
      <c r="I256" s="11">
        <f>=ROUNDDOWN({0},0)</f>
      </c>
      <c r="J256" s="11"/>
      <c r="K256" s="12"/>
      <c r="L256" s="11">
        <v>462</v>
      </c>
      <c r="M256" s="13">
        <v>10039.19</v>
      </c>
      <c r="N256" s="11">
        <v>3</v>
      </c>
      <c r="O256" s="14">
        <v>3346.4</v>
      </c>
      <c r="P256" s="11"/>
      <c r="Q256" s="13"/>
      <c r="R256" s="11"/>
      <c r="S256" s="14"/>
      <c r="T256" s="12"/>
      <c r="U256" s="12"/>
      <c r="V256" s="12"/>
      <c r="W256" s="12"/>
      <c r="X256" s="11">
        <v>116</v>
      </c>
      <c r="Y256" s="13">
        <v>2655.32</v>
      </c>
      <c r="Z256" s="11">
        <v>3</v>
      </c>
      <c r="AA256" s="11"/>
      <c r="AB256" s="13"/>
      <c r="AC256" s="11"/>
      <c r="AD256" s="12"/>
      <c r="AE256" s="12"/>
      <c r="AF256" s="11">
        <v>10</v>
      </c>
      <c r="AG256" s="13">
        <v>196.54</v>
      </c>
      <c r="AH256" s="11">
        <v>3</v>
      </c>
      <c r="AI256" s="11"/>
      <c r="AJ256" s="13"/>
      <c r="AK256" s="11"/>
      <c r="AL256" s="12"/>
      <c r="AM256" s="12"/>
      <c r="AN256" s="11">
        <v>74</v>
      </c>
      <c r="AO256" s="13">
        <v>1481.5</v>
      </c>
      <c r="AP256" s="11">
        <v>3</v>
      </c>
      <c r="AQ256" s="11"/>
      <c r="AR256" s="13"/>
      <c r="AS256" s="11"/>
      <c r="AT256" s="12"/>
      <c r="AU256" s="12"/>
      <c r="AV256" s="11">
        <v>87</v>
      </c>
      <c r="AW256" s="13">
        <v>1841.36</v>
      </c>
      <c r="AX256" s="11"/>
      <c r="AY256" s="11"/>
      <c r="AZ256" s="13"/>
      <c r="BA256" s="11"/>
      <c r="BB256" s="12"/>
      <c r="BC256" s="12"/>
      <c r="BD256" s="11">
        <v>101</v>
      </c>
      <c r="BE256" s="13">
        <v>2262.1</v>
      </c>
      <c r="BF256" s="11">
        <v>3</v>
      </c>
      <c r="BG256" s="11"/>
      <c r="BH256" s="13"/>
      <c r="BI256" s="11"/>
      <c r="BJ256" s="12"/>
      <c r="BK256" s="12"/>
      <c r="BL256" s="11">
        <v>3</v>
      </c>
      <c r="BM256" s="13">
        <v>65.22</v>
      </c>
      <c r="BN256" s="11">
        <v>3</v>
      </c>
      <c r="BO256" s="11"/>
      <c r="BP256" s="13"/>
      <c r="BQ256" s="11"/>
      <c r="BR256" s="12"/>
      <c r="BS256" s="12"/>
      <c r="BT256" s="11">
        <v>22</v>
      </c>
      <c r="BU256" s="13">
        <v>479.6</v>
      </c>
      <c r="BV256" s="11">
        <v>3</v>
      </c>
      <c r="BW256" s="11"/>
      <c r="BX256" s="13"/>
      <c r="BY256" s="11"/>
      <c r="BZ256" s="12"/>
      <c r="CA256" s="12"/>
      <c r="CB256" s="11">
        <v>26</v>
      </c>
      <c r="CC256" s="13">
        <v>559.82</v>
      </c>
      <c r="CD256" s="11">
        <v>3</v>
      </c>
      <c r="CE256" s="11"/>
      <c r="CF256" s="13"/>
      <c r="CG256" s="11"/>
      <c r="CH256" s="12"/>
      <c r="CI256" s="12"/>
      <c r="CJ256" s="11"/>
      <c r="CK256" s="13"/>
      <c r="CL256" s="11">
        <v>3</v>
      </c>
      <c r="CM256" s="11"/>
      <c r="CN256" s="13"/>
      <c r="CO256" s="11"/>
      <c r="CP256" s="12"/>
      <c r="CQ256" s="12"/>
      <c r="CR256" s="11"/>
      <c r="CS256" s="13"/>
      <c r="CT256" s="11"/>
      <c r="CU256" s="11"/>
      <c r="CV256" s="13"/>
      <c r="CW256" s="11"/>
      <c r="CX256" s="12"/>
      <c r="CY256" s="12"/>
      <c r="CZ256" s="11"/>
      <c r="DA256" s="13"/>
      <c r="DB256" s="11">
        <v>1</v>
      </c>
      <c r="DC256" s="11"/>
      <c r="DD256" s="13"/>
      <c r="DE256" s="11"/>
      <c r="DF256" s="12"/>
      <c r="DG256" s="12"/>
      <c r="DH256" s="11"/>
      <c r="DI256" s="13"/>
      <c r="DJ256" s="11"/>
      <c r="DK256" s="11"/>
      <c r="DL256" s="13"/>
      <c r="DM256" s="11"/>
      <c r="DN256" s="12"/>
      <c r="DO256" s="12"/>
      <c r="DP256" s="11"/>
      <c r="DQ256" s="13"/>
      <c r="DR256" s="11"/>
      <c r="DS256" s="11"/>
      <c r="DT256" s="13"/>
      <c r="DU256" s="11"/>
      <c r="DV256" s="12"/>
      <c r="DW256" s="12"/>
      <c r="DX256" s="11">
        <v>17</v>
      </c>
      <c r="DY256" s="13">
        <v>371.27</v>
      </c>
      <c r="DZ256" s="11">
        <v>3</v>
      </c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>
        <v>3</v>
      </c>
      <c r="EQ256" s="11"/>
      <c r="ER256" s="13"/>
      <c r="ES256" s="11"/>
      <c r="ET256" s="12"/>
      <c r="EU256" s="12"/>
      <c r="EV256" s="11">
        <v>5</v>
      </c>
      <c r="EW256" s="13">
        <v>105</v>
      </c>
      <c r="EX256" s="11">
        <v>2</v>
      </c>
      <c r="EY256" s="11"/>
      <c r="EZ256" s="13"/>
      <c r="FA256" s="11"/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>
        <v>1</v>
      </c>
      <c r="FM256" s="13">
        <v>21.46</v>
      </c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/>
      <c r="GC256" s="13"/>
      <c r="GD256" s="11"/>
      <c r="GE256" s="11"/>
      <c r="GF256" s="13"/>
      <c r="GG256" s="11"/>
      <c r="GH256" s="12"/>
      <c r="GI256" s="12"/>
      <c r="GJ256" s="11"/>
      <c r="GK256" s="13"/>
      <c r="GL256" s="11"/>
      <c r="GM256" s="11"/>
      <c r="GN256" s="13"/>
      <c r="GO256" s="11"/>
      <c r="GP256" s="12"/>
      <c r="GQ256" s="12"/>
      <c r="GR256" s="11"/>
      <c r="GS256" s="13"/>
      <c r="GT256" s="11">
        <v>3</v>
      </c>
      <c r="GU256" s="11"/>
      <c r="GV256" s="13"/>
      <c r="GW256" s="11"/>
      <c r="GX256" s="12"/>
      <c r="GY256" s="12"/>
      <c r="GZ256" s="11"/>
      <c r="HA256" s="13"/>
      <c r="HB256" s="11"/>
      <c r="HC256" s="11"/>
      <c r="HD256" s="13"/>
      <c r="HE256" s="11"/>
      <c r="HF256" s="12"/>
      <c r="HG256" s="12"/>
      <c r="HH256" s="11"/>
      <c r="HI256" s="13"/>
      <c r="HJ256" s="11"/>
      <c r="HK256" s="11"/>
      <c r="HL256" s="13"/>
      <c r="HM256" s="11"/>
      <c r="HN256" s="12"/>
      <c r="HO256" s="12"/>
      <c r="HP256" s="11"/>
      <c r="HQ256" s="13"/>
      <c r="HR256" s="11"/>
      <c r="HS256" s="11"/>
      <c r="HT256" s="13"/>
      <c r="HU256" s="11"/>
      <c r="HV256" s="12"/>
      <c r="HW256" s="12"/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/>
      <c r="IO256" s="13"/>
      <c r="IP256" s="11"/>
      <c r="IQ256" s="11"/>
      <c r="IR256" s="13"/>
      <c r="IS256" s="11"/>
      <c r="IT256" s="12"/>
      <c r="IU256" s="12"/>
      <c r="IV256" s="11"/>
      <c r="IW256" s="13"/>
      <c r="IX256" s="11">
        <v>2</v>
      </c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/>
      <c r="JO256" s="11"/>
      <c r="JP256" s="13"/>
      <c r="JQ256" s="11"/>
      <c r="JR256" s="12"/>
      <c r="JS256" s="12"/>
      <c r="JT256" s="11"/>
      <c r="JU256" s="13"/>
      <c r="JV256" s="11"/>
      <c r="JW256" s="11"/>
      <c r="JX256" s="13"/>
      <c r="JY256" s="11"/>
      <c r="JZ256" s="12"/>
      <c r="KA256" s="12"/>
      <c r="KB256" s="11"/>
      <c r="KC256" s="13"/>
      <c r="KD256" s="11"/>
      <c r="KE256" s="11"/>
      <c r="KF256" s="13"/>
      <c r="KG256" s="11"/>
      <c r="KH256" s="12"/>
      <c r="KI256" s="12"/>
      <c r="KJ256" s="11"/>
      <c r="KK256" s="13"/>
      <c r="KL256" s="11"/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  <c r="LH256" s="11"/>
      <c r="LI256" s="13"/>
      <c r="LJ256" s="11"/>
      <c r="LK256" s="11"/>
      <c r="LL256" s="13"/>
      <c r="LM256" s="11"/>
      <c r="LN256" s="12"/>
      <c r="LO256" s="12"/>
      <c r="LP256" s="11"/>
      <c r="LQ256" s="13"/>
      <c r="LR256" s="11"/>
      <c r="LS256" s="11"/>
      <c r="LT256" s="13"/>
      <c r="LU256" s="11"/>
      <c r="LV256" s="12"/>
      <c r="LW256" s="12"/>
    </row>
    <row r="257">
      <c r="A257" s="10" t="s">
        <v>181</v>
      </c>
      <c r="B257" s="10" t="s">
        <v>166</v>
      </c>
      <c r="C257" s="10" t="s">
        <v>77</v>
      </c>
      <c r="D257" s="11">
        <v>1113</v>
      </c>
      <c r="E257" s="11">
        <f>=ROUNDDOWN({0},0)</f>
      </c>
      <c r="F257" s="11">
        <v>1200</v>
      </c>
      <c r="G257" s="12"/>
      <c r="H257" s="11"/>
      <c r="I257" s="11">
        <f>=ROUNDDOWN({0},0)</f>
      </c>
      <c r="J257" s="11"/>
      <c r="K257" s="12"/>
      <c r="L257" s="11">
        <v>462</v>
      </c>
      <c r="M257" s="13">
        <v>10039.19</v>
      </c>
      <c r="N257" s="11">
        <v>3</v>
      </c>
      <c r="O257" s="14">
        <v>3346.4</v>
      </c>
      <c r="P257" s="11"/>
      <c r="Q257" s="13"/>
      <c r="R257" s="11"/>
      <c r="S257" s="14"/>
      <c r="T257" s="12"/>
      <c r="U257" s="12"/>
      <c r="V257" s="12"/>
      <c r="W257" s="12"/>
      <c r="X257" s="11">
        <v>116</v>
      </c>
      <c r="Y257" s="13">
        <v>2655.32</v>
      </c>
      <c r="Z257" s="11">
        <v>3</v>
      </c>
      <c r="AA257" s="11"/>
      <c r="AB257" s="13"/>
      <c r="AC257" s="11"/>
      <c r="AD257" s="12"/>
      <c r="AE257" s="12"/>
      <c r="AF257" s="11">
        <v>10</v>
      </c>
      <c r="AG257" s="13">
        <v>196.54</v>
      </c>
      <c r="AH257" s="11">
        <v>3</v>
      </c>
      <c r="AI257" s="11"/>
      <c r="AJ257" s="13"/>
      <c r="AK257" s="11"/>
      <c r="AL257" s="12"/>
      <c r="AM257" s="12"/>
      <c r="AN257" s="11">
        <v>74</v>
      </c>
      <c r="AO257" s="13">
        <v>1481.5</v>
      </c>
      <c r="AP257" s="11">
        <v>3</v>
      </c>
      <c r="AQ257" s="11"/>
      <c r="AR257" s="13"/>
      <c r="AS257" s="11"/>
      <c r="AT257" s="12"/>
      <c r="AU257" s="12"/>
      <c r="AV257" s="11">
        <v>87</v>
      </c>
      <c r="AW257" s="13">
        <v>1841.36</v>
      </c>
      <c r="AX257" s="11"/>
      <c r="AY257" s="11"/>
      <c r="AZ257" s="13"/>
      <c r="BA257" s="11"/>
      <c r="BB257" s="12"/>
      <c r="BC257" s="12"/>
      <c r="BD257" s="11">
        <v>101</v>
      </c>
      <c r="BE257" s="13">
        <v>2262.1</v>
      </c>
      <c r="BF257" s="11">
        <v>3</v>
      </c>
      <c r="BG257" s="11"/>
      <c r="BH257" s="13"/>
      <c r="BI257" s="11"/>
      <c r="BJ257" s="12"/>
      <c r="BK257" s="12"/>
      <c r="BL257" s="11">
        <v>3</v>
      </c>
      <c r="BM257" s="13">
        <v>65.22</v>
      </c>
      <c r="BN257" s="11">
        <v>3</v>
      </c>
      <c r="BO257" s="11"/>
      <c r="BP257" s="13"/>
      <c r="BQ257" s="11"/>
      <c r="BR257" s="12"/>
      <c r="BS257" s="12"/>
      <c r="BT257" s="11">
        <v>22</v>
      </c>
      <c r="BU257" s="13">
        <v>479.6</v>
      </c>
      <c r="BV257" s="11">
        <v>3</v>
      </c>
      <c r="BW257" s="11"/>
      <c r="BX257" s="13"/>
      <c r="BY257" s="11"/>
      <c r="BZ257" s="12"/>
      <c r="CA257" s="12"/>
      <c r="CB257" s="11">
        <v>26</v>
      </c>
      <c r="CC257" s="13">
        <v>559.82</v>
      </c>
      <c r="CD257" s="11">
        <v>3</v>
      </c>
      <c r="CE257" s="11"/>
      <c r="CF257" s="13"/>
      <c r="CG257" s="11"/>
      <c r="CH257" s="12"/>
      <c r="CI257" s="12"/>
      <c r="CJ257" s="11"/>
      <c r="CK257" s="13"/>
      <c r="CL257" s="11">
        <v>3</v>
      </c>
      <c r="CM257" s="11"/>
      <c r="CN257" s="13"/>
      <c r="CO257" s="11"/>
      <c r="CP257" s="12"/>
      <c r="CQ257" s="12"/>
      <c r="CR257" s="11"/>
      <c r="CS257" s="13"/>
      <c r="CT257" s="11"/>
      <c r="CU257" s="11"/>
      <c r="CV257" s="13"/>
      <c r="CW257" s="11"/>
      <c r="CX257" s="12"/>
      <c r="CY257" s="12"/>
      <c r="CZ257" s="11"/>
      <c r="DA257" s="13"/>
      <c r="DB257" s="11">
        <v>1</v>
      </c>
      <c r="DC257" s="11"/>
      <c r="DD257" s="13"/>
      <c r="DE257" s="11"/>
      <c r="DF257" s="12"/>
      <c r="DG257" s="12"/>
      <c r="DH257" s="11"/>
      <c r="DI257" s="13"/>
      <c r="DJ257" s="11"/>
      <c r="DK257" s="11"/>
      <c r="DL257" s="13"/>
      <c r="DM257" s="11"/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>
        <v>17</v>
      </c>
      <c r="DY257" s="13">
        <v>371.27</v>
      </c>
      <c r="DZ257" s="11">
        <v>3</v>
      </c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>
        <v>3</v>
      </c>
      <c r="EQ257" s="11"/>
      <c r="ER257" s="13"/>
      <c r="ES257" s="11"/>
      <c r="ET257" s="12"/>
      <c r="EU257" s="12"/>
      <c r="EV257" s="11">
        <v>5</v>
      </c>
      <c r="EW257" s="13">
        <v>105</v>
      </c>
      <c r="EX257" s="11">
        <v>2</v>
      </c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>
        <v>1</v>
      </c>
      <c r="FM257" s="13">
        <v>21.46</v>
      </c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>
        <v>3</v>
      </c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>
        <v>2</v>
      </c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/>
      <c r="JP257" s="13"/>
      <c r="JQ257" s="11"/>
      <c r="JR257" s="12"/>
      <c r="JS257" s="12"/>
      <c r="JT257" s="11"/>
      <c r="JU257" s="13"/>
      <c r="JV257" s="11"/>
      <c r="JW257" s="11"/>
      <c r="JX257" s="13"/>
      <c r="JY257" s="11"/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  <c r="LH257" s="11"/>
      <c r="LI257" s="13"/>
      <c r="LJ257" s="11"/>
      <c r="LK257" s="11"/>
      <c r="LL257" s="13"/>
      <c r="LM257" s="11"/>
      <c r="LN257" s="12"/>
      <c r="LO257" s="12"/>
      <c r="LP257" s="11"/>
      <c r="LQ257" s="13"/>
      <c r="LR257" s="11"/>
      <c r="LS257" s="11"/>
      <c r="LT257" s="13"/>
      <c r="LU257" s="11"/>
      <c r="LV257" s="12"/>
      <c r="LW257" s="12"/>
    </row>
    <row r="258">
      <c r="A258" s="10" t="s">
        <v>181</v>
      </c>
      <c r="B258" s="10" t="s">
        <v>136</v>
      </c>
      <c r="C258" s="10" t="s">
        <v>114</v>
      </c>
      <c r="D258" s="11">
        <v>928</v>
      </c>
      <c r="E258" s="11">
        <f>=ROUNDDOWN(29,0)</f>
      </c>
      <c r="F258" s="11">
        <v>852</v>
      </c>
      <c r="G258" s="12">
        <v>1</v>
      </c>
      <c r="H258" s="11"/>
      <c r="I258" s="11">
        <f>=ROUNDDOWN({0},0)</f>
      </c>
      <c r="J258" s="11"/>
      <c r="K258" s="12"/>
      <c r="L258" s="11">
        <v>686</v>
      </c>
      <c r="M258" s="13">
        <v>14976.85</v>
      </c>
      <c r="N258" s="11">
        <v>3</v>
      </c>
      <c r="O258" s="14">
        <v>4992.28</v>
      </c>
      <c r="P258" s="11"/>
      <c r="Q258" s="13"/>
      <c r="R258" s="11"/>
      <c r="S258" s="14"/>
      <c r="T258" s="12"/>
      <c r="U258" s="12"/>
      <c r="V258" s="12"/>
      <c r="W258" s="12"/>
      <c r="X258" s="11">
        <v>480</v>
      </c>
      <c r="Y258" s="13">
        <v>10494.42</v>
      </c>
      <c r="Z258" s="11">
        <v>3</v>
      </c>
      <c r="AA258" s="11"/>
      <c r="AB258" s="13"/>
      <c r="AC258" s="11"/>
      <c r="AD258" s="12"/>
      <c r="AE258" s="12"/>
      <c r="AF258" s="11">
        <v>16</v>
      </c>
      <c r="AG258" s="13">
        <v>313.21</v>
      </c>
      <c r="AH258" s="11">
        <v>3</v>
      </c>
      <c r="AI258" s="11"/>
      <c r="AJ258" s="13"/>
      <c r="AK258" s="11"/>
      <c r="AL258" s="12"/>
      <c r="AM258" s="12"/>
      <c r="AN258" s="11">
        <v>96</v>
      </c>
      <c r="AO258" s="13">
        <v>2042.92</v>
      </c>
      <c r="AP258" s="11">
        <v>3</v>
      </c>
      <c r="AQ258" s="11"/>
      <c r="AR258" s="13"/>
      <c r="AS258" s="11"/>
      <c r="AT258" s="12"/>
      <c r="AU258" s="12"/>
      <c r="AV258" s="11">
        <v>12</v>
      </c>
      <c r="AW258" s="13">
        <v>268.43</v>
      </c>
      <c r="AX258" s="11">
        <v>2</v>
      </c>
      <c r="AY258" s="11"/>
      <c r="AZ258" s="13"/>
      <c r="BA258" s="11"/>
      <c r="BB258" s="12"/>
      <c r="BC258" s="12"/>
      <c r="BD258" s="11">
        <v>7</v>
      </c>
      <c r="BE258" s="13">
        <v>151.13</v>
      </c>
      <c r="BF258" s="11">
        <v>1</v>
      </c>
      <c r="BG258" s="11"/>
      <c r="BH258" s="13"/>
      <c r="BI258" s="11"/>
      <c r="BJ258" s="12"/>
      <c r="BK258" s="12"/>
      <c r="BL258" s="11">
        <v>21</v>
      </c>
      <c r="BM258" s="13">
        <v>476.7</v>
      </c>
      <c r="BN258" s="11">
        <v>3</v>
      </c>
      <c r="BO258" s="11"/>
      <c r="BP258" s="13"/>
      <c r="BQ258" s="11"/>
      <c r="BR258" s="12"/>
      <c r="BS258" s="12"/>
      <c r="BT258" s="11">
        <v>1</v>
      </c>
      <c r="BU258" s="13">
        <v>31.94</v>
      </c>
      <c r="BV258" s="11">
        <v>3</v>
      </c>
      <c r="BW258" s="11"/>
      <c r="BX258" s="13"/>
      <c r="BY258" s="11"/>
      <c r="BZ258" s="12"/>
      <c r="CA258" s="12"/>
      <c r="CB258" s="11">
        <v>44</v>
      </c>
      <c r="CC258" s="13">
        <v>994.4</v>
      </c>
      <c r="CD258" s="11">
        <v>3</v>
      </c>
      <c r="CE258" s="11"/>
      <c r="CF258" s="13"/>
      <c r="CG258" s="11"/>
      <c r="CH258" s="12"/>
      <c r="CI258" s="12"/>
      <c r="CJ258" s="11"/>
      <c r="CK258" s="13"/>
      <c r="CL258" s="11"/>
      <c r="CM258" s="11"/>
      <c r="CN258" s="13"/>
      <c r="CO258" s="11"/>
      <c r="CP258" s="12"/>
      <c r="CQ258" s="12"/>
      <c r="CR258" s="11"/>
      <c r="CS258" s="13"/>
      <c r="CT258" s="11"/>
      <c r="CU258" s="11"/>
      <c r="CV258" s="13"/>
      <c r="CW258" s="11"/>
      <c r="CX258" s="12"/>
      <c r="CY258" s="12"/>
      <c r="CZ258" s="11"/>
      <c r="DA258" s="13"/>
      <c r="DB258" s="11"/>
      <c r="DC258" s="11"/>
      <c r="DD258" s="13"/>
      <c r="DE258" s="11"/>
      <c r="DF258" s="12"/>
      <c r="DG258" s="12"/>
      <c r="DH258" s="11"/>
      <c r="DI258" s="13"/>
      <c r="DJ258" s="11"/>
      <c r="DK258" s="11"/>
      <c r="DL258" s="13"/>
      <c r="DM258" s="11"/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>
        <v>6</v>
      </c>
      <c r="DY258" s="13">
        <v>135.6</v>
      </c>
      <c r="DZ258" s="11">
        <v>3</v>
      </c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>
        <v>3</v>
      </c>
      <c r="EQ258" s="11"/>
      <c r="ER258" s="13"/>
      <c r="ES258" s="11"/>
      <c r="ET258" s="12"/>
      <c r="EU258" s="12"/>
      <c r="EV258" s="11">
        <v>3</v>
      </c>
      <c r="EW258" s="13">
        <v>68.1</v>
      </c>
      <c r="EX258" s="11">
        <v>2</v>
      </c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/>
      <c r="GM258" s="11"/>
      <c r="GN258" s="13"/>
      <c r="GO258" s="11"/>
      <c r="GP258" s="12"/>
      <c r="GQ258" s="12"/>
      <c r="GR258" s="11"/>
      <c r="GS258" s="13"/>
      <c r="GT258" s="11">
        <v>2</v>
      </c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/>
      <c r="JP258" s="13"/>
      <c r="JQ258" s="11"/>
      <c r="JR258" s="12"/>
      <c r="JS258" s="12"/>
      <c r="JT258" s="11"/>
      <c r="JU258" s="13"/>
      <c r="JV258" s="11"/>
      <c r="JW258" s="11"/>
      <c r="JX258" s="13"/>
      <c r="JY258" s="11"/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  <c r="LH258" s="11"/>
      <c r="LI258" s="13"/>
      <c r="LJ258" s="11"/>
      <c r="LK258" s="11"/>
      <c r="LL258" s="13"/>
      <c r="LM258" s="11"/>
      <c r="LN258" s="12"/>
      <c r="LO258" s="12"/>
      <c r="LP258" s="11"/>
      <c r="LQ258" s="13"/>
      <c r="LR258" s="11"/>
      <c r="LS258" s="11"/>
      <c r="LT258" s="13"/>
      <c r="LU258" s="11"/>
      <c r="LV258" s="12"/>
      <c r="LW258" s="12"/>
    </row>
    <row r="259">
      <c r="A259" s="10" t="s">
        <v>181</v>
      </c>
      <c r="B259" s="10" t="s">
        <v>137</v>
      </c>
      <c r="C259" s="10" t="s">
        <v>77</v>
      </c>
      <c r="D259" s="11">
        <v>928</v>
      </c>
      <c r="E259" s="11">
        <f>=ROUNDDOWN({0},0)</f>
      </c>
      <c r="F259" s="11">
        <v>852</v>
      </c>
      <c r="G259" s="12"/>
      <c r="H259" s="11"/>
      <c r="I259" s="11">
        <f>=ROUNDDOWN({0},0)</f>
      </c>
      <c r="J259" s="11"/>
      <c r="K259" s="12"/>
      <c r="L259" s="11">
        <v>686</v>
      </c>
      <c r="M259" s="13">
        <v>14976.85</v>
      </c>
      <c r="N259" s="11">
        <v>3</v>
      </c>
      <c r="O259" s="14">
        <v>4992.28</v>
      </c>
      <c r="P259" s="11"/>
      <c r="Q259" s="13"/>
      <c r="R259" s="11"/>
      <c r="S259" s="14"/>
      <c r="T259" s="12"/>
      <c r="U259" s="12"/>
      <c r="V259" s="12"/>
      <c r="W259" s="12"/>
      <c r="X259" s="11">
        <v>480</v>
      </c>
      <c r="Y259" s="13">
        <v>10494.42</v>
      </c>
      <c r="Z259" s="11">
        <v>3</v>
      </c>
      <c r="AA259" s="11"/>
      <c r="AB259" s="13"/>
      <c r="AC259" s="11"/>
      <c r="AD259" s="12"/>
      <c r="AE259" s="12"/>
      <c r="AF259" s="11">
        <v>16</v>
      </c>
      <c r="AG259" s="13">
        <v>313.21</v>
      </c>
      <c r="AH259" s="11">
        <v>3</v>
      </c>
      <c r="AI259" s="11"/>
      <c r="AJ259" s="13"/>
      <c r="AK259" s="11"/>
      <c r="AL259" s="12"/>
      <c r="AM259" s="12"/>
      <c r="AN259" s="11">
        <v>96</v>
      </c>
      <c r="AO259" s="13">
        <v>2042.92</v>
      </c>
      <c r="AP259" s="11">
        <v>3</v>
      </c>
      <c r="AQ259" s="11"/>
      <c r="AR259" s="13"/>
      <c r="AS259" s="11"/>
      <c r="AT259" s="12"/>
      <c r="AU259" s="12"/>
      <c r="AV259" s="11">
        <v>12</v>
      </c>
      <c r="AW259" s="13">
        <v>268.43</v>
      </c>
      <c r="AX259" s="11">
        <v>2</v>
      </c>
      <c r="AY259" s="11"/>
      <c r="AZ259" s="13"/>
      <c r="BA259" s="11"/>
      <c r="BB259" s="12"/>
      <c r="BC259" s="12"/>
      <c r="BD259" s="11">
        <v>7</v>
      </c>
      <c r="BE259" s="13">
        <v>151.13</v>
      </c>
      <c r="BF259" s="11">
        <v>1</v>
      </c>
      <c r="BG259" s="11"/>
      <c r="BH259" s="13"/>
      <c r="BI259" s="11"/>
      <c r="BJ259" s="12"/>
      <c r="BK259" s="12"/>
      <c r="BL259" s="11">
        <v>21</v>
      </c>
      <c r="BM259" s="13">
        <v>476.7</v>
      </c>
      <c r="BN259" s="11">
        <v>3</v>
      </c>
      <c r="BO259" s="11"/>
      <c r="BP259" s="13"/>
      <c r="BQ259" s="11"/>
      <c r="BR259" s="12"/>
      <c r="BS259" s="12"/>
      <c r="BT259" s="11">
        <v>1</v>
      </c>
      <c r="BU259" s="13">
        <v>31.94</v>
      </c>
      <c r="BV259" s="11">
        <v>3</v>
      </c>
      <c r="BW259" s="11"/>
      <c r="BX259" s="13"/>
      <c r="BY259" s="11"/>
      <c r="BZ259" s="12"/>
      <c r="CA259" s="12"/>
      <c r="CB259" s="11">
        <v>44</v>
      </c>
      <c r="CC259" s="13">
        <v>994.4</v>
      </c>
      <c r="CD259" s="11">
        <v>3</v>
      </c>
      <c r="CE259" s="11"/>
      <c r="CF259" s="13"/>
      <c r="CG259" s="11"/>
      <c r="CH259" s="12"/>
      <c r="CI259" s="12"/>
      <c r="CJ259" s="11"/>
      <c r="CK259" s="13"/>
      <c r="CL259" s="11"/>
      <c r="CM259" s="11"/>
      <c r="CN259" s="13"/>
      <c r="CO259" s="11"/>
      <c r="CP259" s="12"/>
      <c r="CQ259" s="12"/>
      <c r="CR259" s="11"/>
      <c r="CS259" s="13"/>
      <c r="CT259" s="11"/>
      <c r="CU259" s="11"/>
      <c r="CV259" s="13"/>
      <c r="CW259" s="11"/>
      <c r="CX259" s="12"/>
      <c r="CY259" s="12"/>
      <c r="CZ259" s="11"/>
      <c r="DA259" s="13"/>
      <c r="DB259" s="11"/>
      <c r="DC259" s="11"/>
      <c r="DD259" s="13"/>
      <c r="DE259" s="11"/>
      <c r="DF259" s="12"/>
      <c r="DG259" s="12"/>
      <c r="DH259" s="11"/>
      <c r="DI259" s="13"/>
      <c r="DJ259" s="11"/>
      <c r="DK259" s="11"/>
      <c r="DL259" s="13"/>
      <c r="DM259" s="11"/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>
        <v>6</v>
      </c>
      <c r="DY259" s="13">
        <v>135.6</v>
      </c>
      <c r="DZ259" s="11">
        <v>3</v>
      </c>
      <c r="EA259" s="11"/>
      <c r="EB259" s="13"/>
      <c r="EC259" s="11"/>
      <c r="ED259" s="12"/>
      <c r="EE259" s="12"/>
      <c r="EF259" s="11"/>
      <c r="EG259" s="13"/>
      <c r="EH259" s="11"/>
      <c r="EI259" s="11"/>
      <c r="EJ259" s="13"/>
      <c r="EK259" s="11"/>
      <c r="EL259" s="12"/>
      <c r="EM259" s="12"/>
      <c r="EN259" s="11"/>
      <c r="EO259" s="13"/>
      <c r="EP259" s="11">
        <v>3</v>
      </c>
      <c r="EQ259" s="11"/>
      <c r="ER259" s="13"/>
      <c r="ES259" s="11"/>
      <c r="ET259" s="12"/>
      <c r="EU259" s="12"/>
      <c r="EV259" s="11">
        <v>3</v>
      </c>
      <c r="EW259" s="13">
        <v>68.1</v>
      </c>
      <c r="EX259" s="11">
        <v>2</v>
      </c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/>
      <c r="GM259" s="11"/>
      <c r="GN259" s="13"/>
      <c r="GO259" s="11"/>
      <c r="GP259" s="12"/>
      <c r="GQ259" s="12"/>
      <c r="GR259" s="11"/>
      <c r="GS259" s="13"/>
      <c r="GT259" s="11">
        <v>2</v>
      </c>
      <c r="GU259" s="11"/>
      <c r="GV259" s="13"/>
      <c r="GW259" s="11"/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/>
      <c r="JP259" s="13"/>
      <c r="JQ259" s="11"/>
      <c r="JR259" s="12"/>
      <c r="JS259" s="12"/>
      <c r="JT259" s="11"/>
      <c r="JU259" s="13"/>
      <c r="JV259" s="11"/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/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  <c r="LH259" s="11"/>
      <c r="LI259" s="13"/>
      <c r="LJ259" s="11"/>
      <c r="LK259" s="11"/>
      <c r="LL259" s="13"/>
      <c r="LM259" s="11"/>
      <c r="LN259" s="12"/>
      <c r="LO259" s="12"/>
      <c r="LP259" s="11"/>
      <c r="LQ259" s="13"/>
      <c r="LR259" s="11"/>
      <c r="LS259" s="11"/>
      <c r="LT259" s="13"/>
      <c r="LU259" s="11"/>
      <c r="LV259" s="12"/>
      <c r="LW259" s="12"/>
    </row>
    <row r="260">
      <c r="A260" s="10" t="s">
        <v>192</v>
      </c>
      <c r="B260" s="10" t="s">
        <v>77</v>
      </c>
      <c r="C260" s="10" t="s">
        <v>77</v>
      </c>
      <c r="D260" s="11">
        <v>247754</v>
      </c>
      <c r="E260" s="11">
        <f>=ROUNDDOWN({0},0)</f>
      </c>
      <c r="F260" s="11">
        <v>220334</v>
      </c>
      <c r="G260" s="12"/>
      <c r="H260" s="11"/>
      <c r="I260" s="11">
        <f>=ROUNDDOWN({0},0)</f>
      </c>
      <c r="J260" s="11"/>
      <c r="K260" s="12"/>
      <c r="L260" s="11">
        <v>122200</v>
      </c>
      <c r="M260" s="13">
        <v>2305901.13</v>
      </c>
      <c r="N260" s="11">
        <v>266</v>
      </c>
      <c r="O260" s="14">
        <v>8668.8</v>
      </c>
      <c r="P260" s="11"/>
      <c r="Q260" s="13"/>
      <c r="R260" s="11"/>
      <c r="S260" s="14"/>
      <c r="T260" s="12"/>
      <c r="U260" s="12"/>
      <c r="V260" s="12"/>
      <c r="W260" s="12"/>
      <c r="X260" s="11">
        <v>71869</v>
      </c>
      <c r="Y260" s="13">
        <v>1360704.78</v>
      </c>
      <c r="Z260" s="11">
        <v>245</v>
      </c>
      <c r="AA260" s="11"/>
      <c r="AB260" s="13"/>
      <c r="AC260" s="11"/>
      <c r="AD260" s="12"/>
      <c r="AE260" s="12"/>
      <c r="AF260" s="11">
        <v>6076</v>
      </c>
      <c r="AG260" s="13">
        <v>105338.6</v>
      </c>
      <c r="AH260" s="11">
        <v>253</v>
      </c>
      <c r="AI260" s="11"/>
      <c r="AJ260" s="13"/>
      <c r="AK260" s="11"/>
      <c r="AL260" s="12"/>
      <c r="AM260" s="12"/>
      <c r="AN260" s="11">
        <v>15899</v>
      </c>
      <c r="AO260" s="13">
        <v>277695.08</v>
      </c>
      <c r="AP260" s="11">
        <v>260</v>
      </c>
      <c r="AQ260" s="11"/>
      <c r="AR260" s="13"/>
      <c r="AS260" s="11"/>
      <c r="AT260" s="12"/>
      <c r="AU260" s="12"/>
      <c r="AV260" s="11">
        <v>6057</v>
      </c>
      <c r="AW260" s="13">
        <v>120385.02</v>
      </c>
      <c r="AX260" s="11">
        <v>152</v>
      </c>
      <c r="AY260" s="11"/>
      <c r="AZ260" s="13"/>
      <c r="BA260" s="11"/>
      <c r="BB260" s="12"/>
      <c r="BC260" s="12"/>
      <c r="BD260" s="11">
        <v>10815</v>
      </c>
      <c r="BE260" s="13">
        <v>209532.77</v>
      </c>
      <c r="BF260" s="11">
        <v>233</v>
      </c>
      <c r="BG260" s="11"/>
      <c r="BH260" s="13"/>
      <c r="BI260" s="11"/>
      <c r="BJ260" s="12"/>
      <c r="BK260" s="12"/>
      <c r="BL260" s="11">
        <v>3390</v>
      </c>
      <c r="BM260" s="13">
        <v>70347.51</v>
      </c>
      <c r="BN260" s="11">
        <v>253</v>
      </c>
      <c r="BO260" s="11"/>
      <c r="BP260" s="13"/>
      <c r="BQ260" s="11"/>
      <c r="BR260" s="12"/>
      <c r="BS260" s="12"/>
      <c r="BT260" s="11">
        <v>1479</v>
      </c>
      <c r="BU260" s="13">
        <v>30175.33</v>
      </c>
      <c r="BV260" s="11">
        <v>250</v>
      </c>
      <c r="BW260" s="11"/>
      <c r="BX260" s="13"/>
      <c r="BY260" s="11"/>
      <c r="BZ260" s="12"/>
      <c r="CA260" s="12"/>
      <c r="CB260" s="11">
        <v>3288</v>
      </c>
      <c r="CC260" s="13">
        <v>60321.86</v>
      </c>
      <c r="CD260" s="11">
        <v>225</v>
      </c>
      <c r="CE260" s="11"/>
      <c r="CF260" s="13"/>
      <c r="CG260" s="11"/>
      <c r="CH260" s="12"/>
      <c r="CI260" s="12"/>
      <c r="CJ260" s="11">
        <v>96</v>
      </c>
      <c r="CK260" s="13">
        <v>3563.52</v>
      </c>
      <c r="CL260" s="11">
        <v>238</v>
      </c>
      <c r="CM260" s="11"/>
      <c r="CN260" s="13"/>
      <c r="CO260" s="11"/>
      <c r="CP260" s="12"/>
      <c r="CQ260" s="12"/>
      <c r="CR260" s="11"/>
      <c r="CS260" s="13"/>
      <c r="CT260" s="11"/>
      <c r="CU260" s="11"/>
      <c r="CV260" s="13"/>
      <c r="CW260" s="11"/>
      <c r="CX260" s="12"/>
      <c r="CY260" s="12"/>
      <c r="CZ260" s="11">
        <v>737</v>
      </c>
      <c r="DA260" s="13">
        <v>14377.1</v>
      </c>
      <c r="DB260" s="11">
        <v>90</v>
      </c>
      <c r="DC260" s="11"/>
      <c r="DD260" s="13"/>
      <c r="DE260" s="11"/>
      <c r="DF260" s="12"/>
      <c r="DG260" s="12"/>
      <c r="DH260" s="11"/>
      <c r="DI260" s="13"/>
      <c r="DJ260" s="11"/>
      <c r="DK260" s="11"/>
      <c r="DL260" s="13"/>
      <c r="DM260" s="11"/>
      <c r="DN260" s="12"/>
      <c r="DO260" s="12"/>
      <c r="DP260" s="11">
        <v>13</v>
      </c>
      <c r="DQ260" s="13">
        <v>391.51</v>
      </c>
      <c r="DR260" s="11">
        <v>37</v>
      </c>
      <c r="DS260" s="11"/>
      <c r="DT260" s="13"/>
      <c r="DU260" s="11"/>
      <c r="DV260" s="12"/>
      <c r="DW260" s="12"/>
      <c r="DX260" s="11">
        <v>1185</v>
      </c>
      <c r="DY260" s="13">
        <v>23725.39</v>
      </c>
      <c r="DZ260" s="11">
        <v>224</v>
      </c>
      <c r="EA260" s="11"/>
      <c r="EB260" s="13"/>
      <c r="EC260" s="11"/>
      <c r="ED260" s="12"/>
      <c r="EE260" s="12"/>
      <c r="EF260" s="11">
        <v>244</v>
      </c>
      <c r="EG260" s="13">
        <v>5490</v>
      </c>
      <c r="EH260" s="11"/>
      <c r="EI260" s="11"/>
      <c r="EJ260" s="13"/>
      <c r="EK260" s="11"/>
      <c r="EL260" s="12"/>
      <c r="EM260" s="12"/>
      <c r="EN260" s="11">
        <v>244</v>
      </c>
      <c r="EO260" s="13">
        <v>7911.48</v>
      </c>
      <c r="EP260" s="11">
        <v>253</v>
      </c>
      <c r="EQ260" s="11"/>
      <c r="ER260" s="13"/>
      <c r="ES260" s="11"/>
      <c r="ET260" s="12"/>
      <c r="EU260" s="12"/>
      <c r="EV260" s="11">
        <v>154</v>
      </c>
      <c r="EW260" s="13">
        <v>2612.64</v>
      </c>
      <c r="EX260" s="11">
        <v>77</v>
      </c>
      <c r="EY260" s="11"/>
      <c r="EZ260" s="13"/>
      <c r="FA260" s="11"/>
      <c r="FB260" s="12"/>
      <c r="FC260" s="12"/>
      <c r="FD260" s="11">
        <v>122</v>
      </c>
      <c r="FE260" s="13">
        <v>2141.42</v>
      </c>
      <c r="FF260" s="11">
        <v>46</v>
      </c>
      <c r="FG260" s="11"/>
      <c r="FH260" s="13"/>
      <c r="FI260" s="11"/>
      <c r="FJ260" s="12"/>
      <c r="FK260" s="12"/>
      <c r="FL260" s="11">
        <v>323</v>
      </c>
      <c r="FM260" s="13">
        <v>7195.12</v>
      </c>
      <c r="FN260" s="11">
        <v>92</v>
      </c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/>
      <c r="GE260" s="11"/>
      <c r="GF260" s="13"/>
      <c r="GG260" s="11"/>
      <c r="GH260" s="12"/>
      <c r="GI260" s="12"/>
      <c r="GJ260" s="11"/>
      <c r="GK260" s="13"/>
      <c r="GL260" s="11"/>
      <c r="GM260" s="11"/>
      <c r="GN260" s="13"/>
      <c r="GO260" s="11"/>
      <c r="GP260" s="12"/>
      <c r="GQ260" s="12"/>
      <c r="GR260" s="11">
        <v>57</v>
      </c>
      <c r="GS260" s="13">
        <v>1209.51</v>
      </c>
      <c r="GT260" s="11">
        <v>203</v>
      </c>
      <c r="GU260" s="11"/>
      <c r="GV260" s="13"/>
      <c r="GW260" s="11"/>
      <c r="GX260" s="12"/>
      <c r="GY260" s="12"/>
      <c r="GZ260" s="11">
        <v>34</v>
      </c>
      <c r="HA260" s="13">
        <v>537.05</v>
      </c>
      <c r="HB260" s="11">
        <v>42</v>
      </c>
      <c r="HC260" s="11"/>
      <c r="HD260" s="13"/>
      <c r="HE260" s="11"/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/>
      <c r="HQ260" s="13"/>
      <c r="HR260" s="11"/>
      <c r="HS260" s="11"/>
      <c r="HT260" s="13"/>
      <c r="HU260" s="11"/>
      <c r="HV260" s="12"/>
      <c r="HW260" s="12"/>
      <c r="HX260" s="11">
        <v>81</v>
      </c>
      <c r="HY260" s="13">
        <v>1336.06</v>
      </c>
      <c r="HZ260" s="11">
        <v>59</v>
      </c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>
        <v>6</v>
      </c>
      <c r="IO260" s="13">
        <v>324.94</v>
      </c>
      <c r="IP260" s="11">
        <v>11</v>
      </c>
      <c r="IQ260" s="11"/>
      <c r="IR260" s="13"/>
      <c r="IS260" s="11"/>
      <c r="IT260" s="12"/>
      <c r="IU260" s="12"/>
      <c r="IV260" s="11">
        <v>31</v>
      </c>
      <c r="IW260" s="13">
        <v>584.44</v>
      </c>
      <c r="IX260" s="11">
        <v>79</v>
      </c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/>
      <c r="JP260" s="13"/>
      <c r="JQ260" s="11"/>
      <c r="JR260" s="12"/>
      <c r="JS260" s="12"/>
      <c r="JT260" s="11"/>
      <c r="JU260" s="13"/>
      <c r="JV260" s="11">
        <v>161</v>
      </c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/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  <c r="LH260" s="11"/>
      <c r="LI260" s="13"/>
      <c r="LJ260" s="11"/>
      <c r="LK260" s="11"/>
      <c r="LL260" s="13"/>
      <c r="LM260" s="11"/>
      <c r="LN260" s="12"/>
      <c r="LO260" s="12"/>
      <c r="LP260" s="11"/>
      <c r="LQ260" s="13"/>
      <c r="LR260" s="11"/>
      <c r="LS260" s="11"/>
      <c r="LT260" s="13"/>
      <c r="LU260" s="11"/>
      <c r="LV260" s="12"/>
      <c r="LW260" s="12"/>
    </row>
    <row r="261">
      <c r="A261" s="10" t="s">
        <v>193</v>
      </c>
      <c r="B261" s="10" t="s">
        <v>194</v>
      </c>
      <c r="C261" s="10" t="s">
        <v>115</v>
      </c>
      <c r="D261" s="11"/>
      <c r="E261" s="11">
        <f>=ROUNDDOWN({0},0)</f>
      </c>
      <c r="F261" s="11"/>
      <c r="G261" s="12"/>
      <c r="H261" s="11"/>
      <c r="I261" s="11">
        <f>=ROUNDDOWN({0},0)</f>
      </c>
      <c r="J261" s="11"/>
      <c r="K261" s="12"/>
      <c r="L261" s="11">
        <v>20000</v>
      </c>
      <c r="M261" s="13">
        <v>113000</v>
      </c>
      <c r="N261" s="11">
        <v>1</v>
      </c>
      <c r="O261" s="14">
        <v>113000</v>
      </c>
      <c r="P261" s="11"/>
      <c r="Q261" s="13"/>
      <c r="R261" s="11"/>
      <c r="S261" s="14"/>
      <c r="T261" s="12"/>
      <c r="U261" s="12"/>
      <c r="V261" s="12"/>
      <c r="W261" s="12"/>
      <c r="X261" s="11"/>
      <c r="Y261" s="13"/>
      <c r="Z261" s="11"/>
      <c r="AA261" s="11"/>
      <c r="AB261" s="13"/>
      <c r="AC261" s="11"/>
      <c r="AD261" s="12"/>
      <c r="AE261" s="12"/>
      <c r="AF261" s="11"/>
      <c r="AG261" s="13"/>
      <c r="AH261" s="11"/>
      <c r="AI261" s="11"/>
      <c r="AJ261" s="13"/>
      <c r="AK261" s="11"/>
      <c r="AL261" s="12"/>
      <c r="AM261" s="12"/>
      <c r="AN261" s="11"/>
      <c r="AO261" s="13"/>
      <c r="AP261" s="11"/>
      <c r="AQ261" s="11"/>
      <c r="AR261" s="13"/>
      <c r="AS261" s="11"/>
      <c r="AT261" s="12"/>
      <c r="AU261" s="12"/>
      <c r="AV261" s="11"/>
      <c r="AW261" s="13"/>
      <c r="AX261" s="11"/>
      <c r="AY261" s="11"/>
      <c r="AZ261" s="13"/>
      <c r="BA261" s="11"/>
      <c r="BB261" s="12"/>
      <c r="BC261" s="12"/>
      <c r="BD261" s="11"/>
      <c r="BE261" s="13"/>
      <c r="BF261" s="11"/>
      <c r="BG261" s="11"/>
      <c r="BH261" s="13"/>
      <c r="BI261" s="11"/>
      <c r="BJ261" s="12"/>
      <c r="BK261" s="12"/>
      <c r="BL261" s="11"/>
      <c r="BM261" s="13"/>
      <c r="BN261" s="11"/>
      <c r="BO261" s="11"/>
      <c r="BP261" s="13"/>
      <c r="BQ261" s="11"/>
      <c r="BR261" s="12"/>
      <c r="BS261" s="12"/>
      <c r="BT261" s="11"/>
      <c r="BU261" s="13"/>
      <c r="BV261" s="11"/>
      <c r="BW261" s="11"/>
      <c r="BX261" s="13"/>
      <c r="BY261" s="11"/>
      <c r="BZ261" s="12"/>
      <c r="CA261" s="12"/>
      <c r="CB261" s="11"/>
      <c r="CC261" s="13"/>
      <c r="CD261" s="11"/>
      <c r="CE261" s="11"/>
      <c r="CF261" s="13"/>
      <c r="CG261" s="11"/>
      <c r="CH261" s="12"/>
      <c r="CI261" s="12"/>
      <c r="CJ261" s="11"/>
      <c r="CK261" s="13"/>
      <c r="CL261" s="11"/>
      <c r="CM261" s="11"/>
      <c r="CN261" s="13"/>
      <c r="CO261" s="11"/>
      <c r="CP261" s="12"/>
      <c r="CQ261" s="12"/>
      <c r="CR261" s="11">
        <v>20000</v>
      </c>
      <c r="CS261" s="13">
        <v>113000</v>
      </c>
      <c r="CT261" s="11"/>
      <c r="CU261" s="11"/>
      <c r="CV261" s="13"/>
      <c r="CW261" s="11"/>
      <c r="CX261" s="12"/>
      <c r="CY261" s="12"/>
      <c r="CZ261" s="11"/>
      <c r="DA261" s="13"/>
      <c r="DB261" s="11"/>
      <c r="DC261" s="11"/>
      <c r="DD261" s="13"/>
      <c r="DE261" s="11"/>
      <c r="DF261" s="12"/>
      <c r="DG261" s="12"/>
      <c r="DH261" s="11"/>
      <c r="DI261" s="13"/>
      <c r="DJ261" s="11"/>
      <c r="DK261" s="11"/>
      <c r="DL261" s="13"/>
      <c r="DM261" s="11"/>
      <c r="DN261" s="12"/>
      <c r="DO261" s="12"/>
      <c r="DP261" s="11"/>
      <c r="DQ261" s="13"/>
      <c r="DR261" s="11"/>
      <c r="DS261" s="11"/>
      <c r="DT261" s="13"/>
      <c r="DU261" s="11"/>
      <c r="DV261" s="12"/>
      <c r="DW261" s="12"/>
      <c r="DX261" s="11"/>
      <c r="DY261" s="13"/>
      <c r="DZ261" s="11"/>
      <c r="EA261" s="11"/>
      <c r="EB261" s="13"/>
      <c r="EC261" s="11"/>
      <c r="ED261" s="12"/>
      <c r="EE261" s="12"/>
      <c r="EF261" s="11"/>
      <c r="EG261" s="13"/>
      <c r="EH261" s="11"/>
      <c r="EI261" s="11"/>
      <c r="EJ261" s="13"/>
      <c r="EK261" s="11"/>
      <c r="EL261" s="12"/>
      <c r="EM261" s="12"/>
      <c r="EN261" s="11"/>
      <c r="EO261" s="13"/>
      <c r="EP261" s="11">
        <v>1</v>
      </c>
      <c r="EQ261" s="11"/>
      <c r="ER261" s="13"/>
      <c r="ES261" s="11"/>
      <c r="ET261" s="12"/>
      <c r="EU261" s="12"/>
      <c r="EV261" s="11"/>
      <c r="EW261" s="13"/>
      <c r="EX261" s="11"/>
      <c r="EY261" s="11"/>
      <c r="EZ261" s="13"/>
      <c r="FA261" s="11"/>
      <c r="FB261" s="12"/>
      <c r="FC261" s="12"/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/>
      <c r="FO261" s="11"/>
      <c r="FP261" s="13"/>
      <c r="FQ261" s="11"/>
      <c r="FR261" s="12"/>
      <c r="FS261" s="12"/>
      <c r="FT261" s="11"/>
      <c r="FU261" s="13"/>
      <c r="FV261" s="11"/>
      <c r="FW261" s="11"/>
      <c r="FX261" s="13"/>
      <c r="FY261" s="11"/>
      <c r="FZ261" s="12"/>
      <c r="GA261" s="12"/>
      <c r="GB261" s="11"/>
      <c r="GC261" s="13"/>
      <c r="GD261" s="11"/>
      <c r="GE261" s="11"/>
      <c r="GF261" s="13"/>
      <c r="GG261" s="11"/>
      <c r="GH261" s="12"/>
      <c r="GI261" s="12"/>
      <c r="GJ261" s="11"/>
      <c r="GK261" s="13"/>
      <c r="GL261" s="11"/>
      <c r="GM261" s="11"/>
      <c r="GN261" s="13"/>
      <c r="GO261" s="11"/>
      <c r="GP261" s="12"/>
      <c r="GQ261" s="12"/>
      <c r="GR261" s="11"/>
      <c r="GS261" s="13"/>
      <c r="GT261" s="11"/>
      <c r="GU261" s="11"/>
      <c r="GV261" s="13"/>
      <c r="GW261" s="11"/>
      <c r="GX261" s="12"/>
      <c r="GY261" s="12"/>
      <c r="GZ261" s="11"/>
      <c r="HA261" s="13"/>
      <c r="HB261" s="11"/>
      <c r="HC261" s="11"/>
      <c r="HD261" s="13"/>
      <c r="HE261" s="11"/>
      <c r="HF261" s="12"/>
      <c r="HG261" s="12"/>
      <c r="HH261" s="11"/>
      <c r="HI261" s="13"/>
      <c r="HJ261" s="11"/>
      <c r="HK261" s="11"/>
      <c r="HL261" s="13"/>
      <c r="HM261" s="11"/>
      <c r="HN261" s="12"/>
      <c r="HO261" s="12"/>
      <c r="HP261" s="11"/>
      <c r="HQ261" s="13"/>
      <c r="HR261" s="11"/>
      <c r="HS261" s="11"/>
      <c r="HT261" s="13"/>
      <c r="HU261" s="11"/>
      <c r="HV261" s="12"/>
      <c r="HW261" s="12"/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/>
      <c r="JO261" s="11"/>
      <c r="JP261" s="13"/>
      <c r="JQ261" s="11"/>
      <c r="JR261" s="12"/>
      <c r="JS261" s="12"/>
      <c r="JT261" s="11"/>
      <c r="JU261" s="13"/>
      <c r="JV261" s="11"/>
      <c r="JW261" s="11"/>
      <c r="JX261" s="13"/>
      <c r="JY261" s="11"/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/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  <c r="LH261" s="11"/>
      <c r="LI261" s="13"/>
      <c r="LJ261" s="11"/>
      <c r="LK261" s="11"/>
      <c r="LL261" s="13"/>
      <c r="LM261" s="11"/>
      <c r="LN261" s="12"/>
      <c r="LO261" s="12"/>
      <c r="LP261" s="11"/>
      <c r="LQ261" s="13"/>
      <c r="LR261" s="11"/>
      <c r="LS261" s="11"/>
      <c r="LT261" s="13"/>
      <c r="LU261" s="11"/>
      <c r="LV261" s="12"/>
      <c r="LW261" s="12"/>
    </row>
    <row r="262">
      <c r="A262" s="10" t="s">
        <v>193</v>
      </c>
      <c r="B262" s="10" t="s">
        <v>194</v>
      </c>
      <c r="C262" s="10" t="s">
        <v>195</v>
      </c>
      <c r="D262" s="11"/>
      <c r="E262" s="11">
        <f>=ROUNDDOWN({0},0)</f>
      </c>
      <c r="F262" s="11"/>
      <c r="G262" s="12"/>
      <c r="H262" s="11"/>
      <c r="I262" s="11">
        <f>=ROUNDDOWN({0},0)</f>
      </c>
      <c r="J262" s="11"/>
      <c r="K262" s="12"/>
      <c r="L262" s="11">
        <v>20000</v>
      </c>
      <c r="M262" s="13">
        <v>120000</v>
      </c>
      <c r="N262" s="11">
        <v>1</v>
      </c>
      <c r="O262" s="14">
        <v>120000</v>
      </c>
      <c r="P262" s="11"/>
      <c r="Q262" s="13"/>
      <c r="R262" s="11"/>
      <c r="S262" s="14"/>
      <c r="T262" s="12"/>
      <c r="U262" s="12"/>
      <c r="V262" s="12"/>
      <c r="W262" s="12"/>
      <c r="X262" s="11"/>
      <c r="Y262" s="13"/>
      <c r="Z262" s="11"/>
      <c r="AA262" s="11"/>
      <c r="AB262" s="13"/>
      <c r="AC262" s="11"/>
      <c r="AD262" s="12"/>
      <c r="AE262" s="12"/>
      <c r="AF262" s="11"/>
      <c r="AG262" s="13"/>
      <c r="AH262" s="11"/>
      <c r="AI262" s="11"/>
      <c r="AJ262" s="13"/>
      <c r="AK262" s="11"/>
      <c r="AL262" s="12"/>
      <c r="AM262" s="12"/>
      <c r="AN262" s="11"/>
      <c r="AO262" s="13"/>
      <c r="AP262" s="11"/>
      <c r="AQ262" s="11"/>
      <c r="AR262" s="13"/>
      <c r="AS262" s="11"/>
      <c r="AT262" s="12"/>
      <c r="AU262" s="12"/>
      <c r="AV262" s="11"/>
      <c r="AW262" s="13"/>
      <c r="AX262" s="11"/>
      <c r="AY262" s="11"/>
      <c r="AZ262" s="13"/>
      <c r="BA262" s="11"/>
      <c r="BB262" s="12"/>
      <c r="BC262" s="12"/>
      <c r="BD262" s="11"/>
      <c r="BE262" s="13"/>
      <c r="BF262" s="11"/>
      <c r="BG262" s="11"/>
      <c r="BH262" s="13"/>
      <c r="BI262" s="11"/>
      <c r="BJ262" s="12"/>
      <c r="BK262" s="12"/>
      <c r="BL262" s="11"/>
      <c r="BM262" s="13"/>
      <c r="BN262" s="11"/>
      <c r="BO262" s="11"/>
      <c r="BP262" s="13"/>
      <c r="BQ262" s="11"/>
      <c r="BR262" s="12"/>
      <c r="BS262" s="12"/>
      <c r="BT262" s="11"/>
      <c r="BU262" s="13"/>
      <c r="BV262" s="11"/>
      <c r="BW262" s="11"/>
      <c r="BX262" s="13"/>
      <c r="BY262" s="11"/>
      <c r="BZ262" s="12"/>
      <c r="CA262" s="12"/>
      <c r="CB262" s="11"/>
      <c r="CC262" s="13"/>
      <c r="CD262" s="11"/>
      <c r="CE262" s="11"/>
      <c r="CF262" s="13"/>
      <c r="CG262" s="11"/>
      <c r="CH262" s="12"/>
      <c r="CI262" s="12"/>
      <c r="CJ262" s="11"/>
      <c r="CK262" s="13"/>
      <c r="CL262" s="11"/>
      <c r="CM262" s="11"/>
      <c r="CN262" s="13"/>
      <c r="CO262" s="11"/>
      <c r="CP262" s="12"/>
      <c r="CQ262" s="12"/>
      <c r="CR262" s="11">
        <v>20000</v>
      </c>
      <c r="CS262" s="13">
        <v>120000</v>
      </c>
      <c r="CT262" s="11"/>
      <c r="CU262" s="11"/>
      <c r="CV262" s="13"/>
      <c r="CW262" s="11"/>
      <c r="CX262" s="12"/>
      <c r="CY262" s="12"/>
      <c r="CZ262" s="11"/>
      <c r="DA262" s="13"/>
      <c r="DB262" s="11"/>
      <c r="DC262" s="11"/>
      <c r="DD262" s="13"/>
      <c r="DE262" s="11"/>
      <c r="DF262" s="12"/>
      <c r="DG262" s="12"/>
      <c r="DH262" s="11"/>
      <c r="DI262" s="13"/>
      <c r="DJ262" s="11"/>
      <c r="DK262" s="11"/>
      <c r="DL262" s="13"/>
      <c r="DM262" s="11"/>
      <c r="DN262" s="12"/>
      <c r="DO262" s="12"/>
      <c r="DP262" s="11"/>
      <c r="DQ262" s="13"/>
      <c r="DR262" s="11"/>
      <c r="DS262" s="11"/>
      <c r="DT262" s="13"/>
      <c r="DU262" s="11"/>
      <c r="DV262" s="12"/>
      <c r="DW262" s="12"/>
      <c r="DX262" s="11"/>
      <c r="DY262" s="13"/>
      <c r="DZ262" s="11"/>
      <c r="EA262" s="11"/>
      <c r="EB262" s="13"/>
      <c r="EC262" s="11"/>
      <c r="ED262" s="12"/>
      <c r="EE262" s="12"/>
      <c r="EF262" s="11"/>
      <c r="EG262" s="13"/>
      <c r="EH262" s="11"/>
      <c r="EI262" s="11"/>
      <c r="EJ262" s="13"/>
      <c r="EK262" s="11"/>
      <c r="EL262" s="12"/>
      <c r="EM262" s="12"/>
      <c r="EN262" s="11"/>
      <c r="EO262" s="13"/>
      <c r="EP262" s="11">
        <v>1</v>
      </c>
      <c r="EQ262" s="11"/>
      <c r="ER262" s="13"/>
      <c r="ES262" s="11"/>
      <c r="ET262" s="12"/>
      <c r="EU262" s="12"/>
      <c r="EV262" s="11"/>
      <c r="EW262" s="13"/>
      <c r="EX262" s="11"/>
      <c r="EY262" s="11"/>
      <c r="EZ262" s="13"/>
      <c r="FA262" s="11"/>
      <c r="FB262" s="12"/>
      <c r="FC262" s="12"/>
      <c r="FD262" s="11"/>
      <c r="FE262" s="13"/>
      <c r="FF262" s="11"/>
      <c r="FG262" s="11"/>
      <c r="FH262" s="13"/>
      <c r="FI262" s="11"/>
      <c r="FJ262" s="12"/>
      <c r="FK262" s="12"/>
      <c r="FL262" s="11"/>
      <c r="FM262" s="13"/>
      <c r="FN262" s="11"/>
      <c r="FO262" s="11"/>
      <c r="FP262" s="13"/>
      <c r="FQ262" s="11"/>
      <c r="FR262" s="12"/>
      <c r="FS262" s="12"/>
      <c r="FT262" s="11"/>
      <c r="FU262" s="13"/>
      <c r="FV262" s="11"/>
      <c r="FW262" s="11"/>
      <c r="FX262" s="13"/>
      <c r="FY262" s="11"/>
      <c r="FZ262" s="12"/>
      <c r="GA262" s="12"/>
      <c r="GB262" s="11"/>
      <c r="GC262" s="13"/>
      <c r="GD262" s="11"/>
      <c r="GE262" s="11"/>
      <c r="GF262" s="13"/>
      <c r="GG262" s="11"/>
      <c r="GH262" s="12"/>
      <c r="GI262" s="12"/>
      <c r="GJ262" s="11"/>
      <c r="GK262" s="13"/>
      <c r="GL262" s="11"/>
      <c r="GM262" s="11"/>
      <c r="GN262" s="13"/>
      <c r="GO262" s="11"/>
      <c r="GP262" s="12"/>
      <c r="GQ262" s="12"/>
      <c r="GR262" s="11"/>
      <c r="GS262" s="13"/>
      <c r="GT262" s="11"/>
      <c r="GU262" s="11"/>
      <c r="GV262" s="13"/>
      <c r="GW262" s="11"/>
      <c r="GX262" s="12"/>
      <c r="GY262" s="12"/>
      <c r="GZ262" s="11"/>
      <c r="HA262" s="13"/>
      <c r="HB262" s="11"/>
      <c r="HC262" s="11"/>
      <c r="HD262" s="13"/>
      <c r="HE262" s="11"/>
      <c r="HF262" s="12"/>
      <c r="HG262" s="12"/>
      <c r="HH262" s="11"/>
      <c r="HI262" s="13"/>
      <c r="HJ262" s="11"/>
      <c r="HK262" s="11"/>
      <c r="HL262" s="13"/>
      <c r="HM262" s="11"/>
      <c r="HN262" s="12"/>
      <c r="HO262" s="12"/>
      <c r="HP262" s="11"/>
      <c r="HQ262" s="13"/>
      <c r="HR262" s="11"/>
      <c r="HS262" s="11"/>
      <c r="HT262" s="13"/>
      <c r="HU262" s="11"/>
      <c r="HV262" s="12"/>
      <c r="HW262" s="12"/>
      <c r="HX262" s="11"/>
      <c r="HY262" s="13"/>
      <c r="HZ262" s="11"/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/>
      <c r="IO262" s="13"/>
      <c r="IP262" s="11"/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/>
      <c r="JO262" s="11"/>
      <c r="JP262" s="13"/>
      <c r="JQ262" s="11"/>
      <c r="JR262" s="12"/>
      <c r="JS262" s="12"/>
      <c r="JT262" s="11"/>
      <c r="JU262" s="13"/>
      <c r="JV262" s="11"/>
      <c r="JW262" s="11"/>
      <c r="JX262" s="13"/>
      <c r="JY262" s="11"/>
      <c r="JZ262" s="12"/>
      <c r="KA262" s="12"/>
      <c r="KB262" s="11"/>
      <c r="KC262" s="13"/>
      <c r="KD262" s="11"/>
      <c r="KE262" s="11"/>
      <c r="KF262" s="13"/>
      <c r="KG262" s="11"/>
      <c r="KH262" s="12"/>
      <c r="KI262" s="12"/>
      <c r="KJ262" s="11"/>
      <c r="KK262" s="13"/>
      <c r="KL262" s="11"/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  <c r="LH262" s="11"/>
      <c r="LI262" s="13"/>
      <c r="LJ262" s="11"/>
      <c r="LK262" s="11"/>
      <c r="LL262" s="13"/>
      <c r="LM262" s="11"/>
      <c r="LN262" s="12"/>
      <c r="LO262" s="12"/>
      <c r="LP262" s="11"/>
      <c r="LQ262" s="13"/>
      <c r="LR262" s="11"/>
      <c r="LS262" s="11"/>
      <c r="LT262" s="13"/>
      <c r="LU262" s="11"/>
      <c r="LV262" s="12"/>
      <c r="LW262" s="12"/>
    </row>
    <row r="263">
      <c r="A263" s="10" t="s">
        <v>193</v>
      </c>
      <c r="B263" s="10" t="s">
        <v>196</v>
      </c>
      <c r="C263" s="10" t="s">
        <v>77</v>
      </c>
      <c r="D263" s="11"/>
      <c r="E263" s="11">
        <f>=ROUNDDOWN({0},0)</f>
      </c>
      <c r="F263" s="11"/>
      <c r="G263" s="12"/>
      <c r="H263" s="11"/>
      <c r="I263" s="11">
        <f>=ROUNDDOWN({0},0)</f>
      </c>
      <c r="J263" s="11"/>
      <c r="K263" s="12"/>
      <c r="L263" s="11">
        <v>40000</v>
      </c>
      <c r="M263" s="13">
        <v>233000</v>
      </c>
      <c r="N263" s="11">
        <v>2</v>
      </c>
      <c r="O263" s="14">
        <v>116500</v>
      </c>
      <c r="P263" s="11"/>
      <c r="Q263" s="13"/>
      <c r="R263" s="11"/>
      <c r="S263" s="14"/>
      <c r="T263" s="12"/>
      <c r="U263" s="12"/>
      <c r="V263" s="12"/>
      <c r="W263" s="12"/>
      <c r="X263" s="11"/>
      <c r="Y263" s="13"/>
      <c r="Z263" s="11"/>
      <c r="AA263" s="11"/>
      <c r="AB263" s="13"/>
      <c r="AC263" s="11"/>
      <c r="AD263" s="12"/>
      <c r="AE263" s="12"/>
      <c r="AF263" s="11"/>
      <c r="AG263" s="13"/>
      <c r="AH263" s="11"/>
      <c r="AI263" s="11"/>
      <c r="AJ263" s="13"/>
      <c r="AK263" s="11"/>
      <c r="AL263" s="12"/>
      <c r="AM263" s="12"/>
      <c r="AN263" s="11"/>
      <c r="AO263" s="13"/>
      <c r="AP263" s="11"/>
      <c r="AQ263" s="11"/>
      <c r="AR263" s="13"/>
      <c r="AS263" s="11"/>
      <c r="AT263" s="12"/>
      <c r="AU263" s="12"/>
      <c r="AV263" s="11"/>
      <c r="AW263" s="13"/>
      <c r="AX263" s="11"/>
      <c r="AY263" s="11"/>
      <c r="AZ263" s="13"/>
      <c r="BA263" s="11"/>
      <c r="BB263" s="12"/>
      <c r="BC263" s="12"/>
      <c r="BD263" s="11"/>
      <c r="BE263" s="13"/>
      <c r="BF263" s="11"/>
      <c r="BG263" s="11"/>
      <c r="BH263" s="13"/>
      <c r="BI263" s="11"/>
      <c r="BJ263" s="12"/>
      <c r="BK263" s="12"/>
      <c r="BL263" s="11"/>
      <c r="BM263" s="13"/>
      <c r="BN263" s="11"/>
      <c r="BO263" s="11"/>
      <c r="BP263" s="13"/>
      <c r="BQ263" s="11"/>
      <c r="BR263" s="12"/>
      <c r="BS263" s="12"/>
      <c r="BT263" s="11"/>
      <c r="BU263" s="13"/>
      <c r="BV263" s="11"/>
      <c r="BW263" s="11"/>
      <c r="BX263" s="13"/>
      <c r="BY263" s="11"/>
      <c r="BZ263" s="12"/>
      <c r="CA263" s="12"/>
      <c r="CB263" s="11"/>
      <c r="CC263" s="13"/>
      <c r="CD263" s="11"/>
      <c r="CE263" s="11"/>
      <c r="CF263" s="13"/>
      <c r="CG263" s="11"/>
      <c r="CH263" s="12"/>
      <c r="CI263" s="12"/>
      <c r="CJ263" s="11"/>
      <c r="CK263" s="13"/>
      <c r="CL263" s="11"/>
      <c r="CM263" s="11"/>
      <c r="CN263" s="13"/>
      <c r="CO263" s="11"/>
      <c r="CP263" s="12"/>
      <c r="CQ263" s="12"/>
      <c r="CR263" s="11">
        <v>40000</v>
      </c>
      <c r="CS263" s="13">
        <v>233000</v>
      </c>
      <c r="CT263" s="11"/>
      <c r="CU263" s="11"/>
      <c r="CV263" s="13"/>
      <c r="CW263" s="11"/>
      <c r="CX263" s="12"/>
      <c r="CY263" s="12"/>
      <c r="CZ263" s="11"/>
      <c r="DA263" s="13"/>
      <c r="DB263" s="11"/>
      <c r="DC263" s="11"/>
      <c r="DD263" s="13"/>
      <c r="DE263" s="11"/>
      <c r="DF263" s="12"/>
      <c r="DG263" s="12"/>
      <c r="DH263" s="11"/>
      <c r="DI263" s="13"/>
      <c r="DJ263" s="11"/>
      <c r="DK263" s="11"/>
      <c r="DL263" s="13"/>
      <c r="DM263" s="11"/>
      <c r="DN263" s="12"/>
      <c r="DO263" s="12"/>
      <c r="DP263" s="11"/>
      <c r="DQ263" s="13"/>
      <c r="DR263" s="11"/>
      <c r="DS263" s="11"/>
      <c r="DT263" s="13"/>
      <c r="DU263" s="11"/>
      <c r="DV263" s="12"/>
      <c r="DW263" s="12"/>
      <c r="DX263" s="11"/>
      <c r="DY263" s="13"/>
      <c r="DZ263" s="11"/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/>
      <c r="EO263" s="13"/>
      <c r="EP263" s="11">
        <v>2</v>
      </c>
      <c r="EQ263" s="11"/>
      <c r="ER263" s="13"/>
      <c r="ES263" s="11"/>
      <c r="ET263" s="12"/>
      <c r="EU263" s="12"/>
      <c r="EV263" s="11"/>
      <c r="EW263" s="13"/>
      <c r="EX263" s="11"/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/>
      <c r="FM263" s="13"/>
      <c r="FN263" s="11"/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/>
      <c r="GS263" s="13"/>
      <c r="GT263" s="11"/>
      <c r="GU263" s="11"/>
      <c r="GV263" s="13"/>
      <c r="GW263" s="11"/>
      <c r="GX263" s="12"/>
      <c r="GY263" s="12"/>
      <c r="GZ263" s="11"/>
      <c r="HA263" s="13"/>
      <c r="HB263" s="11"/>
      <c r="HC263" s="11"/>
      <c r="HD263" s="13"/>
      <c r="HE263" s="11"/>
      <c r="HF263" s="12"/>
      <c r="HG263" s="12"/>
      <c r="HH263" s="11"/>
      <c r="HI263" s="13"/>
      <c r="HJ263" s="11"/>
      <c r="HK263" s="11"/>
      <c r="HL263" s="13"/>
      <c r="HM263" s="11"/>
      <c r="HN263" s="12"/>
      <c r="HO263" s="12"/>
      <c r="HP263" s="11"/>
      <c r="HQ263" s="13"/>
      <c r="HR263" s="11"/>
      <c r="HS263" s="11"/>
      <c r="HT263" s="13"/>
      <c r="HU263" s="11"/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/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/>
      <c r="JO263" s="11"/>
      <c r="JP263" s="13"/>
      <c r="JQ263" s="11"/>
      <c r="JR263" s="12"/>
      <c r="JS263" s="12"/>
      <c r="JT263" s="11"/>
      <c r="JU263" s="13"/>
      <c r="JV263" s="11"/>
      <c r="JW263" s="11"/>
      <c r="JX263" s="13"/>
      <c r="JY263" s="11"/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/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  <c r="LH263" s="11"/>
      <c r="LI263" s="13"/>
      <c r="LJ263" s="11"/>
      <c r="LK263" s="11"/>
      <c r="LL263" s="13"/>
      <c r="LM263" s="11"/>
      <c r="LN263" s="12"/>
      <c r="LO263" s="12"/>
      <c r="LP263" s="11"/>
      <c r="LQ263" s="13"/>
      <c r="LR263" s="11"/>
      <c r="LS263" s="11"/>
      <c r="LT263" s="13"/>
      <c r="LU263" s="11"/>
      <c r="LV263" s="12"/>
      <c r="LW263" s="12"/>
    </row>
    <row r="264">
      <c r="A264" s="10" t="s">
        <v>193</v>
      </c>
      <c r="B264" s="10" t="s">
        <v>82</v>
      </c>
      <c r="C264" s="10" t="s">
        <v>172</v>
      </c>
      <c r="D264" s="11">
        <v>13211</v>
      </c>
      <c r="E264" s="11">
        <f>=ROUNDDOWN(22.9556907037359,0)</f>
      </c>
      <c r="F264" s="11">
        <v>10610</v>
      </c>
      <c r="G264" s="12">
        <v>1</v>
      </c>
      <c r="H264" s="11"/>
      <c r="I264" s="11">
        <f>=ROUNDDOWN({0},0)</f>
      </c>
      <c r="J264" s="11"/>
      <c r="K264" s="12"/>
      <c r="L264" s="11">
        <v>9429</v>
      </c>
      <c r="M264" s="13">
        <v>334644.24</v>
      </c>
      <c r="N264" s="11">
        <v>30</v>
      </c>
      <c r="O264" s="14">
        <v>11154.81</v>
      </c>
      <c r="P264" s="11"/>
      <c r="Q264" s="13"/>
      <c r="R264" s="11"/>
      <c r="S264" s="14"/>
      <c r="T264" s="12"/>
      <c r="U264" s="12"/>
      <c r="V264" s="12"/>
      <c r="W264" s="12"/>
      <c r="X264" s="11">
        <v>607</v>
      </c>
      <c r="Y264" s="13">
        <v>19459.87</v>
      </c>
      <c r="Z264" s="11">
        <v>30</v>
      </c>
      <c r="AA264" s="11"/>
      <c r="AB264" s="13"/>
      <c r="AC264" s="11"/>
      <c r="AD264" s="12"/>
      <c r="AE264" s="12"/>
      <c r="AF264" s="11">
        <v>163</v>
      </c>
      <c r="AG264" s="13">
        <v>5376.72</v>
      </c>
      <c r="AH264" s="11">
        <v>30</v>
      </c>
      <c r="AI264" s="11"/>
      <c r="AJ264" s="13"/>
      <c r="AK264" s="11"/>
      <c r="AL264" s="12"/>
      <c r="AM264" s="12"/>
      <c r="AN264" s="11">
        <v>1621</v>
      </c>
      <c r="AO264" s="13">
        <v>53134.73</v>
      </c>
      <c r="AP264" s="11">
        <v>30</v>
      </c>
      <c r="AQ264" s="11"/>
      <c r="AR264" s="13"/>
      <c r="AS264" s="11"/>
      <c r="AT264" s="12"/>
      <c r="AU264" s="12"/>
      <c r="AV264" s="11">
        <v>355</v>
      </c>
      <c r="AW264" s="13">
        <v>12569.15</v>
      </c>
      <c r="AX264" s="11">
        <v>29</v>
      </c>
      <c r="AY264" s="11"/>
      <c r="AZ264" s="13"/>
      <c r="BA264" s="11"/>
      <c r="BB264" s="12"/>
      <c r="BC264" s="12"/>
      <c r="BD264" s="11">
        <v>4298</v>
      </c>
      <c r="BE264" s="13">
        <v>161410.71</v>
      </c>
      <c r="BF264" s="11">
        <v>30</v>
      </c>
      <c r="BG264" s="11"/>
      <c r="BH264" s="13"/>
      <c r="BI264" s="11"/>
      <c r="BJ264" s="12"/>
      <c r="BK264" s="12"/>
      <c r="BL264" s="11">
        <v>1141</v>
      </c>
      <c r="BM264" s="13">
        <v>42853.53</v>
      </c>
      <c r="BN264" s="11">
        <v>30</v>
      </c>
      <c r="BO264" s="11"/>
      <c r="BP264" s="13"/>
      <c r="BQ264" s="11"/>
      <c r="BR264" s="12"/>
      <c r="BS264" s="12"/>
      <c r="BT264" s="11">
        <v>75</v>
      </c>
      <c r="BU264" s="13">
        <v>3245.96</v>
      </c>
      <c r="BV264" s="11">
        <v>30</v>
      </c>
      <c r="BW264" s="11"/>
      <c r="BX264" s="13"/>
      <c r="BY264" s="11"/>
      <c r="BZ264" s="12"/>
      <c r="CA264" s="12"/>
      <c r="CB264" s="11">
        <v>1059</v>
      </c>
      <c r="CC264" s="13">
        <v>32091.6</v>
      </c>
      <c r="CD264" s="11">
        <v>30</v>
      </c>
      <c r="CE264" s="11"/>
      <c r="CF264" s="13"/>
      <c r="CG264" s="11"/>
      <c r="CH264" s="12"/>
      <c r="CI264" s="12"/>
      <c r="CJ264" s="11"/>
      <c r="CK264" s="13"/>
      <c r="CL264" s="11">
        <v>12</v>
      </c>
      <c r="CM264" s="11"/>
      <c r="CN264" s="13"/>
      <c r="CO264" s="11"/>
      <c r="CP264" s="12"/>
      <c r="CQ264" s="12"/>
      <c r="CR264" s="11"/>
      <c r="CS264" s="13"/>
      <c r="CT264" s="11"/>
      <c r="CU264" s="11"/>
      <c r="CV264" s="13"/>
      <c r="CW264" s="11"/>
      <c r="CX264" s="12"/>
      <c r="CY264" s="12"/>
      <c r="CZ264" s="11"/>
      <c r="DA264" s="13"/>
      <c r="DB264" s="11"/>
      <c r="DC264" s="11"/>
      <c r="DD264" s="13"/>
      <c r="DE264" s="11"/>
      <c r="DF264" s="12"/>
      <c r="DG264" s="12"/>
      <c r="DH264" s="11"/>
      <c r="DI264" s="13"/>
      <c r="DJ264" s="11"/>
      <c r="DK264" s="11"/>
      <c r="DL264" s="13"/>
      <c r="DM264" s="11"/>
      <c r="DN264" s="12"/>
      <c r="DO264" s="12"/>
      <c r="DP264" s="11">
        <v>57</v>
      </c>
      <c r="DQ264" s="13">
        <v>2145.19</v>
      </c>
      <c r="DR264" s="11">
        <v>30</v>
      </c>
      <c r="DS264" s="11"/>
      <c r="DT264" s="13"/>
      <c r="DU264" s="11"/>
      <c r="DV264" s="12"/>
      <c r="DW264" s="12"/>
      <c r="DX264" s="11"/>
      <c r="DY264" s="13"/>
      <c r="DZ264" s="11"/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>
        <v>7</v>
      </c>
      <c r="EO264" s="13">
        <v>479.06</v>
      </c>
      <c r="EP264" s="11">
        <v>30</v>
      </c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/>
      <c r="FE264" s="13"/>
      <c r="FF264" s="11"/>
      <c r="FG264" s="11"/>
      <c r="FH264" s="13"/>
      <c r="FI264" s="11"/>
      <c r="FJ264" s="12"/>
      <c r="FK264" s="12"/>
      <c r="FL264" s="11">
        <v>38</v>
      </c>
      <c r="FM264" s="13">
        <v>1571.15</v>
      </c>
      <c r="FN264" s="11">
        <v>12</v>
      </c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/>
      <c r="GC264" s="13"/>
      <c r="GD264" s="11"/>
      <c r="GE264" s="11"/>
      <c r="GF264" s="13"/>
      <c r="GG264" s="11"/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>
        <v>4</v>
      </c>
      <c r="GS264" s="13">
        <v>156.59</v>
      </c>
      <c r="GT264" s="11">
        <v>18</v>
      </c>
      <c r="GU264" s="11"/>
      <c r="GV264" s="13"/>
      <c r="GW264" s="11"/>
      <c r="GX264" s="12"/>
      <c r="GY264" s="12"/>
      <c r="GZ264" s="11"/>
      <c r="HA264" s="13"/>
      <c r="HB264" s="11"/>
      <c r="HC264" s="11"/>
      <c r="HD264" s="13"/>
      <c r="HE264" s="11"/>
      <c r="HF264" s="12"/>
      <c r="HG264" s="12"/>
      <c r="HH264" s="11"/>
      <c r="HI264" s="13"/>
      <c r="HJ264" s="11"/>
      <c r="HK264" s="11"/>
      <c r="HL264" s="13"/>
      <c r="HM264" s="11"/>
      <c r="HN264" s="12"/>
      <c r="HO264" s="12"/>
      <c r="HP264" s="11"/>
      <c r="HQ264" s="13"/>
      <c r="HR264" s="11"/>
      <c r="HS264" s="11"/>
      <c r="HT264" s="13"/>
      <c r="HU264" s="11"/>
      <c r="HV264" s="12"/>
      <c r="HW264" s="12"/>
      <c r="HX264" s="11">
        <v>4</v>
      </c>
      <c r="HY264" s="13">
        <v>149.98</v>
      </c>
      <c r="HZ264" s="11">
        <v>12</v>
      </c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/>
      <c r="JO264" s="11"/>
      <c r="JP264" s="13"/>
      <c r="JQ264" s="11"/>
      <c r="JR264" s="12"/>
      <c r="JS264" s="12"/>
      <c r="JT264" s="11"/>
      <c r="JU264" s="13"/>
      <c r="JV264" s="11"/>
      <c r="JW264" s="11"/>
      <c r="JX264" s="13"/>
      <c r="JY264" s="11"/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  <c r="LH264" s="11"/>
      <c r="LI264" s="13"/>
      <c r="LJ264" s="11"/>
      <c r="LK264" s="11"/>
      <c r="LL264" s="13"/>
      <c r="LM264" s="11"/>
      <c r="LN264" s="12"/>
      <c r="LO264" s="12"/>
      <c r="LP264" s="11"/>
      <c r="LQ264" s="13"/>
      <c r="LR264" s="11"/>
      <c r="LS264" s="11"/>
      <c r="LT264" s="13"/>
      <c r="LU264" s="11"/>
      <c r="LV264" s="12"/>
      <c r="LW264" s="12"/>
    </row>
    <row r="265">
      <c r="A265" s="10" t="s">
        <v>193</v>
      </c>
      <c r="B265" s="10" t="s">
        <v>82</v>
      </c>
      <c r="C265" s="10" t="s">
        <v>197</v>
      </c>
      <c r="D265" s="11">
        <v>56537</v>
      </c>
      <c r="E265" s="11">
        <f>=ROUNDDOWN(38.966848163209,0)</f>
      </c>
      <c r="F265" s="11">
        <v>11630</v>
      </c>
      <c r="G265" s="12">
        <v>0.9719</v>
      </c>
      <c r="H265" s="11"/>
      <c r="I265" s="11">
        <f>=ROUNDDOWN({0},0)</f>
      </c>
      <c r="J265" s="11"/>
      <c r="K265" s="12"/>
      <c r="L265" s="11">
        <v>12886</v>
      </c>
      <c r="M265" s="13">
        <v>748028.11</v>
      </c>
      <c r="N265" s="11">
        <v>24</v>
      </c>
      <c r="O265" s="14">
        <v>31167.84</v>
      </c>
      <c r="P265" s="11"/>
      <c r="Q265" s="13"/>
      <c r="R265" s="11"/>
      <c r="S265" s="14"/>
      <c r="T265" s="12"/>
      <c r="U265" s="12"/>
      <c r="V265" s="12"/>
      <c r="W265" s="12"/>
      <c r="X265" s="11">
        <v>11053</v>
      </c>
      <c r="Y265" s="13">
        <v>626766.75</v>
      </c>
      <c r="Z265" s="11">
        <v>24</v>
      </c>
      <c r="AA265" s="11"/>
      <c r="AB265" s="13"/>
      <c r="AC265" s="11"/>
      <c r="AD265" s="12"/>
      <c r="AE265" s="12"/>
      <c r="AF265" s="11">
        <v>92</v>
      </c>
      <c r="AG265" s="13">
        <v>5830.04</v>
      </c>
      <c r="AH265" s="11">
        <v>24</v>
      </c>
      <c r="AI265" s="11"/>
      <c r="AJ265" s="13"/>
      <c r="AK265" s="11"/>
      <c r="AL265" s="12"/>
      <c r="AM265" s="12"/>
      <c r="AN265" s="11">
        <v>699</v>
      </c>
      <c r="AO265" s="13">
        <v>43105.56</v>
      </c>
      <c r="AP265" s="11">
        <v>24</v>
      </c>
      <c r="AQ265" s="11"/>
      <c r="AR265" s="13"/>
      <c r="AS265" s="11"/>
      <c r="AT265" s="12"/>
      <c r="AU265" s="12"/>
      <c r="AV265" s="11">
        <v>98</v>
      </c>
      <c r="AW265" s="13">
        <v>6667.2</v>
      </c>
      <c r="AX265" s="11">
        <v>14</v>
      </c>
      <c r="AY265" s="11"/>
      <c r="AZ265" s="13"/>
      <c r="BA265" s="11"/>
      <c r="BB265" s="12"/>
      <c r="BC265" s="12"/>
      <c r="BD265" s="11">
        <v>109</v>
      </c>
      <c r="BE265" s="13">
        <v>7586.8</v>
      </c>
      <c r="BF265" s="11">
        <v>24</v>
      </c>
      <c r="BG265" s="11"/>
      <c r="BH265" s="13"/>
      <c r="BI265" s="11"/>
      <c r="BJ265" s="12"/>
      <c r="BK265" s="12"/>
      <c r="BL265" s="11">
        <v>257</v>
      </c>
      <c r="BM265" s="13">
        <v>18705.31</v>
      </c>
      <c r="BN265" s="11">
        <v>24</v>
      </c>
      <c r="BO265" s="11"/>
      <c r="BP265" s="13"/>
      <c r="BQ265" s="11"/>
      <c r="BR265" s="12"/>
      <c r="BS265" s="12"/>
      <c r="BT265" s="11">
        <v>80</v>
      </c>
      <c r="BU265" s="13">
        <v>5208.24</v>
      </c>
      <c r="BV265" s="11">
        <v>24</v>
      </c>
      <c r="BW265" s="11"/>
      <c r="BX265" s="13"/>
      <c r="BY265" s="11"/>
      <c r="BZ265" s="12"/>
      <c r="CA265" s="12"/>
      <c r="CB265" s="11">
        <v>227</v>
      </c>
      <c r="CC265" s="13">
        <v>15908.08</v>
      </c>
      <c r="CD265" s="11">
        <v>24</v>
      </c>
      <c r="CE265" s="11"/>
      <c r="CF265" s="13"/>
      <c r="CG265" s="11"/>
      <c r="CH265" s="12"/>
      <c r="CI265" s="12"/>
      <c r="CJ265" s="11"/>
      <c r="CK265" s="13"/>
      <c r="CL265" s="11">
        <v>15</v>
      </c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/>
      <c r="DC265" s="11"/>
      <c r="DD265" s="13"/>
      <c r="DE265" s="11"/>
      <c r="DF265" s="12"/>
      <c r="DG265" s="12"/>
      <c r="DH265" s="11">
        <v>5</v>
      </c>
      <c r="DI265" s="13">
        <v>246.95</v>
      </c>
      <c r="DJ265" s="11">
        <v>16</v>
      </c>
      <c r="DK265" s="11"/>
      <c r="DL265" s="13"/>
      <c r="DM265" s="11"/>
      <c r="DN265" s="12"/>
      <c r="DO265" s="12"/>
      <c r="DP265" s="11">
        <v>55</v>
      </c>
      <c r="DQ265" s="13">
        <v>4014.65</v>
      </c>
      <c r="DR265" s="11">
        <v>24</v>
      </c>
      <c r="DS265" s="11"/>
      <c r="DT265" s="13"/>
      <c r="DU265" s="11"/>
      <c r="DV265" s="12"/>
      <c r="DW265" s="12"/>
      <c r="DX265" s="11">
        <v>50</v>
      </c>
      <c r="DY265" s="13">
        <v>3075.41</v>
      </c>
      <c r="DZ265" s="11">
        <v>24</v>
      </c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>
        <v>10</v>
      </c>
      <c r="EO265" s="13">
        <v>1115.42</v>
      </c>
      <c r="EP265" s="11">
        <v>24</v>
      </c>
      <c r="EQ265" s="11"/>
      <c r="ER265" s="13"/>
      <c r="ES265" s="11"/>
      <c r="ET265" s="12"/>
      <c r="EU265" s="12"/>
      <c r="EV265" s="11">
        <v>118</v>
      </c>
      <c r="EW265" s="13">
        <v>7574.51</v>
      </c>
      <c r="EX265" s="11">
        <v>1</v>
      </c>
      <c r="EY265" s="11"/>
      <c r="EZ265" s="13"/>
      <c r="FA265" s="11"/>
      <c r="FB265" s="12"/>
      <c r="FC265" s="12"/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/>
      <c r="GC265" s="13"/>
      <c r="GD265" s="11"/>
      <c r="GE265" s="11"/>
      <c r="GF265" s="13"/>
      <c r="GG265" s="11"/>
      <c r="GH265" s="12"/>
      <c r="GI265" s="12"/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>
        <v>20</v>
      </c>
      <c r="GU265" s="11"/>
      <c r="GV265" s="13"/>
      <c r="GW265" s="11"/>
      <c r="GX265" s="12"/>
      <c r="GY265" s="12"/>
      <c r="GZ265" s="11">
        <v>22</v>
      </c>
      <c r="HA265" s="13">
        <v>1488.3</v>
      </c>
      <c r="HB265" s="11">
        <v>11</v>
      </c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>
        <v>11</v>
      </c>
      <c r="HQ265" s="13">
        <v>734.89</v>
      </c>
      <c r="HR265" s="11">
        <v>18</v>
      </c>
      <c r="HS265" s="11"/>
      <c r="HT265" s="13"/>
      <c r="HU265" s="11"/>
      <c r="HV265" s="12"/>
      <c r="HW265" s="12"/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>
        <v>4</v>
      </c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/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  <c r="LH265" s="11"/>
      <c r="LI265" s="13"/>
      <c r="LJ265" s="11"/>
      <c r="LK265" s="11"/>
      <c r="LL265" s="13"/>
      <c r="LM265" s="11"/>
      <c r="LN265" s="12"/>
      <c r="LO265" s="12"/>
      <c r="LP265" s="11"/>
      <c r="LQ265" s="13"/>
      <c r="LR265" s="11"/>
      <c r="LS265" s="11"/>
      <c r="LT265" s="13"/>
      <c r="LU265" s="11"/>
      <c r="LV265" s="12"/>
      <c r="LW265" s="12"/>
    </row>
    <row r="266">
      <c r="A266" s="10" t="s">
        <v>193</v>
      </c>
      <c r="B266" s="10" t="s">
        <v>82</v>
      </c>
      <c r="C266" s="10" t="s">
        <v>198</v>
      </c>
      <c r="D266" s="11">
        <v>107302</v>
      </c>
      <c r="E266" s="11">
        <f>=ROUNDDOWN(23.9427882898965,0)</f>
      </c>
      <c r="F266" s="11">
        <v>15814</v>
      </c>
      <c r="G266" s="12">
        <v>0.9326</v>
      </c>
      <c r="H266" s="11"/>
      <c r="I266" s="11">
        <f>=ROUNDDOWN({0},0)</f>
      </c>
      <c r="J266" s="11"/>
      <c r="K266" s="12"/>
      <c r="L266" s="11">
        <v>13805</v>
      </c>
      <c r="M266" s="13">
        <v>766358.83</v>
      </c>
      <c r="N266" s="11">
        <v>180</v>
      </c>
      <c r="O266" s="14">
        <v>4257.55</v>
      </c>
      <c r="P266" s="11"/>
      <c r="Q266" s="13"/>
      <c r="R266" s="11"/>
      <c r="S266" s="14"/>
      <c r="T266" s="12"/>
      <c r="U266" s="12"/>
      <c r="V266" s="12"/>
      <c r="W266" s="12"/>
      <c r="X266" s="11">
        <v>9189</v>
      </c>
      <c r="Y266" s="13">
        <v>514368.94</v>
      </c>
      <c r="Z266" s="11">
        <v>179</v>
      </c>
      <c r="AA266" s="11"/>
      <c r="AB266" s="13"/>
      <c r="AC266" s="11"/>
      <c r="AD266" s="12"/>
      <c r="AE266" s="12"/>
      <c r="AF266" s="11">
        <v>501</v>
      </c>
      <c r="AG266" s="13">
        <v>27492.12</v>
      </c>
      <c r="AH266" s="11">
        <v>154</v>
      </c>
      <c r="AI266" s="11"/>
      <c r="AJ266" s="13"/>
      <c r="AK266" s="11"/>
      <c r="AL266" s="12"/>
      <c r="AM266" s="12"/>
      <c r="AN266" s="11">
        <v>1123</v>
      </c>
      <c r="AO266" s="13">
        <v>51758.08</v>
      </c>
      <c r="AP266" s="11">
        <v>154</v>
      </c>
      <c r="AQ266" s="11"/>
      <c r="AR266" s="13"/>
      <c r="AS266" s="11"/>
      <c r="AT266" s="12"/>
      <c r="AU266" s="12"/>
      <c r="AV266" s="11">
        <v>516</v>
      </c>
      <c r="AW266" s="13">
        <v>27297.73</v>
      </c>
      <c r="AX266" s="11">
        <v>80</v>
      </c>
      <c r="AY266" s="11"/>
      <c r="AZ266" s="13"/>
      <c r="BA266" s="11"/>
      <c r="BB266" s="12"/>
      <c r="BC266" s="12"/>
      <c r="BD266" s="11">
        <v>238</v>
      </c>
      <c r="BE266" s="13">
        <v>16057.84</v>
      </c>
      <c r="BF266" s="11">
        <v>154</v>
      </c>
      <c r="BG266" s="11"/>
      <c r="BH266" s="13"/>
      <c r="BI266" s="11"/>
      <c r="BJ266" s="12"/>
      <c r="BK266" s="12"/>
      <c r="BL266" s="11">
        <v>388</v>
      </c>
      <c r="BM266" s="13">
        <v>25479.11</v>
      </c>
      <c r="BN266" s="11">
        <v>160</v>
      </c>
      <c r="BO266" s="11"/>
      <c r="BP266" s="13"/>
      <c r="BQ266" s="11"/>
      <c r="BR266" s="12"/>
      <c r="BS266" s="12"/>
      <c r="BT266" s="11">
        <v>531</v>
      </c>
      <c r="BU266" s="13">
        <v>28050.04</v>
      </c>
      <c r="BV266" s="11">
        <v>154</v>
      </c>
      <c r="BW266" s="11"/>
      <c r="BX266" s="13"/>
      <c r="BY266" s="11"/>
      <c r="BZ266" s="12"/>
      <c r="CA266" s="12"/>
      <c r="CB266" s="11">
        <v>191</v>
      </c>
      <c r="CC266" s="13">
        <v>7946.17</v>
      </c>
      <c r="CD266" s="11">
        <v>25</v>
      </c>
      <c r="CE266" s="11"/>
      <c r="CF266" s="13"/>
      <c r="CG266" s="11"/>
      <c r="CH266" s="12"/>
      <c r="CI266" s="12"/>
      <c r="CJ266" s="11">
        <v>5</v>
      </c>
      <c r="CK266" s="13">
        <v>789.95</v>
      </c>
      <c r="CL266" s="11">
        <v>61</v>
      </c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>
        <v>17</v>
      </c>
      <c r="DA266" s="13">
        <v>544</v>
      </c>
      <c r="DB266" s="11">
        <v>11</v>
      </c>
      <c r="DC266" s="11"/>
      <c r="DD266" s="13"/>
      <c r="DE266" s="11"/>
      <c r="DF266" s="12"/>
      <c r="DG266" s="12"/>
      <c r="DH266" s="11">
        <v>16</v>
      </c>
      <c r="DI266" s="13">
        <v>1017.11</v>
      </c>
      <c r="DJ266" s="11">
        <v>134</v>
      </c>
      <c r="DK266" s="11"/>
      <c r="DL266" s="13"/>
      <c r="DM266" s="11"/>
      <c r="DN266" s="12"/>
      <c r="DO266" s="12"/>
      <c r="DP266" s="11">
        <v>170</v>
      </c>
      <c r="DQ266" s="13">
        <v>11314.81</v>
      </c>
      <c r="DR266" s="11">
        <v>153</v>
      </c>
      <c r="DS266" s="11"/>
      <c r="DT266" s="13"/>
      <c r="DU266" s="11"/>
      <c r="DV266" s="12"/>
      <c r="DW266" s="12"/>
      <c r="DX266" s="11">
        <v>227</v>
      </c>
      <c r="DY266" s="13">
        <v>11467.19</v>
      </c>
      <c r="DZ266" s="11">
        <v>152</v>
      </c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>
        <v>24</v>
      </c>
      <c r="EO266" s="13">
        <v>2158.37</v>
      </c>
      <c r="EP266" s="11">
        <v>170</v>
      </c>
      <c r="EQ266" s="11"/>
      <c r="ER266" s="13"/>
      <c r="ES266" s="11"/>
      <c r="ET266" s="12"/>
      <c r="EU266" s="12"/>
      <c r="EV266" s="11">
        <v>389</v>
      </c>
      <c r="EW266" s="13">
        <v>24033.37</v>
      </c>
      <c r="EX266" s="11">
        <v>48</v>
      </c>
      <c r="EY266" s="11"/>
      <c r="EZ266" s="13"/>
      <c r="FA266" s="11"/>
      <c r="FB266" s="12"/>
      <c r="FC266" s="12"/>
      <c r="FD266" s="11">
        <v>99</v>
      </c>
      <c r="FE266" s="13">
        <v>6539.71</v>
      </c>
      <c r="FF266" s="11">
        <v>104</v>
      </c>
      <c r="FG266" s="11"/>
      <c r="FH266" s="13"/>
      <c r="FI266" s="11"/>
      <c r="FJ266" s="12"/>
      <c r="FK266" s="12"/>
      <c r="FL266" s="11">
        <v>61</v>
      </c>
      <c r="FM266" s="13">
        <v>2585.42</v>
      </c>
      <c r="FN266" s="11">
        <v>16</v>
      </c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>
        <v>1</v>
      </c>
      <c r="GS266" s="13">
        <v>83.35</v>
      </c>
      <c r="GT266" s="11">
        <v>132</v>
      </c>
      <c r="GU266" s="11"/>
      <c r="GV266" s="13"/>
      <c r="GW266" s="11"/>
      <c r="GX266" s="12"/>
      <c r="GY266" s="12"/>
      <c r="GZ266" s="11">
        <v>20</v>
      </c>
      <c r="HA266" s="13">
        <v>1241.29</v>
      </c>
      <c r="HB266" s="11">
        <v>111</v>
      </c>
      <c r="HC266" s="11"/>
      <c r="HD266" s="13"/>
      <c r="HE266" s="11"/>
      <c r="HF266" s="12"/>
      <c r="HG266" s="12"/>
      <c r="HH266" s="11">
        <v>2</v>
      </c>
      <c r="HI266" s="13">
        <v>81.14</v>
      </c>
      <c r="HJ266" s="11"/>
      <c r="HK266" s="11"/>
      <c r="HL266" s="13"/>
      <c r="HM266" s="11"/>
      <c r="HN266" s="12"/>
      <c r="HO266" s="12"/>
      <c r="HP266" s="11">
        <v>46</v>
      </c>
      <c r="HQ266" s="13">
        <v>2338.8</v>
      </c>
      <c r="HR266" s="11">
        <v>112</v>
      </c>
      <c r="HS266" s="11"/>
      <c r="HT266" s="13"/>
      <c r="HU266" s="11"/>
      <c r="HV266" s="12"/>
      <c r="HW266" s="12"/>
      <c r="HX266" s="11">
        <v>25</v>
      </c>
      <c r="HY266" s="13">
        <v>1761.54</v>
      </c>
      <c r="HZ266" s="11">
        <v>52</v>
      </c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>
        <v>2</v>
      </c>
      <c r="IW266" s="13">
        <v>87.15</v>
      </c>
      <c r="IX266" s="11">
        <v>91</v>
      </c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>
        <v>24</v>
      </c>
      <c r="JM266" s="13">
        <v>1865.6</v>
      </c>
      <c r="JN266" s="11">
        <v>83</v>
      </c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  <c r="LH266" s="11"/>
      <c r="LI266" s="13"/>
      <c r="LJ266" s="11"/>
      <c r="LK266" s="11"/>
      <c r="LL266" s="13"/>
      <c r="LM266" s="11"/>
      <c r="LN266" s="12"/>
      <c r="LO266" s="12"/>
      <c r="LP266" s="11"/>
      <c r="LQ266" s="13"/>
      <c r="LR266" s="11"/>
      <c r="LS266" s="11"/>
      <c r="LT266" s="13"/>
      <c r="LU266" s="11"/>
      <c r="LV266" s="12"/>
      <c r="LW266" s="12"/>
    </row>
    <row r="267">
      <c r="A267" s="10" t="s">
        <v>193</v>
      </c>
      <c r="B267" s="10" t="s">
        <v>82</v>
      </c>
      <c r="C267" s="10" t="s">
        <v>199</v>
      </c>
      <c r="D267" s="11">
        <v>5</v>
      </c>
      <c r="E267" s="11">
        <f>=ROUNDDOWN(0.806451612903226,0)</f>
      </c>
      <c r="F267" s="11"/>
      <c r="G267" s="12"/>
      <c r="H267" s="11"/>
      <c r="I267" s="11">
        <f>=ROUNDDOWN({0},0)</f>
      </c>
      <c r="J267" s="11"/>
      <c r="K267" s="12"/>
      <c r="L267" s="11">
        <v>195</v>
      </c>
      <c r="M267" s="13">
        <v>7815.98</v>
      </c>
      <c r="N267" s="11">
        <v>5</v>
      </c>
      <c r="O267" s="14">
        <v>1563.2</v>
      </c>
      <c r="P267" s="11"/>
      <c r="Q267" s="13"/>
      <c r="R267" s="11"/>
      <c r="S267" s="14"/>
      <c r="T267" s="12"/>
      <c r="U267" s="12"/>
      <c r="V267" s="12"/>
      <c r="W267" s="12"/>
      <c r="X267" s="11">
        <v>15</v>
      </c>
      <c r="Y267" s="13">
        <v>618.24</v>
      </c>
      <c r="Z267" s="11">
        <v>5</v>
      </c>
      <c r="AA267" s="11"/>
      <c r="AB267" s="13"/>
      <c r="AC267" s="11"/>
      <c r="AD267" s="12"/>
      <c r="AE267" s="12"/>
      <c r="AF267" s="11">
        <v>14</v>
      </c>
      <c r="AG267" s="13">
        <v>607.4</v>
      </c>
      <c r="AH267" s="11">
        <v>5</v>
      </c>
      <c r="AI267" s="11"/>
      <c r="AJ267" s="13"/>
      <c r="AK267" s="11"/>
      <c r="AL267" s="12"/>
      <c r="AM267" s="12"/>
      <c r="AN267" s="11">
        <v>136</v>
      </c>
      <c r="AO267" s="13">
        <v>4609.54</v>
      </c>
      <c r="AP267" s="11">
        <v>5</v>
      </c>
      <c r="AQ267" s="11"/>
      <c r="AR267" s="13"/>
      <c r="AS267" s="11"/>
      <c r="AT267" s="12"/>
      <c r="AU267" s="12"/>
      <c r="AV267" s="11">
        <v>7</v>
      </c>
      <c r="AW267" s="13">
        <v>553.58</v>
      </c>
      <c r="AX267" s="11">
        <v>5</v>
      </c>
      <c r="AY267" s="11"/>
      <c r="AZ267" s="13"/>
      <c r="BA267" s="11"/>
      <c r="BB267" s="12"/>
      <c r="BC267" s="12"/>
      <c r="BD267" s="11">
        <v>13</v>
      </c>
      <c r="BE267" s="13">
        <v>750.05</v>
      </c>
      <c r="BF267" s="11">
        <v>5</v>
      </c>
      <c r="BG267" s="11"/>
      <c r="BH267" s="13"/>
      <c r="BI267" s="11"/>
      <c r="BJ267" s="12"/>
      <c r="BK267" s="12"/>
      <c r="BL267" s="11">
        <v>2</v>
      </c>
      <c r="BM267" s="13">
        <v>159.96</v>
      </c>
      <c r="BN267" s="11">
        <v>5</v>
      </c>
      <c r="BO267" s="11"/>
      <c r="BP267" s="13"/>
      <c r="BQ267" s="11"/>
      <c r="BR267" s="12"/>
      <c r="BS267" s="12"/>
      <c r="BT267" s="11"/>
      <c r="BU267" s="13"/>
      <c r="BV267" s="11">
        <v>5</v>
      </c>
      <c r="BW267" s="11"/>
      <c r="BX267" s="13"/>
      <c r="BY267" s="11"/>
      <c r="BZ267" s="12"/>
      <c r="CA267" s="12"/>
      <c r="CB267" s="11">
        <v>4</v>
      </c>
      <c r="CC267" s="13">
        <v>178.58</v>
      </c>
      <c r="CD267" s="11">
        <v>5</v>
      </c>
      <c r="CE267" s="11"/>
      <c r="CF267" s="13"/>
      <c r="CG267" s="11"/>
      <c r="CH267" s="12"/>
      <c r="CI267" s="12"/>
      <c r="CJ267" s="11"/>
      <c r="CK267" s="13"/>
      <c r="CL267" s="11">
        <v>5</v>
      </c>
      <c r="CM267" s="11"/>
      <c r="CN267" s="13"/>
      <c r="CO267" s="11"/>
      <c r="CP267" s="12"/>
      <c r="CQ267" s="12"/>
      <c r="CR267" s="11"/>
      <c r="CS267" s="13"/>
      <c r="CT267" s="11"/>
      <c r="CU267" s="11"/>
      <c r="CV267" s="13"/>
      <c r="CW267" s="11"/>
      <c r="CX267" s="12"/>
      <c r="CY267" s="12"/>
      <c r="CZ267" s="11"/>
      <c r="DA267" s="13"/>
      <c r="DB267" s="11"/>
      <c r="DC267" s="11"/>
      <c r="DD267" s="13"/>
      <c r="DE267" s="11"/>
      <c r="DF267" s="12"/>
      <c r="DG267" s="12"/>
      <c r="DH267" s="11"/>
      <c r="DI267" s="13"/>
      <c r="DJ267" s="11"/>
      <c r="DK267" s="11"/>
      <c r="DL267" s="13"/>
      <c r="DM267" s="11"/>
      <c r="DN267" s="12"/>
      <c r="DO267" s="12"/>
      <c r="DP267" s="11">
        <v>1</v>
      </c>
      <c r="DQ267" s="13">
        <v>77.38</v>
      </c>
      <c r="DR267" s="11">
        <v>5</v>
      </c>
      <c r="DS267" s="11"/>
      <c r="DT267" s="13"/>
      <c r="DU267" s="11"/>
      <c r="DV267" s="12"/>
      <c r="DW267" s="12"/>
      <c r="DX267" s="11">
        <v>2</v>
      </c>
      <c r="DY267" s="13">
        <v>131.26</v>
      </c>
      <c r="DZ267" s="11">
        <v>5</v>
      </c>
      <c r="EA267" s="11"/>
      <c r="EB267" s="13"/>
      <c r="EC267" s="11"/>
      <c r="ED267" s="12"/>
      <c r="EE267" s="12"/>
      <c r="EF267" s="11"/>
      <c r="EG267" s="13"/>
      <c r="EH267" s="11"/>
      <c r="EI267" s="11"/>
      <c r="EJ267" s="13"/>
      <c r="EK267" s="11"/>
      <c r="EL267" s="12"/>
      <c r="EM267" s="12"/>
      <c r="EN267" s="11">
        <v>1</v>
      </c>
      <c r="EO267" s="13">
        <v>129.99</v>
      </c>
      <c r="EP267" s="11">
        <v>5</v>
      </c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/>
      <c r="GM267" s="11"/>
      <c r="GN267" s="13"/>
      <c r="GO267" s="11"/>
      <c r="GP267" s="12"/>
      <c r="GQ267" s="12"/>
      <c r="GR267" s="11"/>
      <c r="GS267" s="13"/>
      <c r="GT267" s="11">
        <v>5</v>
      </c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>
        <v>1</v>
      </c>
      <c r="HS267" s="11"/>
      <c r="HT267" s="13"/>
      <c r="HU267" s="11"/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/>
      <c r="JW267" s="11"/>
      <c r="JX267" s="13"/>
      <c r="JY267" s="11"/>
      <c r="JZ267" s="12"/>
      <c r="KA267" s="12"/>
      <c r="KB267" s="11"/>
      <c r="KC267" s="13"/>
      <c r="KD267" s="11"/>
      <c r="KE267" s="11"/>
      <c r="KF267" s="13"/>
      <c r="KG267" s="11"/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  <c r="LH267" s="11"/>
      <c r="LI267" s="13"/>
      <c r="LJ267" s="11"/>
      <c r="LK267" s="11"/>
      <c r="LL267" s="13"/>
      <c r="LM267" s="11"/>
      <c r="LN267" s="12"/>
      <c r="LO267" s="12"/>
      <c r="LP267" s="11"/>
      <c r="LQ267" s="13"/>
      <c r="LR267" s="11"/>
      <c r="LS267" s="11"/>
      <c r="LT267" s="13"/>
      <c r="LU267" s="11"/>
      <c r="LV267" s="12"/>
      <c r="LW267" s="12"/>
    </row>
    <row r="268">
      <c r="A268" s="10" t="s">
        <v>193</v>
      </c>
      <c r="B268" s="10" t="s">
        <v>84</v>
      </c>
      <c r="C268" s="10" t="s">
        <v>77</v>
      </c>
      <c r="D268" s="11">
        <v>177055</v>
      </c>
      <c r="E268" s="11">
        <f>=ROUNDDOWN({0},0)</f>
      </c>
      <c r="F268" s="11">
        <v>38054</v>
      </c>
      <c r="G268" s="12"/>
      <c r="H268" s="11"/>
      <c r="I268" s="11">
        <f>=ROUNDDOWN({0},0)</f>
      </c>
      <c r="J268" s="11"/>
      <c r="K268" s="12"/>
      <c r="L268" s="11">
        <v>36315</v>
      </c>
      <c r="M268" s="13">
        <v>1856847.16</v>
      </c>
      <c r="N268" s="11">
        <v>239</v>
      </c>
      <c r="O268" s="14">
        <v>7769.23</v>
      </c>
      <c r="P268" s="11"/>
      <c r="Q268" s="13"/>
      <c r="R268" s="11"/>
      <c r="S268" s="14"/>
      <c r="T268" s="12"/>
      <c r="U268" s="12"/>
      <c r="V268" s="12"/>
      <c r="W268" s="12"/>
      <c r="X268" s="11">
        <v>20864</v>
      </c>
      <c r="Y268" s="13">
        <v>1161213.8</v>
      </c>
      <c r="Z268" s="11">
        <v>238</v>
      </c>
      <c r="AA268" s="11"/>
      <c r="AB268" s="13"/>
      <c r="AC268" s="11"/>
      <c r="AD268" s="12"/>
      <c r="AE268" s="12"/>
      <c r="AF268" s="11">
        <v>770</v>
      </c>
      <c r="AG268" s="13">
        <v>39306.28</v>
      </c>
      <c r="AH268" s="11">
        <v>213</v>
      </c>
      <c r="AI268" s="11"/>
      <c r="AJ268" s="13"/>
      <c r="AK268" s="11"/>
      <c r="AL268" s="12"/>
      <c r="AM268" s="12"/>
      <c r="AN268" s="11">
        <v>3579</v>
      </c>
      <c r="AO268" s="13">
        <v>152607.91</v>
      </c>
      <c r="AP268" s="11">
        <v>213</v>
      </c>
      <c r="AQ268" s="11"/>
      <c r="AR268" s="13"/>
      <c r="AS268" s="11"/>
      <c r="AT268" s="12"/>
      <c r="AU268" s="12"/>
      <c r="AV268" s="11">
        <v>976</v>
      </c>
      <c r="AW268" s="13">
        <v>47087.66</v>
      </c>
      <c r="AX268" s="11">
        <v>128</v>
      </c>
      <c r="AY268" s="11"/>
      <c r="AZ268" s="13"/>
      <c r="BA268" s="11"/>
      <c r="BB268" s="12"/>
      <c r="BC268" s="12"/>
      <c r="BD268" s="11">
        <v>4658</v>
      </c>
      <c r="BE268" s="13">
        <v>185805.4</v>
      </c>
      <c r="BF268" s="11">
        <v>213</v>
      </c>
      <c r="BG268" s="11"/>
      <c r="BH268" s="13"/>
      <c r="BI268" s="11"/>
      <c r="BJ268" s="12"/>
      <c r="BK268" s="12"/>
      <c r="BL268" s="11">
        <v>1788</v>
      </c>
      <c r="BM268" s="13">
        <v>87197.91</v>
      </c>
      <c r="BN268" s="11">
        <v>219</v>
      </c>
      <c r="BO268" s="11"/>
      <c r="BP268" s="13"/>
      <c r="BQ268" s="11"/>
      <c r="BR268" s="12"/>
      <c r="BS268" s="12"/>
      <c r="BT268" s="11">
        <v>686</v>
      </c>
      <c r="BU268" s="13">
        <v>36504.24</v>
      </c>
      <c r="BV268" s="11">
        <v>213</v>
      </c>
      <c r="BW268" s="11"/>
      <c r="BX268" s="13"/>
      <c r="BY268" s="11"/>
      <c r="BZ268" s="12"/>
      <c r="CA268" s="12"/>
      <c r="CB268" s="11">
        <v>1481</v>
      </c>
      <c r="CC268" s="13">
        <v>56124.43</v>
      </c>
      <c r="CD268" s="11">
        <v>84</v>
      </c>
      <c r="CE268" s="11"/>
      <c r="CF268" s="13"/>
      <c r="CG268" s="11"/>
      <c r="CH268" s="12"/>
      <c r="CI268" s="12"/>
      <c r="CJ268" s="11">
        <v>5</v>
      </c>
      <c r="CK268" s="13">
        <v>789.95</v>
      </c>
      <c r="CL268" s="11">
        <v>93</v>
      </c>
      <c r="CM268" s="11"/>
      <c r="CN268" s="13"/>
      <c r="CO268" s="11"/>
      <c r="CP268" s="12"/>
      <c r="CQ268" s="12"/>
      <c r="CR268" s="11"/>
      <c r="CS268" s="13"/>
      <c r="CT268" s="11"/>
      <c r="CU268" s="11"/>
      <c r="CV268" s="13"/>
      <c r="CW268" s="11"/>
      <c r="CX268" s="12"/>
      <c r="CY268" s="12"/>
      <c r="CZ268" s="11">
        <v>17</v>
      </c>
      <c r="DA268" s="13">
        <v>544</v>
      </c>
      <c r="DB268" s="11">
        <v>11</v>
      </c>
      <c r="DC268" s="11"/>
      <c r="DD268" s="13"/>
      <c r="DE268" s="11"/>
      <c r="DF268" s="12"/>
      <c r="DG268" s="12"/>
      <c r="DH268" s="11">
        <v>21</v>
      </c>
      <c r="DI268" s="13">
        <v>1264.06</v>
      </c>
      <c r="DJ268" s="11">
        <v>150</v>
      </c>
      <c r="DK268" s="11"/>
      <c r="DL268" s="13"/>
      <c r="DM268" s="11"/>
      <c r="DN268" s="12"/>
      <c r="DO268" s="12"/>
      <c r="DP268" s="11">
        <v>283</v>
      </c>
      <c r="DQ268" s="13">
        <v>17552.03</v>
      </c>
      <c r="DR268" s="11">
        <v>212</v>
      </c>
      <c r="DS268" s="11"/>
      <c r="DT268" s="13"/>
      <c r="DU268" s="11"/>
      <c r="DV268" s="12"/>
      <c r="DW268" s="12"/>
      <c r="DX268" s="11">
        <v>279</v>
      </c>
      <c r="DY268" s="13">
        <v>14673.86</v>
      </c>
      <c r="DZ268" s="11">
        <v>181</v>
      </c>
      <c r="EA268" s="11"/>
      <c r="EB268" s="13"/>
      <c r="EC268" s="11"/>
      <c r="ED268" s="12"/>
      <c r="EE268" s="12"/>
      <c r="EF268" s="11"/>
      <c r="EG268" s="13"/>
      <c r="EH268" s="11"/>
      <c r="EI268" s="11"/>
      <c r="EJ268" s="13"/>
      <c r="EK268" s="11"/>
      <c r="EL268" s="12"/>
      <c r="EM268" s="12"/>
      <c r="EN268" s="11">
        <v>42</v>
      </c>
      <c r="EO268" s="13">
        <v>3882.84</v>
      </c>
      <c r="EP268" s="11">
        <v>229</v>
      </c>
      <c r="EQ268" s="11"/>
      <c r="ER268" s="13"/>
      <c r="ES268" s="11"/>
      <c r="ET268" s="12"/>
      <c r="EU268" s="12"/>
      <c r="EV268" s="11">
        <v>507</v>
      </c>
      <c r="EW268" s="13">
        <v>31607.88</v>
      </c>
      <c r="EX268" s="11">
        <v>49</v>
      </c>
      <c r="EY268" s="11"/>
      <c r="EZ268" s="13"/>
      <c r="FA268" s="11"/>
      <c r="FB268" s="12"/>
      <c r="FC268" s="12"/>
      <c r="FD268" s="11">
        <v>99</v>
      </c>
      <c r="FE268" s="13">
        <v>6539.71</v>
      </c>
      <c r="FF268" s="11">
        <v>104</v>
      </c>
      <c r="FG268" s="11"/>
      <c r="FH268" s="13"/>
      <c r="FI268" s="11"/>
      <c r="FJ268" s="12"/>
      <c r="FK268" s="12"/>
      <c r="FL268" s="11">
        <v>99</v>
      </c>
      <c r="FM268" s="13">
        <v>4156.57</v>
      </c>
      <c r="FN268" s="11">
        <v>28</v>
      </c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/>
      <c r="GM268" s="11"/>
      <c r="GN268" s="13"/>
      <c r="GO268" s="11"/>
      <c r="GP268" s="12"/>
      <c r="GQ268" s="12"/>
      <c r="GR268" s="11">
        <v>5</v>
      </c>
      <c r="GS268" s="13">
        <v>239.94</v>
      </c>
      <c r="GT268" s="11">
        <v>175</v>
      </c>
      <c r="GU268" s="11"/>
      <c r="GV268" s="13"/>
      <c r="GW268" s="11"/>
      <c r="GX268" s="12"/>
      <c r="GY268" s="12"/>
      <c r="GZ268" s="11">
        <v>42</v>
      </c>
      <c r="HA268" s="13">
        <v>2729.59</v>
      </c>
      <c r="HB268" s="11">
        <v>122</v>
      </c>
      <c r="HC268" s="11"/>
      <c r="HD268" s="13"/>
      <c r="HE268" s="11"/>
      <c r="HF268" s="12"/>
      <c r="HG268" s="12"/>
      <c r="HH268" s="11">
        <v>2</v>
      </c>
      <c r="HI268" s="13">
        <v>81.14</v>
      </c>
      <c r="HJ268" s="11"/>
      <c r="HK268" s="11"/>
      <c r="HL268" s="13"/>
      <c r="HM268" s="11"/>
      <c r="HN268" s="12"/>
      <c r="HO268" s="12"/>
      <c r="HP268" s="11">
        <v>57</v>
      </c>
      <c r="HQ268" s="13">
        <v>3073.69</v>
      </c>
      <c r="HR268" s="11">
        <v>131</v>
      </c>
      <c r="HS268" s="11"/>
      <c r="HT268" s="13"/>
      <c r="HU268" s="11"/>
      <c r="HV268" s="12"/>
      <c r="HW268" s="12"/>
      <c r="HX268" s="11">
        <v>29</v>
      </c>
      <c r="HY268" s="13">
        <v>1911.52</v>
      </c>
      <c r="HZ268" s="11">
        <v>64</v>
      </c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>
        <v>2</v>
      </c>
      <c r="IW268" s="13">
        <v>87.15</v>
      </c>
      <c r="IX268" s="11">
        <v>95</v>
      </c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>
        <v>24</v>
      </c>
      <c r="JM268" s="13">
        <v>1865.6</v>
      </c>
      <c r="JN268" s="11">
        <v>83</v>
      </c>
      <c r="JO268" s="11"/>
      <c r="JP268" s="13"/>
      <c r="JQ268" s="11"/>
      <c r="JR268" s="12"/>
      <c r="JS268" s="12"/>
      <c r="JT268" s="11"/>
      <c r="JU268" s="13"/>
      <c r="JV268" s="11"/>
      <c r="JW268" s="11"/>
      <c r="JX268" s="13"/>
      <c r="JY268" s="11"/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/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  <c r="LH268" s="11"/>
      <c r="LI268" s="13"/>
      <c r="LJ268" s="11"/>
      <c r="LK268" s="11"/>
      <c r="LL268" s="13"/>
      <c r="LM268" s="11"/>
      <c r="LN268" s="12"/>
      <c r="LO268" s="12"/>
      <c r="LP268" s="11"/>
      <c r="LQ268" s="13"/>
      <c r="LR268" s="11"/>
      <c r="LS268" s="11"/>
      <c r="LT268" s="13"/>
      <c r="LU268" s="11"/>
      <c r="LV268" s="12"/>
      <c r="LW268" s="12"/>
    </row>
    <row r="269">
      <c r="A269" s="10" t="s">
        <v>193</v>
      </c>
      <c r="B269" s="10" t="s">
        <v>200</v>
      </c>
      <c r="C269" s="10" t="s">
        <v>74</v>
      </c>
      <c r="D269" s="11">
        <v>153</v>
      </c>
      <c r="E269" s="11">
        <f>=ROUNDDOWN(25.0819672131148,0)</f>
      </c>
      <c r="F269" s="11"/>
      <c r="G269" s="12">
        <v>0.9456</v>
      </c>
      <c r="H269" s="11"/>
      <c r="I269" s="11">
        <f>=ROUNDDOWN({0},0)</f>
      </c>
      <c r="J269" s="11"/>
      <c r="K269" s="12"/>
      <c r="L269" s="11">
        <v>76</v>
      </c>
      <c r="M269" s="13">
        <v>2451.06</v>
      </c>
      <c r="N269" s="11"/>
      <c r="O269" s="14"/>
      <c r="P269" s="11"/>
      <c r="Q269" s="13"/>
      <c r="R269" s="11"/>
      <c r="S269" s="14"/>
      <c r="T269" s="12"/>
      <c r="U269" s="12"/>
      <c r="V269" s="12"/>
      <c r="W269" s="12"/>
      <c r="X269" s="11"/>
      <c r="Y269" s="13"/>
      <c r="Z269" s="11"/>
      <c r="AA269" s="11"/>
      <c r="AB269" s="13"/>
      <c r="AC269" s="11"/>
      <c r="AD269" s="12"/>
      <c r="AE269" s="12"/>
      <c r="AF269" s="11"/>
      <c r="AG269" s="13"/>
      <c r="AH269" s="11"/>
      <c r="AI269" s="11"/>
      <c r="AJ269" s="13"/>
      <c r="AK269" s="11"/>
      <c r="AL269" s="12"/>
      <c r="AM269" s="12"/>
      <c r="AN269" s="11"/>
      <c r="AO269" s="13"/>
      <c r="AP269" s="11"/>
      <c r="AQ269" s="11"/>
      <c r="AR269" s="13"/>
      <c r="AS269" s="11"/>
      <c r="AT269" s="12"/>
      <c r="AU269" s="12"/>
      <c r="AV269" s="11"/>
      <c r="AW269" s="13"/>
      <c r="AX269" s="11"/>
      <c r="AY269" s="11"/>
      <c r="AZ269" s="13"/>
      <c r="BA269" s="11"/>
      <c r="BB269" s="12"/>
      <c r="BC269" s="12"/>
      <c r="BD269" s="11"/>
      <c r="BE269" s="13"/>
      <c r="BF269" s="11"/>
      <c r="BG269" s="11"/>
      <c r="BH269" s="13"/>
      <c r="BI269" s="11"/>
      <c r="BJ269" s="12"/>
      <c r="BK269" s="12"/>
      <c r="BL269" s="11"/>
      <c r="BM269" s="13"/>
      <c r="BN269" s="11"/>
      <c r="BO269" s="11"/>
      <c r="BP269" s="13"/>
      <c r="BQ269" s="11"/>
      <c r="BR269" s="12"/>
      <c r="BS269" s="12"/>
      <c r="BT269" s="11"/>
      <c r="BU269" s="13"/>
      <c r="BV269" s="11"/>
      <c r="BW269" s="11"/>
      <c r="BX269" s="13"/>
      <c r="BY269" s="11"/>
      <c r="BZ269" s="12"/>
      <c r="CA269" s="12"/>
      <c r="CB269" s="11"/>
      <c r="CC269" s="13"/>
      <c r="CD269" s="11"/>
      <c r="CE269" s="11"/>
      <c r="CF269" s="13"/>
      <c r="CG269" s="11"/>
      <c r="CH269" s="12"/>
      <c r="CI269" s="12"/>
      <c r="CJ269" s="11"/>
      <c r="CK269" s="13"/>
      <c r="CL269" s="11"/>
      <c r="CM269" s="11"/>
      <c r="CN269" s="13"/>
      <c r="CO269" s="11"/>
      <c r="CP269" s="12"/>
      <c r="CQ269" s="12"/>
      <c r="CR269" s="11"/>
      <c r="CS269" s="13"/>
      <c r="CT269" s="11"/>
      <c r="CU269" s="11"/>
      <c r="CV269" s="13"/>
      <c r="CW269" s="11"/>
      <c r="CX269" s="12"/>
      <c r="CY269" s="12"/>
      <c r="CZ269" s="11"/>
      <c r="DA269" s="13"/>
      <c r="DB269" s="11"/>
      <c r="DC269" s="11"/>
      <c r="DD269" s="13"/>
      <c r="DE269" s="11"/>
      <c r="DF269" s="12"/>
      <c r="DG269" s="12"/>
      <c r="DH269" s="11"/>
      <c r="DI269" s="13"/>
      <c r="DJ269" s="11"/>
      <c r="DK269" s="11"/>
      <c r="DL269" s="13"/>
      <c r="DM269" s="11"/>
      <c r="DN269" s="12"/>
      <c r="DO269" s="12"/>
      <c r="DP269" s="11"/>
      <c r="DQ269" s="13"/>
      <c r="DR269" s="11"/>
      <c r="DS269" s="11"/>
      <c r="DT269" s="13"/>
      <c r="DU269" s="11"/>
      <c r="DV269" s="12"/>
      <c r="DW269" s="12"/>
      <c r="DX269" s="11"/>
      <c r="DY269" s="13"/>
      <c r="DZ269" s="11"/>
      <c r="EA269" s="11"/>
      <c r="EB269" s="13"/>
      <c r="EC269" s="11"/>
      <c r="ED269" s="12"/>
      <c r="EE269" s="12"/>
      <c r="EF269" s="11"/>
      <c r="EG269" s="13"/>
      <c r="EH269" s="11"/>
      <c r="EI269" s="11"/>
      <c r="EJ269" s="13"/>
      <c r="EK269" s="11"/>
      <c r="EL269" s="12"/>
      <c r="EM269" s="12"/>
      <c r="EN269" s="11"/>
      <c r="EO269" s="13"/>
      <c r="EP269" s="11"/>
      <c r="EQ269" s="11"/>
      <c r="ER269" s="13"/>
      <c r="ES269" s="11"/>
      <c r="ET269" s="12"/>
      <c r="EU269" s="12"/>
      <c r="EV269" s="11">
        <v>76</v>
      </c>
      <c r="EW269" s="13">
        <v>2451.06</v>
      </c>
      <c r="EX269" s="11"/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/>
      <c r="FM269" s="13"/>
      <c r="FN269" s="11"/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/>
      <c r="GM269" s="11"/>
      <c r="GN269" s="13"/>
      <c r="GO269" s="11"/>
      <c r="GP269" s="12"/>
      <c r="GQ269" s="12"/>
      <c r="GR269" s="11"/>
      <c r="GS269" s="13"/>
      <c r="GT269" s="11"/>
      <c r="GU269" s="11"/>
      <c r="GV269" s="13"/>
      <c r="GW269" s="11"/>
      <c r="GX269" s="12"/>
      <c r="GY269" s="12"/>
      <c r="GZ269" s="11"/>
      <c r="HA269" s="13"/>
      <c r="HB269" s="11"/>
      <c r="HC269" s="11"/>
      <c r="HD269" s="13"/>
      <c r="HE269" s="11"/>
      <c r="HF269" s="12"/>
      <c r="HG269" s="12"/>
      <c r="HH269" s="11"/>
      <c r="HI269" s="13"/>
      <c r="HJ269" s="11"/>
      <c r="HK269" s="11"/>
      <c r="HL269" s="13"/>
      <c r="HM269" s="11"/>
      <c r="HN269" s="12"/>
      <c r="HO269" s="12"/>
      <c r="HP269" s="11"/>
      <c r="HQ269" s="13"/>
      <c r="HR269" s="11"/>
      <c r="HS269" s="11"/>
      <c r="HT269" s="13"/>
      <c r="HU269" s="11"/>
      <c r="HV269" s="12"/>
      <c r="HW269" s="12"/>
      <c r="HX269" s="11"/>
      <c r="HY269" s="13"/>
      <c r="HZ269" s="11"/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/>
      <c r="JO269" s="11"/>
      <c r="JP269" s="13"/>
      <c r="JQ269" s="11"/>
      <c r="JR269" s="12"/>
      <c r="JS269" s="12"/>
      <c r="JT269" s="11"/>
      <c r="JU269" s="13"/>
      <c r="JV269" s="11"/>
      <c r="JW269" s="11"/>
      <c r="JX269" s="13"/>
      <c r="JY269" s="11"/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/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  <c r="LH269" s="11"/>
      <c r="LI269" s="13"/>
      <c r="LJ269" s="11"/>
      <c r="LK269" s="11"/>
      <c r="LL269" s="13"/>
      <c r="LM269" s="11"/>
      <c r="LN269" s="12"/>
      <c r="LO269" s="12"/>
      <c r="LP269" s="11"/>
      <c r="LQ269" s="13"/>
      <c r="LR269" s="11"/>
      <c r="LS269" s="11"/>
      <c r="LT269" s="13"/>
      <c r="LU269" s="11"/>
      <c r="LV269" s="12"/>
      <c r="LW269" s="12"/>
    </row>
    <row r="270">
      <c r="A270" s="10" t="s">
        <v>193</v>
      </c>
      <c r="B270" s="10" t="s">
        <v>201</v>
      </c>
      <c r="C270" s="10" t="s">
        <v>77</v>
      </c>
      <c r="D270" s="11">
        <v>153</v>
      </c>
      <c r="E270" s="11">
        <f>=ROUNDDOWN({0},0)</f>
      </c>
      <c r="F270" s="11"/>
      <c r="G270" s="12"/>
      <c r="H270" s="11"/>
      <c r="I270" s="11">
        <f>=ROUNDDOWN({0},0)</f>
      </c>
      <c r="J270" s="11"/>
      <c r="K270" s="12"/>
      <c r="L270" s="11">
        <v>76</v>
      </c>
      <c r="M270" s="13">
        <v>2451.06</v>
      </c>
      <c r="N270" s="11"/>
      <c r="O270" s="14"/>
      <c r="P270" s="11"/>
      <c r="Q270" s="13"/>
      <c r="R270" s="11"/>
      <c r="S270" s="14"/>
      <c r="T270" s="12"/>
      <c r="U270" s="12"/>
      <c r="V270" s="12"/>
      <c r="W270" s="12"/>
      <c r="X270" s="11"/>
      <c r="Y270" s="13"/>
      <c r="Z270" s="11"/>
      <c r="AA270" s="11"/>
      <c r="AB270" s="13"/>
      <c r="AC270" s="11"/>
      <c r="AD270" s="12"/>
      <c r="AE270" s="12"/>
      <c r="AF270" s="11"/>
      <c r="AG270" s="13"/>
      <c r="AH270" s="11"/>
      <c r="AI270" s="11"/>
      <c r="AJ270" s="13"/>
      <c r="AK270" s="11"/>
      <c r="AL270" s="12"/>
      <c r="AM270" s="12"/>
      <c r="AN270" s="11"/>
      <c r="AO270" s="13"/>
      <c r="AP270" s="11"/>
      <c r="AQ270" s="11"/>
      <c r="AR270" s="13"/>
      <c r="AS270" s="11"/>
      <c r="AT270" s="12"/>
      <c r="AU270" s="12"/>
      <c r="AV270" s="11"/>
      <c r="AW270" s="13"/>
      <c r="AX270" s="11"/>
      <c r="AY270" s="11"/>
      <c r="AZ270" s="13"/>
      <c r="BA270" s="11"/>
      <c r="BB270" s="12"/>
      <c r="BC270" s="12"/>
      <c r="BD270" s="11"/>
      <c r="BE270" s="13"/>
      <c r="BF270" s="11"/>
      <c r="BG270" s="11"/>
      <c r="BH270" s="13"/>
      <c r="BI270" s="11"/>
      <c r="BJ270" s="12"/>
      <c r="BK270" s="12"/>
      <c r="BL270" s="11"/>
      <c r="BM270" s="13"/>
      <c r="BN270" s="11"/>
      <c r="BO270" s="11"/>
      <c r="BP270" s="13"/>
      <c r="BQ270" s="11"/>
      <c r="BR270" s="12"/>
      <c r="BS270" s="12"/>
      <c r="BT270" s="11"/>
      <c r="BU270" s="13"/>
      <c r="BV270" s="11"/>
      <c r="BW270" s="11"/>
      <c r="BX270" s="13"/>
      <c r="BY270" s="11"/>
      <c r="BZ270" s="12"/>
      <c r="CA270" s="12"/>
      <c r="CB270" s="11"/>
      <c r="CC270" s="13"/>
      <c r="CD270" s="11"/>
      <c r="CE270" s="11"/>
      <c r="CF270" s="13"/>
      <c r="CG270" s="11"/>
      <c r="CH270" s="12"/>
      <c r="CI270" s="12"/>
      <c r="CJ270" s="11"/>
      <c r="CK270" s="13"/>
      <c r="CL270" s="11"/>
      <c r="CM270" s="11"/>
      <c r="CN270" s="13"/>
      <c r="CO270" s="11"/>
      <c r="CP270" s="12"/>
      <c r="CQ270" s="12"/>
      <c r="CR270" s="11"/>
      <c r="CS270" s="13"/>
      <c r="CT270" s="11"/>
      <c r="CU270" s="11"/>
      <c r="CV270" s="13"/>
      <c r="CW270" s="11"/>
      <c r="CX270" s="12"/>
      <c r="CY270" s="12"/>
      <c r="CZ270" s="11"/>
      <c r="DA270" s="13"/>
      <c r="DB270" s="11"/>
      <c r="DC270" s="11"/>
      <c r="DD270" s="13"/>
      <c r="DE270" s="11"/>
      <c r="DF270" s="12"/>
      <c r="DG270" s="12"/>
      <c r="DH270" s="11"/>
      <c r="DI270" s="13"/>
      <c r="DJ270" s="11"/>
      <c r="DK270" s="11"/>
      <c r="DL270" s="13"/>
      <c r="DM270" s="11"/>
      <c r="DN270" s="12"/>
      <c r="DO270" s="12"/>
      <c r="DP270" s="11"/>
      <c r="DQ270" s="13"/>
      <c r="DR270" s="11"/>
      <c r="DS270" s="11"/>
      <c r="DT270" s="13"/>
      <c r="DU270" s="11"/>
      <c r="DV270" s="12"/>
      <c r="DW270" s="12"/>
      <c r="DX270" s="11"/>
      <c r="DY270" s="13"/>
      <c r="DZ270" s="11"/>
      <c r="EA270" s="11"/>
      <c r="EB270" s="13"/>
      <c r="EC270" s="11"/>
      <c r="ED270" s="12"/>
      <c r="EE270" s="12"/>
      <c r="EF270" s="11"/>
      <c r="EG270" s="13"/>
      <c r="EH270" s="11"/>
      <c r="EI270" s="11"/>
      <c r="EJ270" s="13"/>
      <c r="EK270" s="11"/>
      <c r="EL270" s="12"/>
      <c r="EM270" s="12"/>
      <c r="EN270" s="11"/>
      <c r="EO270" s="13"/>
      <c r="EP270" s="11"/>
      <c r="EQ270" s="11"/>
      <c r="ER270" s="13"/>
      <c r="ES270" s="11"/>
      <c r="ET270" s="12"/>
      <c r="EU270" s="12"/>
      <c r="EV270" s="11">
        <v>76</v>
      </c>
      <c r="EW270" s="13">
        <v>2451.06</v>
      </c>
      <c r="EX270" s="11"/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/>
      <c r="GC270" s="13"/>
      <c r="GD270" s="11"/>
      <c r="GE270" s="11"/>
      <c r="GF270" s="13"/>
      <c r="GG270" s="11"/>
      <c r="GH270" s="12"/>
      <c r="GI270" s="12"/>
      <c r="GJ270" s="11"/>
      <c r="GK270" s="13"/>
      <c r="GL270" s="11"/>
      <c r="GM270" s="11"/>
      <c r="GN270" s="13"/>
      <c r="GO270" s="11"/>
      <c r="GP270" s="12"/>
      <c r="GQ270" s="12"/>
      <c r="GR270" s="11"/>
      <c r="GS270" s="13"/>
      <c r="GT270" s="11"/>
      <c r="GU270" s="11"/>
      <c r="GV270" s="13"/>
      <c r="GW270" s="11"/>
      <c r="GX270" s="12"/>
      <c r="GY270" s="12"/>
      <c r="GZ270" s="11"/>
      <c r="HA270" s="13"/>
      <c r="HB270" s="11"/>
      <c r="HC270" s="11"/>
      <c r="HD270" s="13"/>
      <c r="HE270" s="11"/>
      <c r="HF270" s="12"/>
      <c r="HG270" s="12"/>
      <c r="HH270" s="11"/>
      <c r="HI270" s="13"/>
      <c r="HJ270" s="11"/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/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/>
      <c r="JO270" s="11"/>
      <c r="JP270" s="13"/>
      <c r="JQ270" s="11"/>
      <c r="JR270" s="12"/>
      <c r="JS270" s="12"/>
      <c r="JT270" s="11"/>
      <c r="JU270" s="13"/>
      <c r="JV270" s="11"/>
      <c r="JW270" s="11"/>
      <c r="JX270" s="13"/>
      <c r="JY270" s="11"/>
      <c r="JZ270" s="12"/>
      <c r="KA270" s="12"/>
      <c r="KB270" s="11"/>
      <c r="KC270" s="13"/>
      <c r="KD270" s="11"/>
      <c r="KE270" s="11"/>
      <c r="KF270" s="13"/>
      <c r="KG270" s="11"/>
      <c r="KH270" s="12"/>
      <c r="KI270" s="12"/>
      <c r="KJ270" s="11"/>
      <c r="KK270" s="13"/>
      <c r="KL270" s="11"/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  <c r="LH270" s="11"/>
      <c r="LI270" s="13"/>
      <c r="LJ270" s="11"/>
      <c r="LK270" s="11"/>
      <c r="LL270" s="13"/>
      <c r="LM270" s="11"/>
      <c r="LN270" s="12"/>
      <c r="LO270" s="12"/>
      <c r="LP270" s="11"/>
      <c r="LQ270" s="13"/>
      <c r="LR270" s="11"/>
      <c r="LS270" s="11"/>
      <c r="LT270" s="13"/>
      <c r="LU270" s="11"/>
      <c r="LV270" s="12"/>
      <c r="LW270" s="12"/>
    </row>
    <row r="271">
      <c r="A271" s="10" t="s">
        <v>193</v>
      </c>
      <c r="B271" s="10" t="s">
        <v>87</v>
      </c>
      <c r="C271" s="10" t="s">
        <v>172</v>
      </c>
      <c r="D271" s="11">
        <v>2452</v>
      </c>
      <c r="E271" s="11">
        <f>=ROUNDDOWN(41.07202680067,0)</f>
      </c>
      <c r="F271" s="11">
        <v>1462</v>
      </c>
      <c r="G271" s="12">
        <v>1</v>
      </c>
      <c r="H271" s="11"/>
      <c r="I271" s="11">
        <f>=ROUNDDOWN({0},0)</f>
      </c>
      <c r="J271" s="11"/>
      <c r="K271" s="12"/>
      <c r="L271" s="11">
        <v>1656</v>
      </c>
      <c r="M271" s="13">
        <v>55137.34</v>
      </c>
      <c r="N271" s="11">
        <v>8</v>
      </c>
      <c r="O271" s="14">
        <v>6892.17</v>
      </c>
      <c r="P271" s="11"/>
      <c r="Q271" s="13"/>
      <c r="R271" s="11"/>
      <c r="S271" s="14"/>
      <c r="T271" s="12"/>
      <c r="U271" s="12"/>
      <c r="V271" s="12"/>
      <c r="W271" s="12"/>
      <c r="X271" s="11">
        <v>333</v>
      </c>
      <c r="Y271" s="13">
        <v>11826.02</v>
      </c>
      <c r="Z271" s="11">
        <v>8</v>
      </c>
      <c r="AA271" s="11"/>
      <c r="AB271" s="13"/>
      <c r="AC271" s="11"/>
      <c r="AD271" s="12"/>
      <c r="AE271" s="12"/>
      <c r="AF271" s="11">
        <v>71</v>
      </c>
      <c r="AG271" s="13">
        <v>1986.27</v>
      </c>
      <c r="AH271" s="11">
        <v>8</v>
      </c>
      <c r="AI271" s="11"/>
      <c r="AJ271" s="13"/>
      <c r="AK271" s="11"/>
      <c r="AL271" s="12"/>
      <c r="AM271" s="12"/>
      <c r="AN271" s="11">
        <v>405</v>
      </c>
      <c r="AO271" s="13">
        <v>13215.98</v>
      </c>
      <c r="AP271" s="11">
        <v>8</v>
      </c>
      <c r="AQ271" s="11"/>
      <c r="AR271" s="13"/>
      <c r="AS271" s="11"/>
      <c r="AT271" s="12"/>
      <c r="AU271" s="12"/>
      <c r="AV271" s="11">
        <v>414</v>
      </c>
      <c r="AW271" s="13">
        <v>13953.04</v>
      </c>
      <c r="AX271" s="11">
        <v>7</v>
      </c>
      <c r="AY271" s="11"/>
      <c r="AZ271" s="13"/>
      <c r="BA271" s="11"/>
      <c r="BB271" s="12"/>
      <c r="BC271" s="12"/>
      <c r="BD271" s="11">
        <v>285</v>
      </c>
      <c r="BE271" s="13">
        <v>9225</v>
      </c>
      <c r="BF271" s="11">
        <v>8</v>
      </c>
      <c r="BG271" s="11"/>
      <c r="BH271" s="13"/>
      <c r="BI271" s="11"/>
      <c r="BJ271" s="12"/>
      <c r="BK271" s="12"/>
      <c r="BL271" s="11">
        <v>24</v>
      </c>
      <c r="BM271" s="13">
        <v>792.9</v>
      </c>
      <c r="BN271" s="11">
        <v>8</v>
      </c>
      <c r="BO271" s="11"/>
      <c r="BP271" s="13"/>
      <c r="BQ271" s="11"/>
      <c r="BR271" s="12"/>
      <c r="BS271" s="12"/>
      <c r="BT271" s="11">
        <v>50</v>
      </c>
      <c r="BU271" s="13">
        <v>1722.81</v>
      </c>
      <c r="BV271" s="11">
        <v>8</v>
      </c>
      <c r="BW271" s="11"/>
      <c r="BX271" s="13"/>
      <c r="BY271" s="11"/>
      <c r="BZ271" s="12"/>
      <c r="CA271" s="12"/>
      <c r="CB271" s="11">
        <v>21</v>
      </c>
      <c r="CC271" s="13">
        <v>655.71</v>
      </c>
      <c r="CD271" s="11">
        <v>8</v>
      </c>
      <c r="CE271" s="11"/>
      <c r="CF271" s="13"/>
      <c r="CG271" s="11"/>
      <c r="CH271" s="12"/>
      <c r="CI271" s="12"/>
      <c r="CJ271" s="11"/>
      <c r="CK271" s="13"/>
      <c r="CL271" s="11">
        <v>2</v>
      </c>
      <c r="CM271" s="11"/>
      <c r="CN271" s="13"/>
      <c r="CO271" s="11"/>
      <c r="CP271" s="12"/>
      <c r="CQ271" s="12"/>
      <c r="CR271" s="11"/>
      <c r="CS271" s="13"/>
      <c r="CT271" s="11"/>
      <c r="CU271" s="11"/>
      <c r="CV271" s="13"/>
      <c r="CW271" s="11"/>
      <c r="CX271" s="12"/>
      <c r="CY271" s="12"/>
      <c r="CZ271" s="11">
        <v>5</v>
      </c>
      <c r="DA271" s="13">
        <v>157.99</v>
      </c>
      <c r="DB271" s="11">
        <v>6</v>
      </c>
      <c r="DC271" s="11"/>
      <c r="DD271" s="13"/>
      <c r="DE271" s="11"/>
      <c r="DF271" s="12"/>
      <c r="DG271" s="12"/>
      <c r="DH271" s="11"/>
      <c r="DI271" s="13"/>
      <c r="DJ271" s="11"/>
      <c r="DK271" s="11"/>
      <c r="DL271" s="13"/>
      <c r="DM271" s="11"/>
      <c r="DN271" s="12"/>
      <c r="DO271" s="12"/>
      <c r="DP271" s="11">
        <v>23</v>
      </c>
      <c r="DQ271" s="13">
        <v>758.29</v>
      </c>
      <c r="DR271" s="11">
        <v>8</v>
      </c>
      <c r="DS271" s="11"/>
      <c r="DT271" s="13"/>
      <c r="DU271" s="11"/>
      <c r="DV271" s="12"/>
      <c r="DW271" s="12"/>
      <c r="DX271" s="11">
        <v>12</v>
      </c>
      <c r="DY271" s="13">
        <v>394.36</v>
      </c>
      <c r="DZ271" s="11">
        <v>8</v>
      </c>
      <c r="EA271" s="11"/>
      <c r="EB271" s="13"/>
      <c r="EC271" s="11"/>
      <c r="ED271" s="12"/>
      <c r="EE271" s="12"/>
      <c r="EF271" s="11"/>
      <c r="EG271" s="13"/>
      <c r="EH271" s="11"/>
      <c r="EI271" s="11"/>
      <c r="EJ271" s="13"/>
      <c r="EK271" s="11"/>
      <c r="EL271" s="12"/>
      <c r="EM271" s="12"/>
      <c r="EN271" s="11"/>
      <c r="EO271" s="13"/>
      <c r="EP271" s="11">
        <v>8</v>
      </c>
      <c r="EQ271" s="11"/>
      <c r="ER271" s="13"/>
      <c r="ES271" s="11"/>
      <c r="ET271" s="12"/>
      <c r="EU271" s="12"/>
      <c r="EV271" s="11"/>
      <c r="EW271" s="13"/>
      <c r="EX271" s="11"/>
      <c r="EY271" s="11"/>
      <c r="EZ271" s="13"/>
      <c r="FA271" s="11"/>
      <c r="FB271" s="12"/>
      <c r="FC271" s="12"/>
      <c r="FD271" s="11"/>
      <c r="FE271" s="13"/>
      <c r="FF271" s="11"/>
      <c r="FG271" s="11"/>
      <c r="FH271" s="13"/>
      <c r="FI271" s="11"/>
      <c r="FJ271" s="12"/>
      <c r="FK271" s="12"/>
      <c r="FL271" s="11">
        <v>13</v>
      </c>
      <c r="FM271" s="13">
        <v>448.97</v>
      </c>
      <c r="FN271" s="11">
        <v>8</v>
      </c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/>
      <c r="GM271" s="11"/>
      <c r="GN271" s="13"/>
      <c r="GO271" s="11"/>
      <c r="GP271" s="12"/>
      <c r="GQ271" s="12"/>
      <c r="GR271" s="11"/>
      <c r="GS271" s="13"/>
      <c r="GT271" s="11">
        <v>6</v>
      </c>
      <c r="GU271" s="11"/>
      <c r="GV271" s="13"/>
      <c r="GW271" s="11"/>
      <c r="GX271" s="12"/>
      <c r="GY271" s="12"/>
      <c r="GZ271" s="11"/>
      <c r="HA271" s="13"/>
      <c r="HB271" s="11"/>
      <c r="HC271" s="11"/>
      <c r="HD271" s="13"/>
      <c r="HE271" s="11"/>
      <c r="HF271" s="12"/>
      <c r="HG271" s="12"/>
      <c r="HH271" s="11"/>
      <c r="HI271" s="13"/>
      <c r="HJ271" s="11"/>
      <c r="HK271" s="11"/>
      <c r="HL271" s="13"/>
      <c r="HM271" s="11"/>
      <c r="HN271" s="12"/>
      <c r="HO271" s="12"/>
      <c r="HP271" s="11"/>
      <c r="HQ271" s="13"/>
      <c r="HR271" s="11"/>
      <c r="HS271" s="11"/>
      <c r="HT271" s="13"/>
      <c r="HU271" s="11"/>
      <c r="HV271" s="12"/>
      <c r="HW271" s="12"/>
      <c r="HX271" s="11"/>
      <c r="HY271" s="13"/>
      <c r="HZ271" s="11"/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/>
      <c r="JO271" s="11"/>
      <c r="JP271" s="13"/>
      <c r="JQ271" s="11"/>
      <c r="JR271" s="12"/>
      <c r="JS271" s="12"/>
      <c r="JT271" s="11"/>
      <c r="JU271" s="13"/>
      <c r="JV271" s="11"/>
      <c r="JW271" s="11"/>
      <c r="JX271" s="13"/>
      <c r="JY271" s="11"/>
      <c r="JZ271" s="12"/>
      <c r="KA271" s="12"/>
      <c r="KB271" s="11"/>
      <c r="KC271" s="13"/>
      <c r="KD271" s="11"/>
      <c r="KE271" s="11"/>
      <c r="KF271" s="13"/>
      <c r="KG271" s="11"/>
      <c r="KH271" s="12"/>
      <c r="KI271" s="12"/>
      <c r="KJ271" s="11"/>
      <c r="KK271" s="13"/>
      <c r="KL271" s="11"/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  <c r="LH271" s="11"/>
      <c r="LI271" s="13"/>
      <c r="LJ271" s="11"/>
      <c r="LK271" s="11"/>
      <c r="LL271" s="13"/>
      <c r="LM271" s="11"/>
      <c r="LN271" s="12"/>
      <c r="LO271" s="12"/>
      <c r="LP271" s="11"/>
      <c r="LQ271" s="13"/>
      <c r="LR271" s="11"/>
      <c r="LS271" s="11"/>
      <c r="LT271" s="13"/>
      <c r="LU271" s="11"/>
      <c r="LV271" s="12"/>
      <c r="LW271" s="12"/>
    </row>
    <row r="272">
      <c r="A272" s="10" t="s">
        <v>193</v>
      </c>
      <c r="B272" s="10" t="s">
        <v>88</v>
      </c>
      <c r="C272" s="10" t="s">
        <v>77</v>
      </c>
      <c r="D272" s="11">
        <v>2452</v>
      </c>
      <c r="E272" s="11">
        <f>=ROUNDDOWN({0},0)</f>
      </c>
      <c r="F272" s="11">
        <v>1462</v>
      </c>
      <c r="G272" s="12"/>
      <c r="H272" s="11"/>
      <c r="I272" s="11">
        <f>=ROUNDDOWN({0},0)</f>
      </c>
      <c r="J272" s="11"/>
      <c r="K272" s="12"/>
      <c r="L272" s="11">
        <v>1656</v>
      </c>
      <c r="M272" s="13">
        <v>55137.34</v>
      </c>
      <c r="N272" s="11">
        <v>8</v>
      </c>
      <c r="O272" s="14">
        <v>6892.17</v>
      </c>
      <c r="P272" s="11"/>
      <c r="Q272" s="13"/>
      <c r="R272" s="11"/>
      <c r="S272" s="14"/>
      <c r="T272" s="12"/>
      <c r="U272" s="12"/>
      <c r="V272" s="12"/>
      <c r="W272" s="12"/>
      <c r="X272" s="11">
        <v>333</v>
      </c>
      <c r="Y272" s="13">
        <v>11826.02</v>
      </c>
      <c r="Z272" s="11">
        <v>8</v>
      </c>
      <c r="AA272" s="11"/>
      <c r="AB272" s="13"/>
      <c r="AC272" s="11"/>
      <c r="AD272" s="12"/>
      <c r="AE272" s="12"/>
      <c r="AF272" s="11">
        <v>71</v>
      </c>
      <c r="AG272" s="13">
        <v>1986.27</v>
      </c>
      <c r="AH272" s="11">
        <v>8</v>
      </c>
      <c r="AI272" s="11"/>
      <c r="AJ272" s="13"/>
      <c r="AK272" s="11"/>
      <c r="AL272" s="12"/>
      <c r="AM272" s="12"/>
      <c r="AN272" s="11">
        <v>405</v>
      </c>
      <c r="AO272" s="13">
        <v>13215.98</v>
      </c>
      <c r="AP272" s="11">
        <v>8</v>
      </c>
      <c r="AQ272" s="11"/>
      <c r="AR272" s="13"/>
      <c r="AS272" s="11"/>
      <c r="AT272" s="12"/>
      <c r="AU272" s="12"/>
      <c r="AV272" s="11">
        <v>414</v>
      </c>
      <c r="AW272" s="13">
        <v>13953.04</v>
      </c>
      <c r="AX272" s="11">
        <v>7</v>
      </c>
      <c r="AY272" s="11"/>
      <c r="AZ272" s="13"/>
      <c r="BA272" s="11"/>
      <c r="BB272" s="12"/>
      <c r="BC272" s="12"/>
      <c r="BD272" s="11">
        <v>285</v>
      </c>
      <c r="BE272" s="13">
        <v>9225</v>
      </c>
      <c r="BF272" s="11">
        <v>8</v>
      </c>
      <c r="BG272" s="11"/>
      <c r="BH272" s="13"/>
      <c r="BI272" s="11"/>
      <c r="BJ272" s="12"/>
      <c r="BK272" s="12"/>
      <c r="BL272" s="11">
        <v>24</v>
      </c>
      <c r="BM272" s="13">
        <v>792.9</v>
      </c>
      <c r="BN272" s="11">
        <v>8</v>
      </c>
      <c r="BO272" s="11"/>
      <c r="BP272" s="13"/>
      <c r="BQ272" s="11"/>
      <c r="BR272" s="12"/>
      <c r="BS272" s="12"/>
      <c r="BT272" s="11">
        <v>50</v>
      </c>
      <c r="BU272" s="13">
        <v>1722.81</v>
      </c>
      <c r="BV272" s="11">
        <v>8</v>
      </c>
      <c r="BW272" s="11"/>
      <c r="BX272" s="13"/>
      <c r="BY272" s="11"/>
      <c r="BZ272" s="12"/>
      <c r="CA272" s="12"/>
      <c r="CB272" s="11">
        <v>21</v>
      </c>
      <c r="CC272" s="13">
        <v>655.71</v>
      </c>
      <c r="CD272" s="11">
        <v>8</v>
      </c>
      <c r="CE272" s="11"/>
      <c r="CF272" s="13"/>
      <c r="CG272" s="11"/>
      <c r="CH272" s="12"/>
      <c r="CI272" s="12"/>
      <c r="CJ272" s="11"/>
      <c r="CK272" s="13"/>
      <c r="CL272" s="11">
        <v>2</v>
      </c>
      <c r="CM272" s="11"/>
      <c r="CN272" s="13"/>
      <c r="CO272" s="11"/>
      <c r="CP272" s="12"/>
      <c r="CQ272" s="12"/>
      <c r="CR272" s="11"/>
      <c r="CS272" s="13"/>
      <c r="CT272" s="11"/>
      <c r="CU272" s="11"/>
      <c r="CV272" s="13"/>
      <c r="CW272" s="11"/>
      <c r="CX272" s="12"/>
      <c r="CY272" s="12"/>
      <c r="CZ272" s="11">
        <v>5</v>
      </c>
      <c r="DA272" s="13">
        <v>157.99</v>
      </c>
      <c r="DB272" s="11">
        <v>6</v>
      </c>
      <c r="DC272" s="11"/>
      <c r="DD272" s="13"/>
      <c r="DE272" s="11"/>
      <c r="DF272" s="12"/>
      <c r="DG272" s="12"/>
      <c r="DH272" s="11"/>
      <c r="DI272" s="13"/>
      <c r="DJ272" s="11"/>
      <c r="DK272" s="11"/>
      <c r="DL272" s="13"/>
      <c r="DM272" s="11"/>
      <c r="DN272" s="12"/>
      <c r="DO272" s="12"/>
      <c r="DP272" s="11">
        <v>23</v>
      </c>
      <c r="DQ272" s="13">
        <v>758.29</v>
      </c>
      <c r="DR272" s="11">
        <v>8</v>
      </c>
      <c r="DS272" s="11"/>
      <c r="DT272" s="13"/>
      <c r="DU272" s="11"/>
      <c r="DV272" s="12"/>
      <c r="DW272" s="12"/>
      <c r="DX272" s="11">
        <v>12</v>
      </c>
      <c r="DY272" s="13">
        <v>394.36</v>
      </c>
      <c r="DZ272" s="11">
        <v>8</v>
      </c>
      <c r="EA272" s="11"/>
      <c r="EB272" s="13"/>
      <c r="EC272" s="11"/>
      <c r="ED272" s="12"/>
      <c r="EE272" s="12"/>
      <c r="EF272" s="11"/>
      <c r="EG272" s="13"/>
      <c r="EH272" s="11"/>
      <c r="EI272" s="11"/>
      <c r="EJ272" s="13"/>
      <c r="EK272" s="11"/>
      <c r="EL272" s="12"/>
      <c r="EM272" s="12"/>
      <c r="EN272" s="11"/>
      <c r="EO272" s="13"/>
      <c r="EP272" s="11">
        <v>8</v>
      </c>
      <c r="EQ272" s="11"/>
      <c r="ER272" s="13"/>
      <c r="ES272" s="11"/>
      <c r="ET272" s="12"/>
      <c r="EU272" s="12"/>
      <c r="EV272" s="11"/>
      <c r="EW272" s="13"/>
      <c r="EX272" s="11"/>
      <c r="EY272" s="11"/>
      <c r="EZ272" s="13"/>
      <c r="FA272" s="11"/>
      <c r="FB272" s="12"/>
      <c r="FC272" s="12"/>
      <c r="FD272" s="11"/>
      <c r="FE272" s="13"/>
      <c r="FF272" s="11"/>
      <c r="FG272" s="11"/>
      <c r="FH272" s="13"/>
      <c r="FI272" s="11"/>
      <c r="FJ272" s="12"/>
      <c r="FK272" s="12"/>
      <c r="FL272" s="11">
        <v>13</v>
      </c>
      <c r="FM272" s="13">
        <v>448.97</v>
      </c>
      <c r="FN272" s="11">
        <v>8</v>
      </c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/>
      <c r="GC272" s="13"/>
      <c r="GD272" s="11"/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/>
      <c r="GS272" s="13"/>
      <c r="GT272" s="11">
        <v>6</v>
      </c>
      <c r="GU272" s="11"/>
      <c r="GV272" s="13"/>
      <c r="GW272" s="11"/>
      <c r="GX272" s="12"/>
      <c r="GY272" s="12"/>
      <c r="GZ272" s="11"/>
      <c r="HA272" s="13"/>
      <c r="HB272" s="11"/>
      <c r="HC272" s="11"/>
      <c r="HD272" s="13"/>
      <c r="HE272" s="11"/>
      <c r="HF272" s="12"/>
      <c r="HG272" s="12"/>
      <c r="HH272" s="11"/>
      <c r="HI272" s="13"/>
      <c r="HJ272" s="11"/>
      <c r="HK272" s="11"/>
      <c r="HL272" s="13"/>
      <c r="HM272" s="11"/>
      <c r="HN272" s="12"/>
      <c r="HO272" s="12"/>
      <c r="HP272" s="11"/>
      <c r="HQ272" s="13"/>
      <c r="HR272" s="11"/>
      <c r="HS272" s="11"/>
      <c r="HT272" s="13"/>
      <c r="HU272" s="11"/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/>
      <c r="JO272" s="11"/>
      <c r="JP272" s="13"/>
      <c r="JQ272" s="11"/>
      <c r="JR272" s="12"/>
      <c r="JS272" s="12"/>
      <c r="JT272" s="11"/>
      <c r="JU272" s="13"/>
      <c r="JV272" s="11"/>
      <c r="JW272" s="11"/>
      <c r="JX272" s="13"/>
      <c r="JY272" s="11"/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/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  <c r="LH272" s="11"/>
      <c r="LI272" s="13"/>
      <c r="LJ272" s="11"/>
      <c r="LK272" s="11"/>
      <c r="LL272" s="13"/>
      <c r="LM272" s="11"/>
      <c r="LN272" s="12"/>
      <c r="LO272" s="12"/>
      <c r="LP272" s="11"/>
      <c r="LQ272" s="13"/>
      <c r="LR272" s="11"/>
      <c r="LS272" s="11"/>
      <c r="LT272" s="13"/>
      <c r="LU272" s="11"/>
      <c r="LV272" s="12"/>
      <c r="LW272" s="12"/>
    </row>
    <row r="273">
      <c r="A273" s="10" t="s">
        <v>193</v>
      </c>
      <c r="B273" s="10" t="s">
        <v>89</v>
      </c>
      <c r="C273" s="10" t="s">
        <v>198</v>
      </c>
      <c r="D273" s="11">
        <v>5746</v>
      </c>
      <c r="E273" s="11">
        <f>=ROUNDDOWN(26.3577981651376,0)</f>
      </c>
      <c r="F273" s="11"/>
      <c r="G273" s="12"/>
      <c r="H273" s="11"/>
      <c r="I273" s="11">
        <f>=ROUNDDOWN({0},0)</f>
      </c>
      <c r="J273" s="11"/>
      <c r="K273" s="12"/>
      <c r="L273" s="11">
        <v>1664</v>
      </c>
      <c r="M273" s="13">
        <v>30791.62</v>
      </c>
      <c r="N273" s="11">
        <v>10</v>
      </c>
      <c r="O273" s="14">
        <v>3079.16</v>
      </c>
      <c r="P273" s="11"/>
      <c r="Q273" s="13"/>
      <c r="R273" s="11"/>
      <c r="S273" s="14"/>
      <c r="T273" s="12"/>
      <c r="U273" s="12"/>
      <c r="V273" s="12"/>
      <c r="W273" s="12"/>
      <c r="X273" s="11">
        <v>1662</v>
      </c>
      <c r="Y273" s="13">
        <v>30731.13</v>
      </c>
      <c r="Z273" s="11">
        <v>10</v>
      </c>
      <c r="AA273" s="11"/>
      <c r="AB273" s="13"/>
      <c r="AC273" s="11"/>
      <c r="AD273" s="12"/>
      <c r="AE273" s="12"/>
      <c r="AF273" s="11"/>
      <c r="AG273" s="13"/>
      <c r="AH273" s="11"/>
      <c r="AI273" s="11"/>
      <c r="AJ273" s="13"/>
      <c r="AK273" s="11"/>
      <c r="AL273" s="12"/>
      <c r="AM273" s="12"/>
      <c r="AN273" s="11"/>
      <c r="AO273" s="13"/>
      <c r="AP273" s="11"/>
      <c r="AQ273" s="11"/>
      <c r="AR273" s="13"/>
      <c r="AS273" s="11"/>
      <c r="AT273" s="12"/>
      <c r="AU273" s="12"/>
      <c r="AV273" s="11"/>
      <c r="AW273" s="13"/>
      <c r="AX273" s="11"/>
      <c r="AY273" s="11"/>
      <c r="AZ273" s="13"/>
      <c r="BA273" s="11"/>
      <c r="BB273" s="12"/>
      <c r="BC273" s="12"/>
      <c r="BD273" s="11"/>
      <c r="BE273" s="13"/>
      <c r="BF273" s="11"/>
      <c r="BG273" s="11"/>
      <c r="BH273" s="13"/>
      <c r="BI273" s="11"/>
      <c r="BJ273" s="12"/>
      <c r="BK273" s="12"/>
      <c r="BL273" s="11"/>
      <c r="BM273" s="13"/>
      <c r="BN273" s="11">
        <v>1</v>
      </c>
      <c r="BO273" s="11"/>
      <c r="BP273" s="13"/>
      <c r="BQ273" s="11"/>
      <c r="BR273" s="12"/>
      <c r="BS273" s="12"/>
      <c r="BT273" s="11"/>
      <c r="BU273" s="13"/>
      <c r="BV273" s="11"/>
      <c r="BW273" s="11"/>
      <c r="BX273" s="13"/>
      <c r="BY273" s="11"/>
      <c r="BZ273" s="12"/>
      <c r="CA273" s="12"/>
      <c r="CB273" s="11"/>
      <c r="CC273" s="13"/>
      <c r="CD273" s="11"/>
      <c r="CE273" s="11"/>
      <c r="CF273" s="13"/>
      <c r="CG273" s="11"/>
      <c r="CH273" s="12"/>
      <c r="CI273" s="12"/>
      <c r="CJ273" s="11"/>
      <c r="CK273" s="13"/>
      <c r="CL273" s="11"/>
      <c r="CM273" s="11"/>
      <c r="CN273" s="13"/>
      <c r="CO273" s="11"/>
      <c r="CP273" s="12"/>
      <c r="CQ273" s="12"/>
      <c r="CR273" s="11"/>
      <c r="CS273" s="13"/>
      <c r="CT273" s="11"/>
      <c r="CU273" s="11"/>
      <c r="CV273" s="13"/>
      <c r="CW273" s="11"/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/>
      <c r="DI273" s="13"/>
      <c r="DJ273" s="11"/>
      <c r="DK273" s="11"/>
      <c r="DL273" s="13"/>
      <c r="DM273" s="11"/>
      <c r="DN273" s="12"/>
      <c r="DO273" s="12"/>
      <c r="DP273" s="11"/>
      <c r="DQ273" s="13"/>
      <c r="DR273" s="11"/>
      <c r="DS273" s="11"/>
      <c r="DT273" s="13"/>
      <c r="DU273" s="11"/>
      <c r="DV273" s="12"/>
      <c r="DW273" s="12"/>
      <c r="DX273" s="11"/>
      <c r="DY273" s="13"/>
      <c r="DZ273" s="11"/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>
        <v>2</v>
      </c>
      <c r="EO273" s="13">
        <v>60.49</v>
      </c>
      <c r="EP273" s="11">
        <v>9</v>
      </c>
      <c r="EQ273" s="11"/>
      <c r="ER273" s="13"/>
      <c r="ES273" s="11"/>
      <c r="ET273" s="12"/>
      <c r="EU273" s="12"/>
      <c r="EV273" s="11"/>
      <c r="EW273" s="13"/>
      <c r="EX273" s="11"/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/>
      <c r="JO273" s="11"/>
      <c r="JP273" s="13"/>
      <c r="JQ273" s="11"/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/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  <c r="LH273" s="11"/>
      <c r="LI273" s="13"/>
      <c r="LJ273" s="11"/>
      <c r="LK273" s="11"/>
      <c r="LL273" s="13"/>
      <c r="LM273" s="11"/>
      <c r="LN273" s="12"/>
      <c r="LO273" s="12"/>
      <c r="LP273" s="11"/>
      <c r="LQ273" s="13"/>
      <c r="LR273" s="11"/>
      <c r="LS273" s="11"/>
      <c r="LT273" s="13"/>
      <c r="LU273" s="11"/>
      <c r="LV273" s="12"/>
      <c r="LW273" s="12"/>
    </row>
    <row r="274">
      <c r="A274" s="10" t="s">
        <v>193</v>
      </c>
      <c r="B274" s="10" t="s">
        <v>89</v>
      </c>
      <c r="C274" s="10" t="s">
        <v>115</v>
      </c>
      <c r="D274" s="11">
        <v>4099</v>
      </c>
      <c r="E274" s="11">
        <f>=ROUNDDOWN(22.5343595382078,0)</f>
      </c>
      <c r="F274" s="11">
        <v>800</v>
      </c>
      <c r="G274" s="12">
        <v>1</v>
      </c>
      <c r="H274" s="11"/>
      <c r="I274" s="11">
        <f>=ROUNDDOWN({0},0)</f>
      </c>
      <c r="J274" s="11"/>
      <c r="K274" s="12"/>
      <c r="L274" s="11">
        <v>1373</v>
      </c>
      <c r="M274" s="13">
        <v>27897.38</v>
      </c>
      <c r="N274" s="11">
        <v>11</v>
      </c>
      <c r="O274" s="14">
        <v>2536.13</v>
      </c>
      <c r="P274" s="11"/>
      <c r="Q274" s="13"/>
      <c r="R274" s="11"/>
      <c r="S274" s="14"/>
      <c r="T274" s="12"/>
      <c r="U274" s="12"/>
      <c r="V274" s="12"/>
      <c r="W274" s="12"/>
      <c r="X274" s="11">
        <v>1369</v>
      </c>
      <c r="Y274" s="13">
        <v>27777.42</v>
      </c>
      <c r="Z274" s="11">
        <v>11</v>
      </c>
      <c r="AA274" s="11"/>
      <c r="AB274" s="13"/>
      <c r="AC274" s="11"/>
      <c r="AD274" s="12"/>
      <c r="AE274" s="12"/>
      <c r="AF274" s="11"/>
      <c r="AG274" s="13"/>
      <c r="AH274" s="11"/>
      <c r="AI274" s="11"/>
      <c r="AJ274" s="13"/>
      <c r="AK274" s="11"/>
      <c r="AL274" s="12"/>
      <c r="AM274" s="12"/>
      <c r="AN274" s="11"/>
      <c r="AO274" s="13"/>
      <c r="AP274" s="11"/>
      <c r="AQ274" s="11"/>
      <c r="AR274" s="13"/>
      <c r="AS274" s="11"/>
      <c r="AT274" s="12"/>
      <c r="AU274" s="12"/>
      <c r="AV274" s="11"/>
      <c r="AW274" s="13"/>
      <c r="AX274" s="11"/>
      <c r="AY274" s="11"/>
      <c r="AZ274" s="13"/>
      <c r="BA274" s="11"/>
      <c r="BB274" s="12"/>
      <c r="BC274" s="12"/>
      <c r="BD274" s="11"/>
      <c r="BE274" s="13"/>
      <c r="BF274" s="11"/>
      <c r="BG274" s="11"/>
      <c r="BH274" s="13"/>
      <c r="BI274" s="11"/>
      <c r="BJ274" s="12"/>
      <c r="BK274" s="12"/>
      <c r="BL274" s="11"/>
      <c r="BM274" s="13"/>
      <c r="BN274" s="11"/>
      <c r="BO274" s="11"/>
      <c r="BP274" s="13"/>
      <c r="BQ274" s="11"/>
      <c r="BR274" s="12"/>
      <c r="BS274" s="12"/>
      <c r="BT274" s="11"/>
      <c r="BU274" s="13"/>
      <c r="BV274" s="11"/>
      <c r="BW274" s="11"/>
      <c r="BX274" s="13"/>
      <c r="BY274" s="11"/>
      <c r="BZ274" s="12"/>
      <c r="CA274" s="12"/>
      <c r="CB274" s="11"/>
      <c r="CC274" s="13"/>
      <c r="CD274" s="11"/>
      <c r="CE274" s="11"/>
      <c r="CF274" s="13"/>
      <c r="CG274" s="11"/>
      <c r="CH274" s="12"/>
      <c r="CI274" s="12"/>
      <c r="CJ274" s="11"/>
      <c r="CK274" s="13"/>
      <c r="CL274" s="11"/>
      <c r="CM274" s="11"/>
      <c r="CN274" s="13"/>
      <c r="CO274" s="11"/>
      <c r="CP274" s="12"/>
      <c r="CQ274" s="12"/>
      <c r="CR274" s="11"/>
      <c r="CS274" s="13"/>
      <c r="CT274" s="11"/>
      <c r="CU274" s="11"/>
      <c r="CV274" s="13"/>
      <c r="CW274" s="11"/>
      <c r="CX274" s="12"/>
      <c r="CY274" s="12"/>
      <c r="CZ274" s="11"/>
      <c r="DA274" s="13"/>
      <c r="DB274" s="11"/>
      <c r="DC274" s="11"/>
      <c r="DD274" s="13"/>
      <c r="DE274" s="11"/>
      <c r="DF274" s="12"/>
      <c r="DG274" s="12"/>
      <c r="DH274" s="11"/>
      <c r="DI274" s="13"/>
      <c r="DJ274" s="11"/>
      <c r="DK274" s="11"/>
      <c r="DL274" s="13"/>
      <c r="DM274" s="11"/>
      <c r="DN274" s="12"/>
      <c r="DO274" s="12"/>
      <c r="DP274" s="11"/>
      <c r="DQ274" s="13"/>
      <c r="DR274" s="11"/>
      <c r="DS274" s="11"/>
      <c r="DT274" s="13"/>
      <c r="DU274" s="11"/>
      <c r="DV274" s="12"/>
      <c r="DW274" s="12"/>
      <c r="DX274" s="11"/>
      <c r="DY274" s="13"/>
      <c r="DZ274" s="11"/>
      <c r="EA274" s="11"/>
      <c r="EB274" s="13"/>
      <c r="EC274" s="11"/>
      <c r="ED274" s="12"/>
      <c r="EE274" s="12"/>
      <c r="EF274" s="11"/>
      <c r="EG274" s="13"/>
      <c r="EH274" s="11"/>
      <c r="EI274" s="11"/>
      <c r="EJ274" s="13"/>
      <c r="EK274" s="11"/>
      <c r="EL274" s="12"/>
      <c r="EM274" s="12"/>
      <c r="EN274" s="11">
        <v>4</v>
      </c>
      <c r="EO274" s="13">
        <v>119.96</v>
      </c>
      <c r="EP274" s="11">
        <v>5</v>
      </c>
      <c r="EQ274" s="11"/>
      <c r="ER274" s="13"/>
      <c r="ES274" s="11"/>
      <c r="ET274" s="12"/>
      <c r="EU274" s="12"/>
      <c r="EV274" s="11"/>
      <c r="EW274" s="13"/>
      <c r="EX274" s="11"/>
      <c r="EY274" s="11"/>
      <c r="EZ274" s="13"/>
      <c r="FA274" s="11"/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/>
      <c r="FM274" s="13"/>
      <c r="FN274" s="11"/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/>
      <c r="GC274" s="13"/>
      <c r="GD274" s="11"/>
      <c r="GE274" s="11"/>
      <c r="GF274" s="13"/>
      <c r="GG274" s="11"/>
      <c r="GH274" s="12"/>
      <c r="GI274" s="12"/>
      <c r="GJ274" s="11"/>
      <c r="GK274" s="13"/>
      <c r="GL274" s="11"/>
      <c r="GM274" s="11"/>
      <c r="GN274" s="13"/>
      <c r="GO274" s="11"/>
      <c r="GP274" s="12"/>
      <c r="GQ274" s="12"/>
      <c r="GR274" s="11"/>
      <c r="GS274" s="13"/>
      <c r="GT274" s="11"/>
      <c r="GU274" s="11"/>
      <c r="GV274" s="13"/>
      <c r="GW274" s="11"/>
      <c r="GX274" s="12"/>
      <c r="GY274" s="12"/>
      <c r="GZ274" s="11"/>
      <c r="HA274" s="13"/>
      <c r="HB274" s="11"/>
      <c r="HC274" s="11"/>
      <c r="HD274" s="13"/>
      <c r="HE274" s="11"/>
      <c r="HF274" s="12"/>
      <c r="HG274" s="12"/>
      <c r="HH274" s="11"/>
      <c r="HI274" s="13"/>
      <c r="HJ274" s="11"/>
      <c r="HK274" s="11"/>
      <c r="HL274" s="13"/>
      <c r="HM274" s="11"/>
      <c r="HN274" s="12"/>
      <c r="HO274" s="12"/>
      <c r="HP274" s="11"/>
      <c r="HQ274" s="13"/>
      <c r="HR274" s="11"/>
      <c r="HS274" s="11"/>
      <c r="HT274" s="13"/>
      <c r="HU274" s="11"/>
      <c r="HV274" s="12"/>
      <c r="HW274" s="12"/>
      <c r="HX274" s="11"/>
      <c r="HY274" s="13"/>
      <c r="HZ274" s="11"/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/>
      <c r="JO274" s="11"/>
      <c r="JP274" s="13"/>
      <c r="JQ274" s="11"/>
      <c r="JR274" s="12"/>
      <c r="JS274" s="12"/>
      <c r="JT274" s="11"/>
      <c r="JU274" s="13"/>
      <c r="JV274" s="11"/>
      <c r="JW274" s="11"/>
      <c r="JX274" s="13"/>
      <c r="JY274" s="11"/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/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  <c r="LH274" s="11"/>
      <c r="LI274" s="13"/>
      <c r="LJ274" s="11"/>
      <c r="LK274" s="11"/>
      <c r="LL274" s="13"/>
      <c r="LM274" s="11"/>
      <c r="LN274" s="12"/>
      <c r="LO274" s="12"/>
      <c r="LP274" s="11"/>
      <c r="LQ274" s="13"/>
      <c r="LR274" s="11"/>
      <c r="LS274" s="11"/>
      <c r="LT274" s="13"/>
      <c r="LU274" s="11"/>
      <c r="LV274" s="12"/>
      <c r="LW274" s="12"/>
    </row>
    <row r="275">
      <c r="A275" s="10" t="s">
        <v>193</v>
      </c>
      <c r="B275" s="10" t="s">
        <v>89</v>
      </c>
      <c r="C275" s="10" t="s">
        <v>195</v>
      </c>
      <c r="D275" s="11">
        <v>515</v>
      </c>
      <c r="E275" s="11">
        <f>=ROUNDDOWN(13.4816753926702,0)</f>
      </c>
      <c r="F275" s="11"/>
      <c r="G275" s="12"/>
      <c r="H275" s="11"/>
      <c r="I275" s="11">
        <f>=ROUNDDOWN({0},0)</f>
      </c>
      <c r="J275" s="11"/>
      <c r="K275" s="12"/>
      <c r="L275" s="11">
        <v>269</v>
      </c>
      <c r="M275" s="13">
        <v>2425.99</v>
      </c>
      <c r="N275" s="11">
        <v>4</v>
      </c>
      <c r="O275" s="14">
        <v>606.5</v>
      </c>
      <c r="P275" s="11"/>
      <c r="Q275" s="13"/>
      <c r="R275" s="11"/>
      <c r="S275" s="14"/>
      <c r="T275" s="12"/>
      <c r="U275" s="12"/>
      <c r="V275" s="12"/>
      <c r="W275" s="12"/>
      <c r="X275" s="11">
        <v>264</v>
      </c>
      <c r="Y275" s="13">
        <v>2365.44</v>
      </c>
      <c r="Z275" s="11">
        <v>4</v>
      </c>
      <c r="AA275" s="11"/>
      <c r="AB275" s="13"/>
      <c r="AC275" s="11"/>
      <c r="AD275" s="12"/>
      <c r="AE275" s="12"/>
      <c r="AF275" s="11"/>
      <c r="AG275" s="13"/>
      <c r="AH275" s="11"/>
      <c r="AI275" s="11"/>
      <c r="AJ275" s="13"/>
      <c r="AK275" s="11"/>
      <c r="AL275" s="12"/>
      <c r="AM275" s="12"/>
      <c r="AN275" s="11"/>
      <c r="AO275" s="13"/>
      <c r="AP275" s="11"/>
      <c r="AQ275" s="11"/>
      <c r="AR275" s="13"/>
      <c r="AS275" s="11"/>
      <c r="AT275" s="12"/>
      <c r="AU275" s="12"/>
      <c r="AV275" s="11"/>
      <c r="AW275" s="13"/>
      <c r="AX275" s="11"/>
      <c r="AY275" s="11"/>
      <c r="AZ275" s="13"/>
      <c r="BA275" s="11"/>
      <c r="BB275" s="12"/>
      <c r="BC275" s="12"/>
      <c r="BD275" s="11"/>
      <c r="BE275" s="13"/>
      <c r="BF275" s="11"/>
      <c r="BG275" s="11"/>
      <c r="BH275" s="13"/>
      <c r="BI275" s="11"/>
      <c r="BJ275" s="12"/>
      <c r="BK275" s="12"/>
      <c r="BL275" s="11">
        <v>2</v>
      </c>
      <c r="BM275" s="13">
        <v>30.56</v>
      </c>
      <c r="BN275" s="11">
        <v>1</v>
      </c>
      <c r="BO275" s="11"/>
      <c r="BP275" s="13"/>
      <c r="BQ275" s="11"/>
      <c r="BR275" s="12"/>
      <c r="BS275" s="12"/>
      <c r="BT275" s="11"/>
      <c r="BU275" s="13"/>
      <c r="BV275" s="11"/>
      <c r="BW275" s="11"/>
      <c r="BX275" s="13"/>
      <c r="BY275" s="11"/>
      <c r="BZ275" s="12"/>
      <c r="CA275" s="12"/>
      <c r="CB275" s="11"/>
      <c r="CC275" s="13"/>
      <c r="CD275" s="11"/>
      <c r="CE275" s="11"/>
      <c r="CF275" s="13"/>
      <c r="CG275" s="11"/>
      <c r="CH275" s="12"/>
      <c r="CI275" s="12"/>
      <c r="CJ275" s="11"/>
      <c r="CK275" s="13"/>
      <c r="CL275" s="11">
        <v>2</v>
      </c>
      <c r="CM275" s="11"/>
      <c r="CN275" s="13"/>
      <c r="CO275" s="11"/>
      <c r="CP275" s="12"/>
      <c r="CQ275" s="12"/>
      <c r="CR275" s="11"/>
      <c r="CS275" s="13"/>
      <c r="CT275" s="11"/>
      <c r="CU275" s="11"/>
      <c r="CV275" s="13"/>
      <c r="CW275" s="11"/>
      <c r="CX275" s="12"/>
      <c r="CY275" s="12"/>
      <c r="CZ275" s="11"/>
      <c r="DA275" s="13"/>
      <c r="DB275" s="11"/>
      <c r="DC275" s="11"/>
      <c r="DD275" s="13"/>
      <c r="DE275" s="11"/>
      <c r="DF275" s="12"/>
      <c r="DG275" s="12"/>
      <c r="DH275" s="11"/>
      <c r="DI275" s="13"/>
      <c r="DJ275" s="11"/>
      <c r="DK275" s="11"/>
      <c r="DL275" s="13"/>
      <c r="DM275" s="11"/>
      <c r="DN275" s="12"/>
      <c r="DO275" s="12"/>
      <c r="DP275" s="11"/>
      <c r="DQ275" s="13"/>
      <c r="DR275" s="11"/>
      <c r="DS275" s="11"/>
      <c r="DT275" s="13"/>
      <c r="DU275" s="11"/>
      <c r="DV275" s="12"/>
      <c r="DW275" s="12"/>
      <c r="DX275" s="11"/>
      <c r="DY275" s="13"/>
      <c r="DZ275" s="11"/>
      <c r="EA275" s="11"/>
      <c r="EB275" s="13"/>
      <c r="EC275" s="11"/>
      <c r="ED275" s="12"/>
      <c r="EE275" s="12"/>
      <c r="EF275" s="11"/>
      <c r="EG275" s="13"/>
      <c r="EH275" s="11"/>
      <c r="EI275" s="11"/>
      <c r="EJ275" s="13"/>
      <c r="EK275" s="11"/>
      <c r="EL275" s="12"/>
      <c r="EM275" s="12"/>
      <c r="EN275" s="11">
        <v>3</v>
      </c>
      <c r="EO275" s="13">
        <v>29.99</v>
      </c>
      <c r="EP275" s="11">
        <v>3</v>
      </c>
      <c r="EQ275" s="11"/>
      <c r="ER275" s="13"/>
      <c r="ES275" s="11"/>
      <c r="ET275" s="12"/>
      <c r="EU275" s="12"/>
      <c r="EV275" s="11"/>
      <c r="EW275" s="13"/>
      <c r="EX275" s="11"/>
      <c r="EY275" s="11"/>
      <c r="EZ275" s="13"/>
      <c r="FA275" s="11"/>
      <c r="FB275" s="12"/>
      <c r="FC275" s="12"/>
      <c r="FD275" s="11"/>
      <c r="FE275" s="13"/>
      <c r="FF275" s="11"/>
      <c r="FG275" s="11"/>
      <c r="FH275" s="13"/>
      <c r="FI275" s="11"/>
      <c r="FJ275" s="12"/>
      <c r="FK275" s="12"/>
      <c r="FL275" s="11"/>
      <c r="FM275" s="13"/>
      <c r="FN275" s="11"/>
      <c r="FO275" s="11"/>
      <c r="FP275" s="13"/>
      <c r="FQ275" s="11"/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/>
      <c r="GE275" s="11"/>
      <c r="GF275" s="13"/>
      <c r="GG275" s="11"/>
      <c r="GH275" s="12"/>
      <c r="GI275" s="12"/>
      <c r="GJ275" s="11"/>
      <c r="GK275" s="13"/>
      <c r="GL275" s="11"/>
      <c r="GM275" s="11"/>
      <c r="GN275" s="13"/>
      <c r="GO275" s="11"/>
      <c r="GP275" s="12"/>
      <c r="GQ275" s="12"/>
      <c r="GR275" s="11"/>
      <c r="GS275" s="13"/>
      <c r="GT275" s="11"/>
      <c r="GU275" s="11"/>
      <c r="GV275" s="13"/>
      <c r="GW275" s="11"/>
      <c r="GX275" s="12"/>
      <c r="GY275" s="12"/>
      <c r="GZ275" s="11"/>
      <c r="HA275" s="13"/>
      <c r="HB275" s="11"/>
      <c r="HC275" s="11"/>
      <c r="HD275" s="13"/>
      <c r="HE275" s="11"/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/>
      <c r="HQ275" s="13"/>
      <c r="HR275" s="11"/>
      <c r="HS275" s="11"/>
      <c r="HT275" s="13"/>
      <c r="HU275" s="11"/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/>
      <c r="JO275" s="11"/>
      <c r="JP275" s="13"/>
      <c r="JQ275" s="11"/>
      <c r="JR275" s="12"/>
      <c r="JS275" s="12"/>
      <c r="JT275" s="11"/>
      <c r="JU275" s="13"/>
      <c r="JV275" s="11">
        <v>2</v>
      </c>
      <c r="JW275" s="11"/>
      <c r="JX275" s="13"/>
      <c r="JY275" s="11"/>
      <c r="JZ275" s="12"/>
      <c r="KA275" s="12"/>
      <c r="KB275" s="11"/>
      <c r="KC275" s="13"/>
      <c r="KD275" s="11"/>
      <c r="KE275" s="11"/>
      <c r="KF275" s="13"/>
      <c r="KG275" s="11"/>
      <c r="KH275" s="12"/>
      <c r="KI275" s="12"/>
      <c r="KJ275" s="11"/>
      <c r="KK275" s="13"/>
      <c r="KL275" s="11"/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  <c r="LH275" s="11"/>
      <c r="LI275" s="13"/>
      <c r="LJ275" s="11"/>
      <c r="LK275" s="11"/>
      <c r="LL275" s="13"/>
      <c r="LM275" s="11"/>
      <c r="LN275" s="12"/>
      <c r="LO275" s="12"/>
      <c r="LP275" s="11"/>
      <c r="LQ275" s="13"/>
      <c r="LR275" s="11"/>
      <c r="LS275" s="11"/>
      <c r="LT275" s="13"/>
      <c r="LU275" s="11"/>
      <c r="LV275" s="12"/>
      <c r="LW275" s="12"/>
    </row>
    <row r="276">
      <c r="A276" s="10" t="s">
        <v>193</v>
      </c>
      <c r="B276" s="10" t="s">
        <v>90</v>
      </c>
      <c r="C276" s="10" t="s">
        <v>77</v>
      </c>
      <c r="D276" s="11">
        <v>10360</v>
      </c>
      <c r="E276" s="11">
        <f>=ROUNDDOWN({0},0)</f>
      </c>
      <c r="F276" s="11">
        <v>800</v>
      </c>
      <c r="G276" s="12"/>
      <c r="H276" s="11"/>
      <c r="I276" s="11">
        <f>=ROUNDDOWN({0},0)</f>
      </c>
      <c r="J276" s="11"/>
      <c r="K276" s="12"/>
      <c r="L276" s="11">
        <v>3306</v>
      </c>
      <c r="M276" s="13">
        <v>61114.99</v>
      </c>
      <c r="N276" s="11">
        <v>25</v>
      </c>
      <c r="O276" s="14">
        <v>2444.6</v>
      </c>
      <c r="P276" s="11"/>
      <c r="Q276" s="13"/>
      <c r="R276" s="11"/>
      <c r="S276" s="14"/>
      <c r="T276" s="12"/>
      <c r="U276" s="12"/>
      <c r="V276" s="12"/>
      <c r="W276" s="12"/>
      <c r="X276" s="11">
        <v>3295</v>
      </c>
      <c r="Y276" s="13">
        <v>60873.99</v>
      </c>
      <c r="Z276" s="11">
        <v>25</v>
      </c>
      <c r="AA276" s="11"/>
      <c r="AB276" s="13"/>
      <c r="AC276" s="11"/>
      <c r="AD276" s="12"/>
      <c r="AE276" s="12"/>
      <c r="AF276" s="11"/>
      <c r="AG276" s="13"/>
      <c r="AH276" s="11"/>
      <c r="AI276" s="11"/>
      <c r="AJ276" s="13"/>
      <c r="AK276" s="11"/>
      <c r="AL276" s="12"/>
      <c r="AM276" s="12"/>
      <c r="AN276" s="11"/>
      <c r="AO276" s="13"/>
      <c r="AP276" s="11"/>
      <c r="AQ276" s="11"/>
      <c r="AR276" s="13"/>
      <c r="AS276" s="11"/>
      <c r="AT276" s="12"/>
      <c r="AU276" s="12"/>
      <c r="AV276" s="11"/>
      <c r="AW276" s="13"/>
      <c r="AX276" s="11"/>
      <c r="AY276" s="11"/>
      <c r="AZ276" s="13"/>
      <c r="BA276" s="11"/>
      <c r="BB276" s="12"/>
      <c r="BC276" s="12"/>
      <c r="BD276" s="11"/>
      <c r="BE276" s="13"/>
      <c r="BF276" s="11"/>
      <c r="BG276" s="11"/>
      <c r="BH276" s="13"/>
      <c r="BI276" s="11"/>
      <c r="BJ276" s="12"/>
      <c r="BK276" s="12"/>
      <c r="BL276" s="11">
        <v>2</v>
      </c>
      <c r="BM276" s="13">
        <v>30.56</v>
      </c>
      <c r="BN276" s="11">
        <v>2</v>
      </c>
      <c r="BO276" s="11"/>
      <c r="BP276" s="13"/>
      <c r="BQ276" s="11"/>
      <c r="BR276" s="12"/>
      <c r="BS276" s="12"/>
      <c r="BT276" s="11"/>
      <c r="BU276" s="13"/>
      <c r="BV276" s="11"/>
      <c r="BW276" s="11"/>
      <c r="BX276" s="13"/>
      <c r="BY276" s="11"/>
      <c r="BZ276" s="12"/>
      <c r="CA276" s="12"/>
      <c r="CB276" s="11"/>
      <c r="CC276" s="13"/>
      <c r="CD276" s="11"/>
      <c r="CE276" s="11"/>
      <c r="CF276" s="13"/>
      <c r="CG276" s="11"/>
      <c r="CH276" s="12"/>
      <c r="CI276" s="12"/>
      <c r="CJ276" s="11"/>
      <c r="CK276" s="13"/>
      <c r="CL276" s="11">
        <v>2</v>
      </c>
      <c r="CM276" s="11"/>
      <c r="CN276" s="13"/>
      <c r="CO276" s="11"/>
      <c r="CP276" s="12"/>
      <c r="CQ276" s="12"/>
      <c r="CR276" s="11"/>
      <c r="CS276" s="13"/>
      <c r="CT276" s="11"/>
      <c r="CU276" s="11"/>
      <c r="CV276" s="13"/>
      <c r="CW276" s="11"/>
      <c r="CX276" s="12"/>
      <c r="CY276" s="12"/>
      <c r="CZ276" s="11"/>
      <c r="DA276" s="13"/>
      <c r="DB276" s="11"/>
      <c r="DC276" s="11"/>
      <c r="DD276" s="13"/>
      <c r="DE276" s="11"/>
      <c r="DF276" s="12"/>
      <c r="DG276" s="12"/>
      <c r="DH276" s="11"/>
      <c r="DI276" s="13"/>
      <c r="DJ276" s="11"/>
      <c r="DK276" s="11"/>
      <c r="DL276" s="13"/>
      <c r="DM276" s="11"/>
      <c r="DN276" s="12"/>
      <c r="DO276" s="12"/>
      <c r="DP276" s="11"/>
      <c r="DQ276" s="13"/>
      <c r="DR276" s="11"/>
      <c r="DS276" s="11"/>
      <c r="DT276" s="13"/>
      <c r="DU276" s="11"/>
      <c r="DV276" s="12"/>
      <c r="DW276" s="12"/>
      <c r="DX276" s="11"/>
      <c r="DY276" s="13"/>
      <c r="DZ276" s="11"/>
      <c r="EA276" s="11"/>
      <c r="EB276" s="13"/>
      <c r="EC276" s="11"/>
      <c r="ED276" s="12"/>
      <c r="EE276" s="12"/>
      <c r="EF276" s="11"/>
      <c r="EG276" s="13"/>
      <c r="EH276" s="11"/>
      <c r="EI276" s="11"/>
      <c r="EJ276" s="13"/>
      <c r="EK276" s="11"/>
      <c r="EL276" s="12"/>
      <c r="EM276" s="12"/>
      <c r="EN276" s="11">
        <v>9</v>
      </c>
      <c r="EO276" s="13">
        <v>210.44</v>
      </c>
      <c r="EP276" s="11">
        <v>17</v>
      </c>
      <c r="EQ276" s="11"/>
      <c r="ER276" s="13"/>
      <c r="ES276" s="11"/>
      <c r="ET276" s="12"/>
      <c r="EU276" s="12"/>
      <c r="EV276" s="11"/>
      <c r="EW276" s="13"/>
      <c r="EX276" s="11"/>
      <c r="EY276" s="11"/>
      <c r="EZ276" s="13"/>
      <c r="FA276" s="11"/>
      <c r="FB276" s="12"/>
      <c r="FC276" s="12"/>
      <c r="FD276" s="11"/>
      <c r="FE276" s="13"/>
      <c r="FF276" s="11"/>
      <c r="FG276" s="11"/>
      <c r="FH276" s="13"/>
      <c r="FI276" s="11"/>
      <c r="FJ276" s="12"/>
      <c r="FK276" s="12"/>
      <c r="FL276" s="11"/>
      <c r="FM276" s="13"/>
      <c r="FN276" s="11"/>
      <c r="FO276" s="11"/>
      <c r="FP276" s="13"/>
      <c r="FQ276" s="11"/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/>
      <c r="GC276" s="13"/>
      <c r="GD276" s="11"/>
      <c r="GE276" s="11"/>
      <c r="GF276" s="13"/>
      <c r="GG276" s="11"/>
      <c r="GH276" s="12"/>
      <c r="GI276" s="12"/>
      <c r="GJ276" s="11"/>
      <c r="GK276" s="13"/>
      <c r="GL276" s="11"/>
      <c r="GM276" s="11"/>
      <c r="GN276" s="13"/>
      <c r="GO276" s="11"/>
      <c r="GP276" s="12"/>
      <c r="GQ276" s="12"/>
      <c r="GR276" s="11"/>
      <c r="GS276" s="13"/>
      <c r="GT276" s="11"/>
      <c r="GU276" s="11"/>
      <c r="GV276" s="13"/>
      <c r="GW276" s="11"/>
      <c r="GX276" s="12"/>
      <c r="GY276" s="12"/>
      <c r="GZ276" s="11"/>
      <c r="HA276" s="13"/>
      <c r="HB276" s="11"/>
      <c r="HC276" s="11"/>
      <c r="HD276" s="13"/>
      <c r="HE276" s="11"/>
      <c r="HF276" s="12"/>
      <c r="HG276" s="12"/>
      <c r="HH276" s="11"/>
      <c r="HI276" s="13"/>
      <c r="HJ276" s="11"/>
      <c r="HK276" s="11"/>
      <c r="HL276" s="13"/>
      <c r="HM276" s="11"/>
      <c r="HN276" s="12"/>
      <c r="HO276" s="12"/>
      <c r="HP276" s="11"/>
      <c r="HQ276" s="13"/>
      <c r="HR276" s="11"/>
      <c r="HS276" s="11"/>
      <c r="HT276" s="13"/>
      <c r="HU276" s="11"/>
      <c r="HV276" s="12"/>
      <c r="HW276" s="12"/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/>
      <c r="JO276" s="11"/>
      <c r="JP276" s="13"/>
      <c r="JQ276" s="11"/>
      <c r="JR276" s="12"/>
      <c r="JS276" s="12"/>
      <c r="JT276" s="11"/>
      <c r="JU276" s="13"/>
      <c r="JV276" s="11">
        <v>2</v>
      </c>
      <c r="JW276" s="11"/>
      <c r="JX276" s="13"/>
      <c r="JY276" s="11"/>
      <c r="JZ276" s="12"/>
      <c r="KA276" s="12"/>
      <c r="KB276" s="11"/>
      <c r="KC276" s="13"/>
      <c r="KD276" s="11"/>
      <c r="KE276" s="11"/>
      <c r="KF276" s="13"/>
      <c r="KG276" s="11"/>
      <c r="KH276" s="12"/>
      <c r="KI276" s="12"/>
      <c r="KJ276" s="11"/>
      <c r="KK276" s="13"/>
      <c r="KL276" s="11"/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  <c r="LH276" s="11"/>
      <c r="LI276" s="13"/>
      <c r="LJ276" s="11"/>
      <c r="LK276" s="11"/>
      <c r="LL276" s="13"/>
      <c r="LM276" s="11"/>
      <c r="LN276" s="12"/>
      <c r="LO276" s="12"/>
      <c r="LP276" s="11"/>
      <c r="LQ276" s="13"/>
      <c r="LR276" s="11"/>
      <c r="LS276" s="11"/>
      <c r="LT276" s="13"/>
      <c r="LU276" s="11"/>
      <c r="LV276" s="12"/>
      <c r="LW276" s="12"/>
    </row>
    <row r="277">
      <c r="A277" s="10" t="s">
        <v>193</v>
      </c>
      <c r="B277" s="10" t="s">
        <v>202</v>
      </c>
      <c r="C277" s="10" t="s">
        <v>198</v>
      </c>
      <c r="D277" s="11"/>
      <c r="E277" s="11">
        <f>=ROUNDDOWN({0},0)</f>
      </c>
      <c r="F277" s="11"/>
      <c r="G277" s="12"/>
      <c r="H277" s="11"/>
      <c r="I277" s="11">
        <f>=ROUNDDOWN({0},0)</f>
      </c>
      <c r="J277" s="11"/>
      <c r="K277" s="12"/>
      <c r="L277" s="11"/>
      <c r="M277" s="13"/>
      <c r="N277" s="11"/>
      <c r="O277" s="14"/>
      <c r="P277" s="11"/>
      <c r="Q277" s="13"/>
      <c r="R277" s="11"/>
      <c r="S277" s="14"/>
      <c r="T277" s="12"/>
      <c r="U277" s="12"/>
      <c r="V277" s="12"/>
      <c r="W277" s="12"/>
      <c r="X277" s="11"/>
      <c r="Y277" s="13"/>
      <c r="Z277" s="11"/>
      <c r="AA277" s="11"/>
      <c r="AB277" s="13"/>
      <c r="AC277" s="11"/>
      <c r="AD277" s="12"/>
      <c r="AE277" s="12"/>
      <c r="AF277" s="11"/>
      <c r="AG277" s="13"/>
      <c r="AH277" s="11"/>
      <c r="AI277" s="11"/>
      <c r="AJ277" s="13"/>
      <c r="AK277" s="11"/>
      <c r="AL277" s="12"/>
      <c r="AM277" s="12"/>
      <c r="AN277" s="11"/>
      <c r="AO277" s="13"/>
      <c r="AP277" s="11"/>
      <c r="AQ277" s="11"/>
      <c r="AR277" s="13"/>
      <c r="AS277" s="11"/>
      <c r="AT277" s="12"/>
      <c r="AU277" s="12"/>
      <c r="AV277" s="11"/>
      <c r="AW277" s="13"/>
      <c r="AX277" s="11"/>
      <c r="AY277" s="11"/>
      <c r="AZ277" s="13"/>
      <c r="BA277" s="11"/>
      <c r="BB277" s="12"/>
      <c r="BC277" s="12"/>
      <c r="BD277" s="11"/>
      <c r="BE277" s="13"/>
      <c r="BF277" s="11"/>
      <c r="BG277" s="11"/>
      <c r="BH277" s="13"/>
      <c r="BI277" s="11"/>
      <c r="BJ277" s="12"/>
      <c r="BK277" s="12"/>
      <c r="BL277" s="11"/>
      <c r="BM277" s="13"/>
      <c r="BN277" s="11"/>
      <c r="BO277" s="11"/>
      <c r="BP277" s="13"/>
      <c r="BQ277" s="11"/>
      <c r="BR277" s="12"/>
      <c r="BS277" s="12"/>
      <c r="BT277" s="11"/>
      <c r="BU277" s="13"/>
      <c r="BV277" s="11"/>
      <c r="BW277" s="11"/>
      <c r="BX277" s="13"/>
      <c r="BY277" s="11"/>
      <c r="BZ277" s="12"/>
      <c r="CA277" s="12"/>
      <c r="CB277" s="11"/>
      <c r="CC277" s="13"/>
      <c r="CD277" s="11"/>
      <c r="CE277" s="11"/>
      <c r="CF277" s="13"/>
      <c r="CG277" s="11"/>
      <c r="CH277" s="12"/>
      <c r="CI277" s="12"/>
      <c r="CJ277" s="11"/>
      <c r="CK277" s="13"/>
      <c r="CL277" s="11"/>
      <c r="CM277" s="11"/>
      <c r="CN277" s="13"/>
      <c r="CO277" s="11"/>
      <c r="CP277" s="12"/>
      <c r="CQ277" s="12"/>
      <c r="CR277" s="11"/>
      <c r="CS277" s="13"/>
      <c r="CT277" s="11"/>
      <c r="CU277" s="11"/>
      <c r="CV277" s="13"/>
      <c r="CW277" s="11"/>
      <c r="CX277" s="12"/>
      <c r="CY277" s="12"/>
      <c r="CZ277" s="11"/>
      <c r="DA277" s="13"/>
      <c r="DB277" s="11"/>
      <c r="DC277" s="11"/>
      <c r="DD277" s="13"/>
      <c r="DE277" s="11"/>
      <c r="DF277" s="12"/>
      <c r="DG277" s="12"/>
      <c r="DH277" s="11"/>
      <c r="DI277" s="13"/>
      <c r="DJ277" s="11"/>
      <c r="DK277" s="11"/>
      <c r="DL277" s="13"/>
      <c r="DM277" s="11"/>
      <c r="DN277" s="12"/>
      <c r="DO277" s="12"/>
      <c r="DP277" s="11"/>
      <c r="DQ277" s="13"/>
      <c r="DR277" s="11"/>
      <c r="DS277" s="11"/>
      <c r="DT277" s="13"/>
      <c r="DU277" s="11"/>
      <c r="DV277" s="12"/>
      <c r="DW277" s="12"/>
      <c r="DX277" s="11"/>
      <c r="DY277" s="13"/>
      <c r="DZ277" s="11"/>
      <c r="EA277" s="11"/>
      <c r="EB277" s="13"/>
      <c r="EC277" s="11"/>
      <c r="ED277" s="12"/>
      <c r="EE277" s="12"/>
      <c r="EF277" s="11"/>
      <c r="EG277" s="13"/>
      <c r="EH277" s="11"/>
      <c r="EI277" s="11"/>
      <c r="EJ277" s="13"/>
      <c r="EK277" s="11"/>
      <c r="EL277" s="12"/>
      <c r="EM277" s="12"/>
      <c r="EN277" s="11"/>
      <c r="EO277" s="13"/>
      <c r="EP277" s="11"/>
      <c r="EQ277" s="11"/>
      <c r="ER277" s="13"/>
      <c r="ES277" s="11"/>
      <c r="ET277" s="12"/>
      <c r="EU277" s="12"/>
      <c r="EV277" s="11"/>
      <c r="EW277" s="13"/>
      <c r="EX277" s="11"/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/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/>
      <c r="GC277" s="13"/>
      <c r="GD277" s="11"/>
      <c r="GE277" s="11"/>
      <c r="GF277" s="13"/>
      <c r="GG277" s="11"/>
      <c r="GH277" s="12"/>
      <c r="GI277" s="12"/>
      <c r="GJ277" s="11"/>
      <c r="GK277" s="13"/>
      <c r="GL277" s="11"/>
      <c r="GM277" s="11"/>
      <c r="GN277" s="13"/>
      <c r="GO277" s="11"/>
      <c r="GP277" s="12"/>
      <c r="GQ277" s="12"/>
      <c r="GR277" s="11"/>
      <c r="GS277" s="13"/>
      <c r="GT277" s="11"/>
      <c r="GU277" s="11"/>
      <c r="GV277" s="13"/>
      <c r="GW277" s="11"/>
      <c r="GX277" s="12"/>
      <c r="GY277" s="12"/>
      <c r="GZ277" s="11"/>
      <c r="HA277" s="13"/>
      <c r="HB277" s="11"/>
      <c r="HC277" s="11"/>
      <c r="HD277" s="13"/>
      <c r="HE277" s="11"/>
      <c r="HF277" s="12"/>
      <c r="HG277" s="12"/>
      <c r="HH277" s="11"/>
      <c r="HI277" s="13"/>
      <c r="HJ277" s="11"/>
      <c r="HK277" s="11"/>
      <c r="HL277" s="13"/>
      <c r="HM277" s="11"/>
      <c r="HN277" s="12"/>
      <c r="HO277" s="12"/>
      <c r="HP277" s="11"/>
      <c r="HQ277" s="13"/>
      <c r="HR277" s="11"/>
      <c r="HS277" s="11"/>
      <c r="HT277" s="13"/>
      <c r="HU277" s="11"/>
      <c r="HV277" s="12"/>
      <c r="HW277" s="12"/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/>
      <c r="JP277" s="13"/>
      <c r="JQ277" s="11"/>
      <c r="JR277" s="12"/>
      <c r="JS277" s="12"/>
      <c r="JT277" s="11"/>
      <c r="JU277" s="13"/>
      <c r="JV277" s="11"/>
      <c r="JW277" s="11"/>
      <c r="JX277" s="13"/>
      <c r="JY277" s="11"/>
      <c r="JZ277" s="12"/>
      <c r="KA277" s="12"/>
      <c r="KB277" s="11"/>
      <c r="KC277" s="13"/>
      <c r="KD277" s="11"/>
      <c r="KE277" s="11"/>
      <c r="KF277" s="13"/>
      <c r="KG277" s="11"/>
      <c r="KH277" s="12"/>
      <c r="KI277" s="12"/>
      <c r="KJ277" s="11"/>
      <c r="KK277" s="13"/>
      <c r="KL277" s="11"/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  <c r="LH277" s="11"/>
      <c r="LI277" s="13"/>
      <c r="LJ277" s="11"/>
      <c r="LK277" s="11"/>
      <c r="LL277" s="13"/>
      <c r="LM277" s="11"/>
      <c r="LN277" s="12"/>
      <c r="LO277" s="12"/>
      <c r="LP277" s="11"/>
      <c r="LQ277" s="13"/>
      <c r="LR277" s="11"/>
      <c r="LS277" s="11"/>
      <c r="LT277" s="13"/>
      <c r="LU277" s="11"/>
      <c r="LV277" s="12"/>
      <c r="LW277" s="12"/>
    </row>
    <row r="278">
      <c r="A278" s="10" t="s">
        <v>193</v>
      </c>
      <c r="B278" s="10" t="s">
        <v>203</v>
      </c>
      <c r="C278" s="10" t="s">
        <v>77</v>
      </c>
      <c r="D278" s="11"/>
      <c r="E278" s="11">
        <f>=ROUNDDOWN({0},0)</f>
      </c>
      <c r="F278" s="11"/>
      <c r="G278" s="12"/>
      <c r="H278" s="11"/>
      <c r="I278" s="11">
        <f>=ROUNDDOWN({0},0)</f>
      </c>
      <c r="J278" s="11"/>
      <c r="K278" s="12"/>
      <c r="L278" s="11"/>
      <c r="M278" s="13"/>
      <c r="N278" s="11"/>
      <c r="O278" s="14"/>
      <c r="P278" s="11"/>
      <c r="Q278" s="13"/>
      <c r="R278" s="11"/>
      <c r="S278" s="14"/>
      <c r="T278" s="12"/>
      <c r="U278" s="12"/>
      <c r="V278" s="12"/>
      <c r="W278" s="12"/>
      <c r="X278" s="11"/>
      <c r="Y278" s="13"/>
      <c r="Z278" s="11"/>
      <c r="AA278" s="11"/>
      <c r="AB278" s="13"/>
      <c r="AC278" s="11"/>
      <c r="AD278" s="12"/>
      <c r="AE278" s="12"/>
      <c r="AF278" s="11"/>
      <c r="AG278" s="13"/>
      <c r="AH278" s="11"/>
      <c r="AI278" s="11"/>
      <c r="AJ278" s="13"/>
      <c r="AK278" s="11"/>
      <c r="AL278" s="12"/>
      <c r="AM278" s="12"/>
      <c r="AN278" s="11"/>
      <c r="AO278" s="13"/>
      <c r="AP278" s="11"/>
      <c r="AQ278" s="11"/>
      <c r="AR278" s="13"/>
      <c r="AS278" s="11"/>
      <c r="AT278" s="12"/>
      <c r="AU278" s="12"/>
      <c r="AV278" s="11"/>
      <c r="AW278" s="13"/>
      <c r="AX278" s="11"/>
      <c r="AY278" s="11"/>
      <c r="AZ278" s="13"/>
      <c r="BA278" s="11"/>
      <c r="BB278" s="12"/>
      <c r="BC278" s="12"/>
      <c r="BD278" s="11"/>
      <c r="BE278" s="13"/>
      <c r="BF278" s="11"/>
      <c r="BG278" s="11"/>
      <c r="BH278" s="13"/>
      <c r="BI278" s="11"/>
      <c r="BJ278" s="12"/>
      <c r="BK278" s="12"/>
      <c r="BL278" s="11"/>
      <c r="BM278" s="13"/>
      <c r="BN278" s="11"/>
      <c r="BO278" s="11"/>
      <c r="BP278" s="13"/>
      <c r="BQ278" s="11"/>
      <c r="BR278" s="12"/>
      <c r="BS278" s="12"/>
      <c r="BT278" s="11"/>
      <c r="BU278" s="13"/>
      <c r="BV278" s="11"/>
      <c r="BW278" s="11"/>
      <c r="BX278" s="13"/>
      <c r="BY278" s="11"/>
      <c r="BZ278" s="12"/>
      <c r="CA278" s="12"/>
      <c r="CB278" s="11"/>
      <c r="CC278" s="13"/>
      <c r="CD278" s="11"/>
      <c r="CE278" s="11"/>
      <c r="CF278" s="13"/>
      <c r="CG278" s="11"/>
      <c r="CH278" s="12"/>
      <c r="CI278" s="12"/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/>
      <c r="CU278" s="11"/>
      <c r="CV278" s="13"/>
      <c r="CW278" s="11"/>
      <c r="CX278" s="12"/>
      <c r="CY278" s="12"/>
      <c r="CZ278" s="11"/>
      <c r="DA278" s="13"/>
      <c r="DB278" s="11"/>
      <c r="DC278" s="11"/>
      <c r="DD278" s="13"/>
      <c r="DE278" s="11"/>
      <c r="DF278" s="12"/>
      <c r="DG278" s="12"/>
      <c r="DH278" s="11"/>
      <c r="DI278" s="13"/>
      <c r="DJ278" s="11"/>
      <c r="DK278" s="11"/>
      <c r="DL278" s="13"/>
      <c r="DM278" s="11"/>
      <c r="DN278" s="12"/>
      <c r="DO278" s="12"/>
      <c r="DP278" s="11"/>
      <c r="DQ278" s="13"/>
      <c r="DR278" s="11"/>
      <c r="DS278" s="11"/>
      <c r="DT278" s="13"/>
      <c r="DU278" s="11"/>
      <c r="DV278" s="12"/>
      <c r="DW278" s="12"/>
      <c r="DX278" s="11"/>
      <c r="DY278" s="13"/>
      <c r="DZ278" s="11"/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/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  <c r="LH278" s="11"/>
      <c r="LI278" s="13"/>
      <c r="LJ278" s="11"/>
      <c r="LK278" s="11"/>
      <c r="LL278" s="13"/>
      <c r="LM278" s="11"/>
      <c r="LN278" s="12"/>
      <c r="LO278" s="12"/>
      <c r="LP278" s="11"/>
      <c r="LQ278" s="13"/>
      <c r="LR278" s="11"/>
      <c r="LS278" s="11"/>
      <c r="LT278" s="13"/>
      <c r="LU278" s="11"/>
      <c r="LV278" s="12"/>
      <c r="LW278" s="12"/>
    </row>
    <row r="279">
      <c r="A279" s="10" t="s">
        <v>193</v>
      </c>
      <c r="B279" s="10" t="s">
        <v>170</v>
      </c>
      <c r="C279" s="10" t="s">
        <v>172</v>
      </c>
      <c r="D279" s="11">
        <v>212</v>
      </c>
      <c r="E279" s="11">
        <f>=ROUNDDOWN(23.2967032967033,0)</f>
      </c>
      <c r="F279" s="11"/>
      <c r="G279" s="12"/>
      <c r="H279" s="11"/>
      <c r="I279" s="11">
        <f>=ROUNDDOWN({0},0)</f>
      </c>
      <c r="J279" s="11"/>
      <c r="K279" s="12"/>
      <c r="L279" s="11">
        <v>61</v>
      </c>
      <c r="M279" s="13">
        <v>3371.14</v>
      </c>
      <c r="N279" s="11">
        <v>3</v>
      </c>
      <c r="O279" s="14">
        <v>1123.71</v>
      </c>
      <c r="P279" s="11"/>
      <c r="Q279" s="13"/>
      <c r="R279" s="11"/>
      <c r="S279" s="14"/>
      <c r="T279" s="12"/>
      <c r="U279" s="12"/>
      <c r="V279" s="12"/>
      <c r="W279" s="12"/>
      <c r="X279" s="11">
        <v>16</v>
      </c>
      <c r="Y279" s="13">
        <v>905.42</v>
      </c>
      <c r="Z279" s="11">
        <v>3</v>
      </c>
      <c r="AA279" s="11"/>
      <c r="AB279" s="13"/>
      <c r="AC279" s="11"/>
      <c r="AD279" s="12"/>
      <c r="AE279" s="12"/>
      <c r="AF279" s="11">
        <v>8</v>
      </c>
      <c r="AG279" s="13">
        <v>267.89</v>
      </c>
      <c r="AH279" s="11">
        <v>3</v>
      </c>
      <c r="AI279" s="11"/>
      <c r="AJ279" s="13"/>
      <c r="AK279" s="11"/>
      <c r="AL279" s="12"/>
      <c r="AM279" s="12"/>
      <c r="AN279" s="11">
        <v>11</v>
      </c>
      <c r="AO279" s="13">
        <v>661.26</v>
      </c>
      <c r="AP279" s="11">
        <v>3</v>
      </c>
      <c r="AQ279" s="11"/>
      <c r="AR279" s="13"/>
      <c r="AS279" s="11"/>
      <c r="AT279" s="12"/>
      <c r="AU279" s="12"/>
      <c r="AV279" s="11"/>
      <c r="AW279" s="13"/>
      <c r="AX279" s="11"/>
      <c r="AY279" s="11"/>
      <c r="AZ279" s="13"/>
      <c r="BA279" s="11"/>
      <c r="BB279" s="12"/>
      <c r="BC279" s="12"/>
      <c r="BD279" s="11">
        <v>8</v>
      </c>
      <c r="BE279" s="13">
        <v>480.15</v>
      </c>
      <c r="BF279" s="11">
        <v>3</v>
      </c>
      <c r="BG279" s="11"/>
      <c r="BH279" s="13"/>
      <c r="BI279" s="11"/>
      <c r="BJ279" s="12"/>
      <c r="BK279" s="12"/>
      <c r="BL279" s="11">
        <v>7</v>
      </c>
      <c r="BM279" s="13">
        <v>421.75</v>
      </c>
      <c r="BN279" s="11">
        <v>3</v>
      </c>
      <c r="BO279" s="11"/>
      <c r="BP279" s="13"/>
      <c r="BQ279" s="11"/>
      <c r="BR279" s="12"/>
      <c r="BS279" s="12"/>
      <c r="BT279" s="11"/>
      <c r="BU279" s="13"/>
      <c r="BV279" s="11">
        <v>3</v>
      </c>
      <c r="BW279" s="11"/>
      <c r="BX279" s="13"/>
      <c r="BY279" s="11"/>
      <c r="BZ279" s="12"/>
      <c r="CA279" s="12"/>
      <c r="CB279" s="11">
        <v>10</v>
      </c>
      <c r="CC279" s="13">
        <v>573.25</v>
      </c>
      <c r="CD279" s="11">
        <v>3</v>
      </c>
      <c r="CE279" s="11"/>
      <c r="CF279" s="13"/>
      <c r="CG279" s="11"/>
      <c r="CH279" s="12"/>
      <c r="CI279" s="12"/>
      <c r="CJ279" s="11"/>
      <c r="CK279" s="13"/>
      <c r="CL279" s="11">
        <v>3</v>
      </c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/>
      <c r="DI279" s="13"/>
      <c r="DJ279" s="11"/>
      <c r="DK279" s="11"/>
      <c r="DL279" s="13"/>
      <c r="DM279" s="11"/>
      <c r="DN279" s="12"/>
      <c r="DO279" s="12"/>
      <c r="DP279" s="11">
        <v>1</v>
      </c>
      <c r="DQ279" s="13">
        <v>61.42</v>
      </c>
      <c r="DR279" s="11">
        <v>3</v>
      </c>
      <c r="DS279" s="11"/>
      <c r="DT279" s="13"/>
      <c r="DU279" s="11"/>
      <c r="DV279" s="12"/>
      <c r="DW279" s="12"/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>
        <v>3</v>
      </c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>
        <v>3</v>
      </c>
      <c r="GU279" s="11"/>
      <c r="GV279" s="13"/>
      <c r="GW279" s="11"/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>
        <v>3</v>
      </c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/>
      <c r="JO279" s="11"/>
      <c r="JP279" s="13"/>
      <c r="JQ279" s="11"/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/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  <c r="LH279" s="11"/>
      <c r="LI279" s="13"/>
      <c r="LJ279" s="11"/>
      <c r="LK279" s="11"/>
      <c r="LL279" s="13"/>
      <c r="LM279" s="11"/>
      <c r="LN279" s="12"/>
      <c r="LO279" s="12"/>
      <c r="LP279" s="11"/>
      <c r="LQ279" s="13"/>
      <c r="LR279" s="11"/>
      <c r="LS279" s="11"/>
      <c r="LT279" s="13"/>
      <c r="LU279" s="11"/>
      <c r="LV279" s="12"/>
      <c r="LW279" s="12"/>
    </row>
    <row r="280">
      <c r="A280" s="10" t="s">
        <v>193</v>
      </c>
      <c r="B280" s="10" t="s">
        <v>170</v>
      </c>
      <c r="C280" s="10" t="s">
        <v>93</v>
      </c>
      <c r="D280" s="11">
        <v>344</v>
      </c>
      <c r="E280" s="11">
        <f>=ROUNDDOWN(57.3333333333333,0)</f>
      </c>
      <c r="F280" s="11"/>
      <c r="G280" s="12"/>
      <c r="H280" s="11"/>
      <c r="I280" s="11">
        <f>=ROUNDDOWN({0},0)</f>
      </c>
      <c r="J280" s="11"/>
      <c r="K280" s="12"/>
      <c r="L280" s="11">
        <v>94</v>
      </c>
      <c r="M280" s="13">
        <v>2722.84</v>
      </c>
      <c r="N280" s="11">
        <v>4</v>
      </c>
      <c r="O280" s="14">
        <v>680.71</v>
      </c>
      <c r="P280" s="11"/>
      <c r="Q280" s="13"/>
      <c r="R280" s="11"/>
      <c r="S280" s="14"/>
      <c r="T280" s="12"/>
      <c r="U280" s="12"/>
      <c r="V280" s="12"/>
      <c r="W280" s="12"/>
      <c r="X280" s="11">
        <v>20</v>
      </c>
      <c r="Y280" s="13">
        <v>512.4</v>
      </c>
      <c r="Z280" s="11">
        <v>4</v>
      </c>
      <c r="AA280" s="11"/>
      <c r="AB280" s="13"/>
      <c r="AC280" s="11"/>
      <c r="AD280" s="12"/>
      <c r="AE280" s="12"/>
      <c r="AF280" s="11">
        <v>5</v>
      </c>
      <c r="AG280" s="13">
        <v>87</v>
      </c>
      <c r="AH280" s="11">
        <v>4</v>
      </c>
      <c r="AI280" s="11"/>
      <c r="AJ280" s="13"/>
      <c r="AK280" s="11"/>
      <c r="AL280" s="12"/>
      <c r="AM280" s="12"/>
      <c r="AN280" s="11"/>
      <c r="AO280" s="13"/>
      <c r="AP280" s="11"/>
      <c r="AQ280" s="11"/>
      <c r="AR280" s="13"/>
      <c r="AS280" s="11"/>
      <c r="AT280" s="12"/>
      <c r="AU280" s="12"/>
      <c r="AV280" s="11"/>
      <c r="AW280" s="13"/>
      <c r="AX280" s="11"/>
      <c r="AY280" s="11"/>
      <c r="AZ280" s="13"/>
      <c r="BA280" s="11"/>
      <c r="BB280" s="12"/>
      <c r="BC280" s="12"/>
      <c r="BD280" s="11">
        <v>31</v>
      </c>
      <c r="BE280" s="13">
        <v>783.37</v>
      </c>
      <c r="BF280" s="11">
        <v>4</v>
      </c>
      <c r="BG280" s="11"/>
      <c r="BH280" s="13"/>
      <c r="BI280" s="11"/>
      <c r="BJ280" s="12"/>
      <c r="BK280" s="12"/>
      <c r="BL280" s="11">
        <v>4</v>
      </c>
      <c r="BM280" s="13">
        <v>98.24</v>
      </c>
      <c r="BN280" s="11">
        <v>4</v>
      </c>
      <c r="BO280" s="11"/>
      <c r="BP280" s="13"/>
      <c r="BQ280" s="11"/>
      <c r="BR280" s="12"/>
      <c r="BS280" s="12"/>
      <c r="BT280" s="11"/>
      <c r="BU280" s="13"/>
      <c r="BV280" s="11">
        <v>4</v>
      </c>
      <c r="BW280" s="11"/>
      <c r="BX280" s="13"/>
      <c r="BY280" s="11"/>
      <c r="BZ280" s="12"/>
      <c r="CA280" s="12"/>
      <c r="CB280" s="11">
        <v>6</v>
      </c>
      <c r="CC280" s="13">
        <v>147.36</v>
      </c>
      <c r="CD280" s="11">
        <v>4</v>
      </c>
      <c r="CE280" s="11"/>
      <c r="CF280" s="13"/>
      <c r="CG280" s="11"/>
      <c r="CH280" s="12"/>
      <c r="CI280" s="12"/>
      <c r="CJ280" s="11">
        <v>13</v>
      </c>
      <c r="CK280" s="13">
        <v>794.87</v>
      </c>
      <c r="CL280" s="11">
        <v>3</v>
      </c>
      <c r="CM280" s="11"/>
      <c r="CN280" s="13"/>
      <c r="CO280" s="11"/>
      <c r="CP280" s="12"/>
      <c r="CQ280" s="12"/>
      <c r="CR280" s="11"/>
      <c r="CS280" s="13"/>
      <c r="CT280" s="11"/>
      <c r="CU280" s="11"/>
      <c r="CV280" s="13"/>
      <c r="CW280" s="11"/>
      <c r="CX280" s="12"/>
      <c r="CY280" s="12"/>
      <c r="CZ280" s="11"/>
      <c r="DA280" s="13"/>
      <c r="DB280" s="11"/>
      <c r="DC280" s="11"/>
      <c r="DD280" s="13"/>
      <c r="DE280" s="11"/>
      <c r="DF280" s="12"/>
      <c r="DG280" s="12"/>
      <c r="DH280" s="11"/>
      <c r="DI280" s="13"/>
      <c r="DJ280" s="11"/>
      <c r="DK280" s="11"/>
      <c r="DL280" s="13"/>
      <c r="DM280" s="11"/>
      <c r="DN280" s="12"/>
      <c r="DO280" s="12"/>
      <c r="DP280" s="11">
        <v>2</v>
      </c>
      <c r="DQ280" s="13">
        <v>49.12</v>
      </c>
      <c r="DR280" s="11">
        <v>4</v>
      </c>
      <c r="DS280" s="11"/>
      <c r="DT280" s="13"/>
      <c r="DU280" s="11"/>
      <c r="DV280" s="12"/>
      <c r="DW280" s="12"/>
      <c r="DX280" s="11">
        <v>13</v>
      </c>
      <c r="DY280" s="13">
        <v>250.48</v>
      </c>
      <c r="DZ280" s="11">
        <v>4</v>
      </c>
      <c r="EA280" s="11"/>
      <c r="EB280" s="13"/>
      <c r="EC280" s="11"/>
      <c r="ED280" s="12"/>
      <c r="EE280" s="12"/>
      <c r="EF280" s="11"/>
      <c r="EG280" s="13"/>
      <c r="EH280" s="11"/>
      <c r="EI280" s="11"/>
      <c r="EJ280" s="13"/>
      <c r="EK280" s="11"/>
      <c r="EL280" s="12"/>
      <c r="EM280" s="12"/>
      <c r="EN280" s="11"/>
      <c r="EO280" s="13"/>
      <c r="EP280" s="11">
        <v>4</v>
      </c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>
        <v>4</v>
      </c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/>
      <c r="HS280" s="11"/>
      <c r="HT280" s="13"/>
      <c r="HU280" s="11"/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>
        <v>4</v>
      </c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/>
      <c r="JO280" s="11"/>
      <c r="JP280" s="13"/>
      <c r="JQ280" s="11"/>
      <c r="JR280" s="12"/>
      <c r="JS280" s="12"/>
      <c r="JT280" s="11"/>
      <c r="JU280" s="13"/>
      <c r="JV280" s="11"/>
      <c r="JW280" s="11"/>
      <c r="JX280" s="13"/>
      <c r="JY280" s="11"/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/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  <c r="LH280" s="11"/>
      <c r="LI280" s="13"/>
      <c r="LJ280" s="11"/>
      <c r="LK280" s="11"/>
      <c r="LL280" s="13"/>
      <c r="LM280" s="11"/>
      <c r="LN280" s="12"/>
      <c r="LO280" s="12"/>
      <c r="LP280" s="11"/>
      <c r="LQ280" s="13"/>
      <c r="LR280" s="11"/>
      <c r="LS280" s="11"/>
      <c r="LT280" s="13"/>
      <c r="LU280" s="11"/>
      <c r="LV280" s="12"/>
      <c r="LW280" s="12"/>
    </row>
    <row r="281">
      <c r="A281" s="10" t="s">
        <v>193</v>
      </c>
      <c r="B281" s="10" t="s">
        <v>170</v>
      </c>
      <c r="C281" s="10" t="s">
        <v>115</v>
      </c>
      <c r="D281" s="11">
        <v>6</v>
      </c>
      <c r="E281" s="11">
        <f>=ROUNDDOWN(0.714285714285714,0)</f>
      </c>
      <c r="F281" s="11"/>
      <c r="G281" s="12"/>
      <c r="H281" s="11"/>
      <c r="I281" s="11">
        <f>=ROUNDDOWN({0},0)</f>
      </c>
      <c r="J281" s="11"/>
      <c r="K281" s="12"/>
      <c r="L281" s="11">
        <v>252</v>
      </c>
      <c r="M281" s="13">
        <v>8938.55</v>
      </c>
      <c r="N281" s="11">
        <v>3</v>
      </c>
      <c r="O281" s="14">
        <v>2979.52</v>
      </c>
      <c r="P281" s="11"/>
      <c r="Q281" s="13"/>
      <c r="R281" s="11"/>
      <c r="S281" s="14"/>
      <c r="T281" s="12"/>
      <c r="U281" s="12"/>
      <c r="V281" s="12"/>
      <c r="W281" s="12"/>
      <c r="X281" s="11">
        <v>34</v>
      </c>
      <c r="Y281" s="13">
        <v>1306.62</v>
      </c>
      <c r="Z281" s="11">
        <v>3</v>
      </c>
      <c r="AA281" s="11"/>
      <c r="AB281" s="13"/>
      <c r="AC281" s="11"/>
      <c r="AD281" s="12"/>
      <c r="AE281" s="12"/>
      <c r="AF281" s="11">
        <v>63</v>
      </c>
      <c r="AG281" s="13">
        <v>1822.13</v>
      </c>
      <c r="AH281" s="11">
        <v>3</v>
      </c>
      <c r="AI281" s="11"/>
      <c r="AJ281" s="13"/>
      <c r="AK281" s="11"/>
      <c r="AL281" s="12"/>
      <c r="AM281" s="12"/>
      <c r="AN281" s="11">
        <v>18</v>
      </c>
      <c r="AO281" s="13">
        <v>682.2</v>
      </c>
      <c r="AP281" s="11">
        <v>3</v>
      </c>
      <c r="AQ281" s="11"/>
      <c r="AR281" s="13"/>
      <c r="AS281" s="11"/>
      <c r="AT281" s="12"/>
      <c r="AU281" s="12"/>
      <c r="AV281" s="11"/>
      <c r="AW281" s="13"/>
      <c r="AX281" s="11"/>
      <c r="AY281" s="11"/>
      <c r="AZ281" s="13"/>
      <c r="BA281" s="11"/>
      <c r="BB281" s="12"/>
      <c r="BC281" s="12"/>
      <c r="BD281" s="11">
        <v>80</v>
      </c>
      <c r="BE281" s="13">
        <v>3032</v>
      </c>
      <c r="BF281" s="11">
        <v>3</v>
      </c>
      <c r="BG281" s="11"/>
      <c r="BH281" s="13"/>
      <c r="BI281" s="11"/>
      <c r="BJ281" s="12"/>
      <c r="BK281" s="12"/>
      <c r="BL281" s="11">
        <v>26</v>
      </c>
      <c r="BM281" s="13">
        <v>958.1</v>
      </c>
      <c r="BN281" s="11">
        <v>3</v>
      </c>
      <c r="BO281" s="11"/>
      <c r="BP281" s="13"/>
      <c r="BQ281" s="11"/>
      <c r="BR281" s="12"/>
      <c r="BS281" s="12"/>
      <c r="BT281" s="11">
        <v>2</v>
      </c>
      <c r="BU281" s="13">
        <v>89.95</v>
      </c>
      <c r="BV281" s="11">
        <v>3</v>
      </c>
      <c r="BW281" s="11"/>
      <c r="BX281" s="13"/>
      <c r="BY281" s="11"/>
      <c r="BZ281" s="12"/>
      <c r="CA281" s="12"/>
      <c r="CB281" s="11"/>
      <c r="CC281" s="13"/>
      <c r="CD281" s="11"/>
      <c r="CE281" s="11"/>
      <c r="CF281" s="13"/>
      <c r="CG281" s="11"/>
      <c r="CH281" s="12"/>
      <c r="CI281" s="12"/>
      <c r="CJ281" s="11"/>
      <c r="CK281" s="13"/>
      <c r="CL281" s="11">
        <v>3</v>
      </c>
      <c r="CM281" s="11"/>
      <c r="CN281" s="13"/>
      <c r="CO281" s="11"/>
      <c r="CP281" s="12"/>
      <c r="CQ281" s="12"/>
      <c r="CR281" s="11"/>
      <c r="CS281" s="13"/>
      <c r="CT281" s="11"/>
      <c r="CU281" s="11"/>
      <c r="CV281" s="13"/>
      <c r="CW281" s="11"/>
      <c r="CX281" s="12"/>
      <c r="CY281" s="12"/>
      <c r="CZ281" s="11"/>
      <c r="DA281" s="13"/>
      <c r="DB281" s="11"/>
      <c r="DC281" s="11"/>
      <c r="DD281" s="13"/>
      <c r="DE281" s="11"/>
      <c r="DF281" s="12"/>
      <c r="DG281" s="12"/>
      <c r="DH281" s="11"/>
      <c r="DI281" s="13"/>
      <c r="DJ281" s="11"/>
      <c r="DK281" s="11"/>
      <c r="DL281" s="13"/>
      <c r="DM281" s="11"/>
      <c r="DN281" s="12"/>
      <c r="DO281" s="12"/>
      <c r="DP281" s="11">
        <v>5</v>
      </c>
      <c r="DQ281" s="13">
        <v>184.25</v>
      </c>
      <c r="DR281" s="11">
        <v>3</v>
      </c>
      <c r="DS281" s="11"/>
      <c r="DT281" s="13"/>
      <c r="DU281" s="11"/>
      <c r="DV281" s="12"/>
      <c r="DW281" s="12"/>
      <c r="DX281" s="11">
        <v>19</v>
      </c>
      <c r="DY281" s="13">
        <v>480.85</v>
      </c>
      <c r="DZ281" s="11">
        <v>3</v>
      </c>
      <c r="EA281" s="11"/>
      <c r="EB281" s="13"/>
      <c r="EC281" s="11"/>
      <c r="ED281" s="12"/>
      <c r="EE281" s="12"/>
      <c r="EF281" s="11"/>
      <c r="EG281" s="13"/>
      <c r="EH281" s="11"/>
      <c r="EI281" s="11"/>
      <c r="EJ281" s="13"/>
      <c r="EK281" s="11"/>
      <c r="EL281" s="12"/>
      <c r="EM281" s="12"/>
      <c r="EN281" s="11"/>
      <c r="EO281" s="13"/>
      <c r="EP281" s="11">
        <v>3</v>
      </c>
      <c r="EQ281" s="11"/>
      <c r="ER281" s="13"/>
      <c r="ES281" s="11"/>
      <c r="ET281" s="12"/>
      <c r="EU281" s="12"/>
      <c r="EV281" s="11"/>
      <c r="EW281" s="13"/>
      <c r="EX281" s="11"/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/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/>
      <c r="GK281" s="13"/>
      <c r="GL281" s="11"/>
      <c r="GM281" s="11"/>
      <c r="GN281" s="13"/>
      <c r="GO281" s="11"/>
      <c r="GP281" s="12"/>
      <c r="GQ281" s="12"/>
      <c r="GR281" s="11"/>
      <c r="GS281" s="13"/>
      <c r="GT281" s="11">
        <v>3</v>
      </c>
      <c r="GU281" s="11"/>
      <c r="GV281" s="13"/>
      <c r="GW281" s="11"/>
      <c r="GX281" s="12"/>
      <c r="GY281" s="12"/>
      <c r="GZ281" s="11"/>
      <c r="HA281" s="13"/>
      <c r="HB281" s="11"/>
      <c r="HC281" s="11"/>
      <c r="HD281" s="13"/>
      <c r="HE281" s="11"/>
      <c r="HF281" s="12"/>
      <c r="HG281" s="12"/>
      <c r="HH281" s="11"/>
      <c r="HI281" s="13"/>
      <c r="HJ281" s="11"/>
      <c r="HK281" s="11"/>
      <c r="HL281" s="13"/>
      <c r="HM281" s="11"/>
      <c r="HN281" s="12"/>
      <c r="HO281" s="12"/>
      <c r="HP281" s="11"/>
      <c r="HQ281" s="13"/>
      <c r="HR281" s="11"/>
      <c r="HS281" s="11"/>
      <c r="HT281" s="13"/>
      <c r="HU281" s="11"/>
      <c r="HV281" s="12"/>
      <c r="HW281" s="12"/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>
        <v>5</v>
      </c>
      <c r="IO281" s="13">
        <v>382.45</v>
      </c>
      <c r="IP281" s="11">
        <v>3</v>
      </c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/>
      <c r="JO281" s="11"/>
      <c r="JP281" s="13"/>
      <c r="JQ281" s="11"/>
      <c r="JR281" s="12"/>
      <c r="JS281" s="12"/>
      <c r="JT281" s="11"/>
      <c r="JU281" s="13"/>
      <c r="JV281" s="11"/>
      <c r="JW281" s="11"/>
      <c r="JX281" s="13"/>
      <c r="JY281" s="11"/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/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  <c r="LH281" s="11"/>
      <c r="LI281" s="13"/>
      <c r="LJ281" s="11"/>
      <c r="LK281" s="11"/>
      <c r="LL281" s="13"/>
      <c r="LM281" s="11"/>
      <c r="LN281" s="12"/>
      <c r="LO281" s="12"/>
      <c r="LP281" s="11"/>
      <c r="LQ281" s="13"/>
      <c r="LR281" s="11"/>
      <c r="LS281" s="11"/>
      <c r="LT281" s="13"/>
      <c r="LU281" s="11"/>
      <c r="LV281" s="12"/>
      <c r="LW281" s="12"/>
    </row>
    <row r="282">
      <c r="A282" s="10" t="s">
        <v>193</v>
      </c>
      <c r="B282" s="10" t="s">
        <v>171</v>
      </c>
      <c r="C282" s="10" t="s">
        <v>77</v>
      </c>
      <c r="D282" s="11">
        <v>562</v>
      </c>
      <c r="E282" s="11">
        <f>=ROUNDDOWN({0},0)</f>
      </c>
      <c r="F282" s="11"/>
      <c r="G282" s="12"/>
      <c r="H282" s="11"/>
      <c r="I282" s="11">
        <f>=ROUNDDOWN({0},0)</f>
      </c>
      <c r="J282" s="11"/>
      <c r="K282" s="12"/>
      <c r="L282" s="11">
        <v>407</v>
      </c>
      <c r="M282" s="13">
        <v>15032.53</v>
      </c>
      <c r="N282" s="11">
        <v>10</v>
      </c>
      <c r="O282" s="14">
        <v>1503.25</v>
      </c>
      <c r="P282" s="11"/>
      <c r="Q282" s="13"/>
      <c r="R282" s="11"/>
      <c r="S282" s="14"/>
      <c r="T282" s="12"/>
      <c r="U282" s="12"/>
      <c r="V282" s="12"/>
      <c r="W282" s="12"/>
      <c r="X282" s="11">
        <v>70</v>
      </c>
      <c r="Y282" s="13">
        <v>2724.44</v>
      </c>
      <c r="Z282" s="11">
        <v>10</v>
      </c>
      <c r="AA282" s="11"/>
      <c r="AB282" s="13"/>
      <c r="AC282" s="11"/>
      <c r="AD282" s="12"/>
      <c r="AE282" s="12"/>
      <c r="AF282" s="11">
        <v>76</v>
      </c>
      <c r="AG282" s="13">
        <v>2177.02</v>
      </c>
      <c r="AH282" s="11">
        <v>10</v>
      </c>
      <c r="AI282" s="11"/>
      <c r="AJ282" s="13"/>
      <c r="AK282" s="11"/>
      <c r="AL282" s="12"/>
      <c r="AM282" s="12"/>
      <c r="AN282" s="11">
        <v>29</v>
      </c>
      <c r="AO282" s="13">
        <v>1343.46</v>
      </c>
      <c r="AP282" s="11">
        <v>6</v>
      </c>
      <c r="AQ282" s="11"/>
      <c r="AR282" s="13"/>
      <c r="AS282" s="11"/>
      <c r="AT282" s="12"/>
      <c r="AU282" s="12"/>
      <c r="AV282" s="11"/>
      <c r="AW282" s="13"/>
      <c r="AX282" s="11"/>
      <c r="AY282" s="11"/>
      <c r="AZ282" s="13"/>
      <c r="BA282" s="11"/>
      <c r="BB282" s="12"/>
      <c r="BC282" s="12"/>
      <c r="BD282" s="11">
        <v>119</v>
      </c>
      <c r="BE282" s="13">
        <v>4295.52</v>
      </c>
      <c r="BF282" s="11">
        <v>10</v>
      </c>
      <c r="BG282" s="11"/>
      <c r="BH282" s="13"/>
      <c r="BI282" s="11"/>
      <c r="BJ282" s="12"/>
      <c r="BK282" s="12"/>
      <c r="BL282" s="11">
        <v>37</v>
      </c>
      <c r="BM282" s="13">
        <v>1478.09</v>
      </c>
      <c r="BN282" s="11">
        <v>10</v>
      </c>
      <c r="BO282" s="11"/>
      <c r="BP282" s="13"/>
      <c r="BQ282" s="11"/>
      <c r="BR282" s="12"/>
      <c r="BS282" s="12"/>
      <c r="BT282" s="11">
        <v>2</v>
      </c>
      <c r="BU282" s="13">
        <v>89.95</v>
      </c>
      <c r="BV282" s="11">
        <v>10</v>
      </c>
      <c r="BW282" s="11"/>
      <c r="BX282" s="13"/>
      <c r="BY282" s="11"/>
      <c r="BZ282" s="12"/>
      <c r="CA282" s="12"/>
      <c r="CB282" s="11">
        <v>16</v>
      </c>
      <c r="CC282" s="13">
        <v>720.61</v>
      </c>
      <c r="CD282" s="11">
        <v>7</v>
      </c>
      <c r="CE282" s="11"/>
      <c r="CF282" s="13"/>
      <c r="CG282" s="11"/>
      <c r="CH282" s="12"/>
      <c r="CI282" s="12"/>
      <c r="CJ282" s="11">
        <v>13</v>
      </c>
      <c r="CK282" s="13">
        <v>794.87</v>
      </c>
      <c r="CL282" s="11">
        <v>9</v>
      </c>
      <c r="CM282" s="11"/>
      <c r="CN282" s="13"/>
      <c r="CO282" s="11"/>
      <c r="CP282" s="12"/>
      <c r="CQ282" s="12"/>
      <c r="CR282" s="11"/>
      <c r="CS282" s="13"/>
      <c r="CT282" s="11"/>
      <c r="CU282" s="11"/>
      <c r="CV282" s="13"/>
      <c r="CW282" s="11"/>
      <c r="CX282" s="12"/>
      <c r="CY282" s="12"/>
      <c r="CZ282" s="11"/>
      <c r="DA282" s="13"/>
      <c r="DB282" s="11"/>
      <c r="DC282" s="11"/>
      <c r="DD282" s="13"/>
      <c r="DE282" s="11"/>
      <c r="DF282" s="12"/>
      <c r="DG282" s="12"/>
      <c r="DH282" s="11"/>
      <c r="DI282" s="13"/>
      <c r="DJ282" s="11"/>
      <c r="DK282" s="11"/>
      <c r="DL282" s="13"/>
      <c r="DM282" s="11"/>
      <c r="DN282" s="12"/>
      <c r="DO282" s="12"/>
      <c r="DP282" s="11">
        <v>8</v>
      </c>
      <c r="DQ282" s="13">
        <v>294.79</v>
      </c>
      <c r="DR282" s="11">
        <v>10</v>
      </c>
      <c r="DS282" s="11"/>
      <c r="DT282" s="13"/>
      <c r="DU282" s="11"/>
      <c r="DV282" s="12"/>
      <c r="DW282" s="12"/>
      <c r="DX282" s="11">
        <v>32</v>
      </c>
      <c r="DY282" s="13">
        <v>731.33</v>
      </c>
      <c r="DZ282" s="11">
        <v>7</v>
      </c>
      <c r="EA282" s="11"/>
      <c r="EB282" s="13"/>
      <c r="EC282" s="11"/>
      <c r="ED282" s="12"/>
      <c r="EE282" s="12"/>
      <c r="EF282" s="11"/>
      <c r="EG282" s="13"/>
      <c r="EH282" s="11"/>
      <c r="EI282" s="11"/>
      <c r="EJ282" s="13"/>
      <c r="EK282" s="11"/>
      <c r="EL282" s="12"/>
      <c r="EM282" s="12"/>
      <c r="EN282" s="11"/>
      <c r="EO282" s="13"/>
      <c r="EP282" s="11">
        <v>10</v>
      </c>
      <c r="EQ282" s="11"/>
      <c r="ER282" s="13"/>
      <c r="ES282" s="11"/>
      <c r="ET282" s="12"/>
      <c r="EU282" s="12"/>
      <c r="EV282" s="11"/>
      <c r="EW282" s="13"/>
      <c r="EX282" s="11"/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/>
      <c r="FM282" s="13"/>
      <c r="FN282" s="11"/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/>
      <c r="GC282" s="13"/>
      <c r="GD282" s="11"/>
      <c r="GE282" s="11"/>
      <c r="GF282" s="13"/>
      <c r="GG282" s="11"/>
      <c r="GH282" s="12"/>
      <c r="GI282" s="12"/>
      <c r="GJ282" s="11"/>
      <c r="GK282" s="13"/>
      <c r="GL282" s="11"/>
      <c r="GM282" s="11"/>
      <c r="GN282" s="13"/>
      <c r="GO282" s="11"/>
      <c r="GP282" s="12"/>
      <c r="GQ282" s="12"/>
      <c r="GR282" s="11"/>
      <c r="GS282" s="13"/>
      <c r="GT282" s="11">
        <v>10</v>
      </c>
      <c r="GU282" s="11"/>
      <c r="GV282" s="13"/>
      <c r="GW282" s="11"/>
      <c r="GX282" s="12"/>
      <c r="GY282" s="12"/>
      <c r="GZ282" s="11"/>
      <c r="HA282" s="13"/>
      <c r="HB282" s="11"/>
      <c r="HC282" s="11"/>
      <c r="HD282" s="13"/>
      <c r="HE282" s="11"/>
      <c r="HF282" s="12"/>
      <c r="HG282" s="12"/>
      <c r="HH282" s="11"/>
      <c r="HI282" s="13"/>
      <c r="HJ282" s="11"/>
      <c r="HK282" s="11"/>
      <c r="HL282" s="13"/>
      <c r="HM282" s="11"/>
      <c r="HN282" s="12"/>
      <c r="HO282" s="12"/>
      <c r="HP282" s="11"/>
      <c r="HQ282" s="13"/>
      <c r="HR282" s="11"/>
      <c r="HS282" s="11"/>
      <c r="HT282" s="13"/>
      <c r="HU282" s="11"/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/>
      <c r="II282" s="11"/>
      <c r="IJ282" s="13"/>
      <c r="IK282" s="11"/>
      <c r="IL282" s="12"/>
      <c r="IM282" s="12"/>
      <c r="IN282" s="11">
        <v>5</v>
      </c>
      <c r="IO282" s="13">
        <v>382.45</v>
      </c>
      <c r="IP282" s="11">
        <v>10</v>
      </c>
      <c r="IQ282" s="11"/>
      <c r="IR282" s="13"/>
      <c r="IS282" s="11"/>
      <c r="IT282" s="12"/>
      <c r="IU282" s="12"/>
      <c r="IV282" s="11"/>
      <c r="IW282" s="13"/>
      <c r="IX282" s="11"/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/>
      <c r="JO282" s="11"/>
      <c r="JP282" s="13"/>
      <c r="JQ282" s="11"/>
      <c r="JR282" s="12"/>
      <c r="JS282" s="12"/>
      <c r="JT282" s="11"/>
      <c r="JU282" s="13"/>
      <c r="JV282" s="11"/>
      <c r="JW282" s="11"/>
      <c r="JX282" s="13"/>
      <c r="JY282" s="11"/>
      <c r="JZ282" s="12"/>
      <c r="KA282" s="12"/>
      <c r="KB282" s="11"/>
      <c r="KC282" s="13"/>
      <c r="KD282" s="11"/>
      <c r="KE282" s="11"/>
      <c r="KF282" s="13"/>
      <c r="KG282" s="11"/>
      <c r="KH282" s="12"/>
      <c r="KI282" s="12"/>
      <c r="KJ282" s="11"/>
      <c r="KK282" s="13"/>
      <c r="KL282" s="11"/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  <c r="LH282" s="11"/>
      <c r="LI282" s="13"/>
      <c r="LJ282" s="11"/>
      <c r="LK282" s="11"/>
      <c r="LL282" s="13"/>
      <c r="LM282" s="11"/>
      <c r="LN282" s="12"/>
      <c r="LO282" s="12"/>
      <c r="LP282" s="11"/>
      <c r="LQ282" s="13"/>
      <c r="LR282" s="11"/>
      <c r="LS282" s="11"/>
      <c r="LT282" s="13"/>
      <c r="LU282" s="11"/>
      <c r="LV282" s="12"/>
      <c r="LW282" s="12"/>
    </row>
    <row r="283">
      <c r="A283" s="10" t="s">
        <v>193</v>
      </c>
      <c r="B283" s="10" t="s">
        <v>204</v>
      </c>
      <c r="C283" s="10" t="s">
        <v>74</v>
      </c>
      <c r="D283" s="11"/>
      <c r="E283" s="11">
        <f>=ROUNDDOWN({0},0)</f>
      </c>
      <c r="F283" s="11"/>
      <c r="G283" s="12"/>
      <c r="H283" s="11"/>
      <c r="I283" s="11">
        <f>=ROUNDDOWN({0},0)</f>
      </c>
      <c r="J283" s="11"/>
      <c r="K283" s="12"/>
      <c r="L283" s="11">
        <v>1332</v>
      </c>
      <c r="M283" s="13">
        <v>29477.16</v>
      </c>
      <c r="N283" s="11"/>
      <c r="O283" s="14"/>
      <c r="P283" s="11"/>
      <c r="Q283" s="13"/>
      <c r="R283" s="11"/>
      <c r="S283" s="14"/>
      <c r="T283" s="12"/>
      <c r="U283" s="12"/>
      <c r="V283" s="12"/>
      <c r="W283" s="12"/>
      <c r="X283" s="11"/>
      <c r="Y283" s="13"/>
      <c r="Z283" s="11"/>
      <c r="AA283" s="11"/>
      <c r="AB283" s="13"/>
      <c r="AC283" s="11"/>
      <c r="AD283" s="12"/>
      <c r="AE283" s="12"/>
      <c r="AF283" s="11"/>
      <c r="AG283" s="13"/>
      <c r="AH283" s="11"/>
      <c r="AI283" s="11"/>
      <c r="AJ283" s="13"/>
      <c r="AK283" s="11"/>
      <c r="AL283" s="12"/>
      <c r="AM283" s="12"/>
      <c r="AN283" s="11"/>
      <c r="AO283" s="13"/>
      <c r="AP283" s="11"/>
      <c r="AQ283" s="11"/>
      <c r="AR283" s="13"/>
      <c r="AS283" s="11"/>
      <c r="AT283" s="12"/>
      <c r="AU283" s="12"/>
      <c r="AV283" s="11"/>
      <c r="AW283" s="13"/>
      <c r="AX283" s="11"/>
      <c r="AY283" s="11"/>
      <c r="AZ283" s="13"/>
      <c r="BA283" s="11"/>
      <c r="BB283" s="12"/>
      <c r="BC283" s="12"/>
      <c r="BD283" s="11"/>
      <c r="BE283" s="13"/>
      <c r="BF283" s="11"/>
      <c r="BG283" s="11"/>
      <c r="BH283" s="13"/>
      <c r="BI283" s="11"/>
      <c r="BJ283" s="12"/>
      <c r="BK283" s="12"/>
      <c r="BL283" s="11"/>
      <c r="BM283" s="13"/>
      <c r="BN283" s="11"/>
      <c r="BO283" s="11"/>
      <c r="BP283" s="13"/>
      <c r="BQ283" s="11"/>
      <c r="BR283" s="12"/>
      <c r="BS283" s="12"/>
      <c r="BT283" s="11"/>
      <c r="BU283" s="13"/>
      <c r="BV283" s="11"/>
      <c r="BW283" s="11"/>
      <c r="BX283" s="13"/>
      <c r="BY283" s="11"/>
      <c r="BZ283" s="12"/>
      <c r="CA283" s="12"/>
      <c r="CB283" s="11"/>
      <c r="CC283" s="13"/>
      <c r="CD283" s="11"/>
      <c r="CE283" s="11"/>
      <c r="CF283" s="13"/>
      <c r="CG283" s="11"/>
      <c r="CH283" s="12"/>
      <c r="CI283" s="12"/>
      <c r="CJ283" s="11"/>
      <c r="CK283" s="13"/>
      <c r="CL283" s="11"/>
      <c r="CM283" s="11"/>
      <c r="CN283" s="13"/>
      <c r="CO283" s="11"/>
      <c r="CP283" s="12"/>
      <c r="CQ283" s="12"/>
      <c r="CR283" s="11">
        <v>1332</v>
      </c>
      <c r="CS283" s="13">
        <v>29477.16</v>
      </c>
      <c r="CT283" s="11"/>
      <c r="CU283" s="11"/>
      <c r="CV283" s="13"/>
      <c r="CW283" s="11"/>
      <c r="CX283" s="12"/>
      <c r="CY283" s="12"/>
      <c r="CZ283" s="11"/>
      <c r="DA283" s="13"/>
      <c r="DB283" s="11"/>
      <c r="DC283" s="11"/>
      <c r="DD283" s="13"/>
      <c r="DE283" s="11"/>
      <c r="DF283" s="12"/>
      <c r="DG283" s="12"/>
      <c r="DH283" s="11"/>
      <c r="DI283" s="13"/>
      <c r="DJ283" s="11"/>
      <c r="DK283" s="11"/>
      <c r="DL283" s="13"/>
      <c r="DM283" s="11"/>
      <c r="DN283" s="12"/>
      <c r="DO283" s="12"/>
      <c r="DP283" s="11"/>
      <c r="DQ283" s="13"/>
      <c r="DR283" s="11"/>
      <c r="DS283" s="11"/>
      <c r="DT283" s="13"/>
      <c r="DU283" s="11"/>
      <c r="DV283" s="12"/>
      <c r="DW283" s="12"/>
      <c r="DX283" s="11"/>
      <c r="DY283" s="13"/>
      <c r="DZ283" s="11"/>
      <c r="EA283" s="11"/>
      <c r="EB283" s="13"/>
      <c r="EC283" s="11"/>
      <c r="ED283" s="12"/>
      <c r="EE283" s="12"/>
      <c r="EF283" s="11"/>
      <c r="EG283" s="13"/>
      <c r="EH283" s="11"/>
      <c r="EI283" s="11"/>
      <c r="EJ283" s="13"/>
      <c r="EK283" s="11"/>
      <c r="EL283" s="12"/>
      <c r="EM283" s="12"/>
      <c r="EN283" s="11"/>
      <c r="EO283" s="13"/>
      <c r="EP283" s="11"/>
      <c r="EQ283" s="11"/>
      <c r="ER283" s="13"/>
      <c r="ES283" s="11"/>
      <c r="ET283" s="12"/>
      <c r="EU283" s="12"/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/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/>
      <c r="GM283" s="11"/>
      <c r="GN283" s="13"/>
      <c r="GO283" s="11"/>
      <c r="GP283" s="12"/>
      <c r="GQ283" s="12"/>
      <c r="GR283" s="11"/>
      <c r="GS283" s="13"/>
      <c r="GT283" s="11"/>
      <c r="GU283" s="11"/>
      <c r="GV283" s="13"/>
      <c r="GW283" s="11"/>
      <c r="GX283" s="12"/>
      <c r="GY283" s="12"/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/>
      <c r="HK283" s="11"/>
      <c r="HL283" s="13"/>
      <c r="HM283" s="11"/>
      <c r="HN283" s="12"/>
      <c r="HO283" s="12"/>
      <c r="HP283" s="11"/>
      <c r="HQ283" s="13"/>
      <c r="HR283" s="11"/>
      <c r="HS283" s="11"/>
      <c r="HT283" s="13"/>
      <c r="HU283" s="11"/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/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/>
      <c r="JO283" s="11"/>
      <c r="JP283" s="13"/>
      <c r="JQ283" s="11"/>
      <c r="JR283" s="12"/>
      <c r="JS283" s="12"/>
      <c r="JT283" s="11"/>
      <c r="JU283" s="13"/>
      <c r="JV283" s="11"/>
      <c r="JW283" s="11"/>
      <c r="JX283" s="13"/>
      <c r="JY283" s="11"/>
      <c r="JZ283" s="12"/>
      <c r="KA283" s="12"/>
      <c r="KB283" s="11"/>
      <c r="KC283" s="13"/>
      <c r="KD283" s="11"/>
      <c r="KE283" s="11"/>
      <c r="KF283" s="13"/>
      <c r="KG283" s="11"/>
      <c r="KH283" s="12"/>
      <c r="KI283" s="12"/>
      <c r="KJ283" s="11"/>
      <c r="KK283" s="13"/>
      <c r="KL283" s="11"/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  <c r="LH283" s="11"/>
      <c r="LI283" s="13"/>
      <c r="LJ283" s="11"/>
      <c r="LK283" s="11"/>
      <c r="LL283" s="13"/>
      <c r="LM283" s="11"/>
      <c r="LN283" s="12"/>
      <c r="LO283" s="12"/>
      <c r="LP283" s="11"/>
      <c r="LQ283" s="13"/>
      <c r="LR283" s="11"/>
      <c r="LS283" s="11"/>
      <c r="LT283" s="13"/>
      <c r="LU283" s="11"/>
      <c r="LV283" s="12"/>
      <c r="LW283" s="12"/>
    </row>
    <row r="284">
      <c r="A284" s="10" t="s">
        <v>193</v>
      </c>
      <c r="B284" s="10" t="s">
        <v>205</v>
      </c>
      <c r="C284" s="10" t="s">
        <v>77</v>
      </c>
      <c r="D284" s="11"/>
      <c r="E284" s="11">
        <f>=ROUNDDOWN({0},0)</f>
      </c>
      <c r="F284" s="11"/>
      <c r="G284" s="12"/>
      <c r="H284" s="11"/>
      <c r="I284" s="11">
        <f>=ROUNDDOWN({0},0)</f>
      </c>
      <c r="J284" s="11"/>
      <c r="K284" s="12"/>
      <c r="L284" s="11">
        <v>1332</v>
      </c>
      <c r="M284" s="13">
        <v>29477.16</v>
      </c>
      <c r="N284" s="11"/>
      <c r="O284" s="14"/>
      <c r="P284" s="11"/>
      <c r="Q284" s="13"/>
      <c r="R284" s="11"/>
      <c r="S284" s="14"/>
      <c r="T284" s="12"/>
      <c r="U284" s="12"/>
      <c r="V284" s="12"/>
      <c r="W284" s="12"/>
      <c r="X284" s="11"/>
      <c r="Y284" s="13"/>
      <c r="Z284" s="11"/>
      <c r="AA284" s="11"/>
      <c r="AB284" s="13"/>
      <c r="AC284" s="11"/>
      <c r="AD284" s="12"/>
      <c r="AE284" s="12"/>
      <c r="AF284" s="11"/>
      <c r="AG284" s="13"/>
      <c r="AH284" s="11"/>
      <c r="AI284" s="11"/>
      <c r="AJ284" s="13"/>
      <c r="AK284" s="11"/>
      <c r="AL284" s="12"/>
      <c r="AM284" s="12"/>
      <c r="AN284" s="11"/>
      <c r="AO284" s="13"/>
      <c r="AP284" s="11"/>
      <c r="AQ284" s="11"/>
      <c r="AR284" s="13"/>
      <c r="AS284" s="11"/>
      <c r="AT284" s="12"/>
      <c r="AU284" s="12"/>
      <c r="AV284" s="11"/>
      <c r="AW284" s="13"/>
      <c r="AX284" s="11"/>
      <c r="AY284" s="11"/>
      <c r="AZ284" s="13"/>
      <c r="BA284" s="11"/>
      <c r="BB284" s="12"/>
      <c r="BC284" s="12"/>
      <c r="BD284" s="11"/>
      <c r="BE284" s="13"/>
      <c r="BF284" s="11"/>
      <c r="BG284" s="11"/>
      <c r="BH284" s="13"/>
      <c r="BI284" s="11"/>
      <c r="BJ284" s="12"/>
      <c r="BK284" s="12"/>
      <c r="BL284" s="11"/>
      <c r="BM284" s="13"/>
      <c r="BN284" s="11"/>
      <c r="BO284" s="11"/>
      <c r="BP284" s="13"/>
      <c r="BQ284" s="11"/>
      <c r="BR284" s="12"/>
      <c r="BS284" s="12"/>
      <c r="BT284" s="11"/>
      <c r="BU284" s="13"/>
      <c r="BV284" s="11"/>
      <c r="BW284" s="11"/>
      <c r="BX284" s="13"/>
      <c r="BY284" s="11"/>
      <c r="BZ284" s="12"/>
      <c r="CA284" s="12"/>
      <c r="CB284" s="11"/>
      <c r="CC284" s="13"/>
      <c r="CD284" s="11"/>
      <c r="CE284" s="11"/>
      <c r="CF284" s="13"/>
      <c r="CG284" s="11"/>
      <c r="CH284" s="12"/>
      <c r="CI284" s="12"/>
      <c r="CJ284" s="11"/>
      <c r="CK284" s="13"/>
      <c r="CL284" s="11"/>
      <c r="CM284" s="11"/>
      <c r="CN284" s="13"/>
      <c r="CO284" s="11"/>
      <c r="CP284" s="12"/>
      <c r="CQ284" s="12"/>
      <c r="CR284" s="11">
        <v>1332</v>
      </c>
      <c r="CS284" s="13">
        <v>29477.16</v>
      </c>
      <c r="CT284" s="11"/>
      <c r="CU284" s="11"/>
      <c r="CV284" s="13"/>
      <c r="CW284" s="11"/>
      <c r="CX284" s="12"/>
      <c r="CY284" s="12"/>
      <c r="CZ284" s="11"/>
      <c r="DA284" s="13"/>
      <c r="DB284" s="11"/>
      <c r="DC284" s="11"/>
      <c r="DD284" s="13"/>
      <c r="DE284" s="11"/>
      <c r="DF284" s="12"/>
      <c r="DG284" s="12"/>
      <c r="DH284" s="11"/>
      <c r="DI284" s="13"/>
      <c r="DJ284" s="11"/>
      <c r="DK284" s="11"/>
      <c r="DL284" s="13"/>
      <c r="DM284" s="11"/>
      <c r="DN284" s="12"/>
      <c r="DO284" s="12"/>
      <c r="DP284" s="11"/>
      <c r="DQ284" s="13"/>
      <c r="DR284" s="11"/>
      <c r="DS284" s="11"/>
      <c r="DT284" s="13"/>
      <c r="DU284" s="11"/>
      <c r="DV284" s="12"/>
      <c r="DW284" s="12"/>
      <c r="DX284" s="11"/>
      <c r="DY284" s="13"/>
      <c r="DZ284" s="11"/>
      <c r="EA284" s="11"/>
      <c r="EB284" s="13"/>
      <c r="EC284" s="11"/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/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/>
      <c r="GM284" s="11"/>
      <c r="GN284" s="13"/>
      <c r="GO284" s="11"/>
      <c r="GP284" s="12"/>
      <c r="GQ284" s="12"/>
      <c r="GR284" s="11"/>
      <c r="GS284" s="13"/>
      <c r="GT284" s="11"/>
      <c r="GU284" s="11"/>
      <c r="GV284" s="13"/>
      <c r="GW284" s="11"/>
      <c r="GX284" s="12"/>
      <c r="GY284" s="12"/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/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/>
      <c r="JO284" s="11"/>
      <c r="JP284" s="13"/>
      <c r="JQ284" s="11"/>
      <c r="JR284" s="12"/>
      <c r="JS284" s="12"/>
      <c r="JT284" s="11"/>
      <c r="JU284" s="13"/>
      <c r="JV284" s="11"/>
      <c r="JW284" s="11"/>
      <c r="JX284" s="13"/>
      <c r="JY284" s="11"/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/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  <c r="LH284" s="11"/>
      <c r="LI284" s="13"/>
      <c r="LJ284" s="11"/>
      <c r="LK284" s="11"/>
      <c r="LL284" s="13"/>
      <c r="LM284" s="11"/>
      <c r="LN284" s="12"/>
      <c r="LO284" s="12"/>
      <c r="LP284" s="11"/>
      <c r="LQ284" s="13"/>
      <c r="LR284" s="11"/>
      <c r="LS284" s="11"/>
      <c r="LT284" s="13"/>
      <c r="LU284" s="11"/>
      <c r="LV284" s="12"/>
      <c r="LW284" s="12"/>
    </row>
    <row r="285">
      <c r="A285" s="10" t="s">
        <v>193</v>
      </c>
      <c r="B285" s="10" t="s">
        <v>107</v>
      </c>
      <c r="C285" s="10" t="s">
        <v>172</v>
      </c>
      <c r="D285" s="11">
        <v>2634</v>
      </c>
      <c r="E285" s="11">
        <f>=ROUNDDOWN(41.5457413249211,0)</f>
      </c>
      <c r="F285" s="11">
        <v>300</v>
      </c>
      <c r="G285" s="12">
        <v>0.9864</v>
      </c>
      <c r="H285" s="11"/>
      <c r="I285" s="11">
        <f>=ROUNDDOWN({0},0)</f>
      </c>
      <c r="J285" s="11"/>
      <c r="K285" s="12"/>
      <c r="L285" s="11">
        <v>959</v>
      </c>
      <c r="M285" s="13">
        <v>39367.31</v>
      </c>
      <c r="N285" s="11">
        <v>12</v>
      </c>
      <c r="O285" s="14">
        <v>3280.61</v>
      </c>
      <c r="P285" s="11"/>
      <c r="Q285" s="13"/>
      <c r="R285" s="11"/>
      <c r="S285" s="14"/>
      <c r="T285" s="12"/>
      <c r="U285" s="12"/>
      <c r="V285" s="12"/>
      <c r="W285" s="12"/>
      <c r="X285" s="11">
        <v>244</v>
      </c>
      <c r="Y285" s="13">
        <v>10269.21</v>
      </c>
      <c r="Z285" s="11">
        <v>12</v>
      </c>
      <c r="AA285" s="11"/>
      <c r="AB285" s="13"/>
      <c r="AC285" s="11"/>
      <c r="AD285" s="12"/>
      <c r="AE285" s="12"/>
      <c r="AF285" s="11">
        <v>130</v>
      </c>
      <c r="AG285" s="13">
        <v>4762.96</v>
      </c>
      <c r="AH285" s="11">
        <v>12</v>
      </c>
      <c r="AI285" s="11"/>
      <c r="AJ285" s="13"/>
      <c r="AK285" s="11"/>
      <c r="AL285" s="12"/>
      <c r="AM285" s="12"/>
      <c r="AN285" s="11">
        <v>81</v>
      </c>
      <c r="AO285" s="13">
        <v>3171.69</v>
      </c>
      <c r="AP285" s="11">
        <v>12</v>
      </c>
      <c r="AQ285" s="11"/>
      <c r="AR285" s="13"/>
      <c r="AS285" s="11"/>
      <c r="AT285" s="12"/>
      <c r="AU285" s="12"/>
      <c r="AV285" s="11">
        <v>264</v>
      </c>
      <c r="AW285" s="13">
        <v>11065.21</v>
      </c>
      <c r="AX285" s="11">
        <v>11</v>
      </c>
      <c r="AY285" s="11"/>
      <c r="AZ285" s="13"/>
      <c r="BA285" s="11"/>
      <c r="BB285" s="12"/>
      <c r="BC285" s="12"/>
      <c r="BD285" s="11">
        <v>171</v>
      </c>
      <c r="BE285" s="13">
        <v>7156.53</v>
      </c>
      <c r="BF285" s="11">
        <v>12</v>
      </c>
      <c r="BG285" s="11"/>
      <c r="BH285" s="13"/>
      <c r="BI285" s="11"/>
      <c r="BJ285" s="12"/>
      <c r="BK285" s="12"/>
      <c r="BL285" s="11">
        <v>2</v>
      </c>
      <c r="BM285" s="13">
        <v>82.06</v>
      </c>
      <c r="BN285" s="11">
        <v>12</v>
      </c>
      <c r="BO285" s="11"/>
      <c r="BP285" s="13"/>
      <c r="BQ285" s="11"/>
      <c r="BR285" s="12"/>
      <c r="BS285" s="12"/>
      <c r="BT285" s="11">
        <v>23</v>
      </c>
      <c r="BU285" s="13">
        <v>985.46</v>
      </c>
      <c r="BV285" s="11">
        <v>12</v>
      </c>
      <c r="BW285" s="11"/>
      <c r="BX285" s="13"/>
      <c r="BY285" s="11"/>
      <c r="BZ285" s="12"/>
      <c r="CA285" s="12"/>
      <c r="CB285" s="11">
        <v>9</v>
      </c>
      <c r="CC285" s="13">
        <v>380.02</v>
      </c>
      <c r="CD285" s="11">
        <v>9</v>
      </c>
      <c r="CE285" s="11"/>
      <c r="CF285" s="13"/>
      <c r="CG285" s="11"/>
      <c r="CH285" s="12"/>
      <c r="CI285" s="12"/>
      <c r="CJ285" s="11">
        <v>3</v>
      </c>
      <c r="CK285" s="13">
        <v>209.98</v>
      </c>
      <c r="CL285" s="11">
        <v>12</v>
      </c>
      <c r="CM285" s="11"/>
      <c r="CN285" s="13"/>
      <c r="CO285" s="11"/>
      <c r="CP285" s="12"/>
      <c r="CQ285" s="12"/>
      <c r="CR285" s="11"/>
      <c r="CS285" s="13"/>
      <c r="CT285" s="11"/>
      <c r="CU285" s="11"/>
      <c r="CV285" s="13"/>
      <c r="CW285" s="11"/>
      <c r="CX285" s="12"/>
      <c r="CY285" s="12"/>
      <c r="CZ285" s="11">
        <v>6</v>
      </c>
      <c r="DA285" s="13">
        <v>246.63</v>
      </c>
      <c r="DB285" s="11">
        <v>9</v>
      </c>
      <c r="DC285" s="11"/>
      <c r="DD285" s="13"/>
      <c r="DE285" s="11"/>
      <c r="DF285" s="12"/>
      <c r="DG285" s="12"/>
      <c r="DH285" s="11">
        <v>4</v>
      </c>
      <c r="DI285" s="13">
        <v>171.55</v>
      </c>
      <c r="DJ285" s="11">
        <v>9</v>
      </c>
      <c r="DK285" s="11"/>
      <c r="DL285" s="13"/>
      <c r="DM285" s="11"/>
      <c r="DN285" s="12"/>
      <c r="DO285" s="12"/>
      <c r="DP285" s="11">
        <v>2</v>
      </c>
      <c r="DQ285" s="13">
        <v>93.5</v>
      </c>
      <c r="DR285" s="11">
        <v>9</v>
      </c>
      <c r="DS285" s="11"/>
      <c r="DT285" s="13"/>
      <c r="DU285" s="11"/>
      <c r="DV285" s="12"/>
      <c r="DW285" s="12"/>
      <c r="DX285" s="11">
        <v>20</v>
      </c>
      <c r="DY285" s="13">
        <v>772.51</v>
      </c>
      <c r="DZ285" s="11">
        <v>12</v>
      </c>
      <c r="EA285" s="11"/>
      <c r="EB285" s="13"/>
      <c r="EC285" s="11"/>
      <c r="ED285" s="12"/>
      <c r="EE285" s="12"/>
      <c r="EF285" s="11"/>
      <c r="EG285" s="13"/>
      <c r="EH285" s="11"/>
      <c r="EI285" s="11"/>
      <c r="EJ285" s="13"/>
      <c r="EK285" s="11"/>
      <c r="EL285" s="12"/>
      <c r="EM285" s="12"/>
      <c r="EN285" s="11"/>
      <c r="EO285" s="13"/>
      <c r="EP285" s="11">
        <v>12</v>
      </c>
      <c r="EQ285" s="11"/>
      <c r="ER285" s="13"/>
      <c r="ES285" s="11"/>
      <c r="ET285" s="12"/>
      <c r="EU285" s="12"/>
      <c r="EV285" s="11"/>
      <c r="EW285" s="13"/>
      <c r="EX285" s="11"/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/>
      <c r="FM285" s="13"/>
      <c r="FN285" s="11"/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/>
      <c r="GC285" s="13"/>
      <c r="GD285" s="11"/>
      <c r="GE285" s="11"/>
      <c r="GF285" s="13"/>
      <c r="GG285" s="11"/>
      <c r="GH285" s="12"/>
      <c r="GI285" s="12"/>
      <c r="GJ285" s="11"/>
      <c r="GK285" s="13"/>
      <c r="GL285" s="11"/>
      <c r="GM285" s="11"/>
      <c r="GN285" s="13"/>
      <c r="GO285" s="11"/>
      <c r="GP285" s="12"/>
      <c r="GQ285" s="12"/>
      <c r="GR285" s="11"/>
      <c r="GS285" s="13"/>
      <c r="GT285" s="11">
        <v>9</v>
      </c>
      <c r="GU285" s="11"/>
      <c r="GV285" s="13"/>
      <c r="GW285" s="11"/>
      <c r="GX285" s="12"/>
      <c r="GY285" s="12"/>
      <c r="GZ285" s="11"/>
      <c r="HA285" s="13"/>
      <c r="HB285" s="11">
        <v>12</v>
      </c>
      <c r="HC285" s="11"/>
      <c r="HD285" s="13"/>
      <c r="HE285" s="11"/>
      <c r="HF285" s="12"/>
      <c r="HG285" s="12"/>
      <c r="HH285" s="11"/>
      <c r="HI285" s="13"/>
      <c r="HJ285" s="11"/>
      <c r="HK285" s="11"/>
      <c r="HL285" s="13"/>
      <c r="HM285" s="11"/>
      <c r="HN285" s="12"/>
      <c r="HO285" s="12"/>
      <c r="HP285" s="11"/>
      <c r="HQ285" s="13"/>
      <c r="HR285" s="11"/>
      <c r="HS285" s="11"/>
      <c r="HT285" s="13"/>
      <c r="HU285" s="11"/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/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>
        <v>3</v>
      </c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/>
      <c r="JO285" s="11"/>
      <c r="JP285" s="13"/>
      <c r="JQ285" s="11"/>
      <c r="JR285" s="12"/>
      <c r="JS285" s="12"/>
      <c r="JT285" s="11"/>
      <c r="JU285" s="13"/>
      <c r="JV285" s="11"/>
      <c r="JW285" s="11"/>
      <c r="JX285" s="13"/>
      <c r="JY285" s="11"/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/>
      <c r="KM285" s="11"/>
      <c r="KN285" s="13"/>
      <c r="KO285" s="11"/>
      <c r="KP285" s="12"/>
      <c r="KQ285" s="12"/>
      <c r="KR285" s="11"/>
      <c r="KS285" s="13"/>
      <c r="KT285" s="11">
        <v>3</v>
      </c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  <c r="LH285" s="11"/>
      <c r="LI285" s="13"/>
      <c r="LJ285" s="11"/>
      <c r="LK285" s="11"/>
      <c r="LL285" s="13"/>
      <c r="LM285" s="11"/>
      <c r="LN285" s="12"/>
      <c r="LO285" s="12"/>
      <c r="LP285" s="11"/>
      <c r="LQ285" s="13"/>
      <c r="LR285" s="11"/>
      <c r="LS285" s="11"/>
      <c r="LT285" s="13"/>
      <c r="LU285" s="11"/>
      <c r="LV285" s="12"/>
      <c r="LW285" s="12"/>
    </row>
    <row r="286">
      <c r="A286" s="10" t="s">
        <v>193</v>
      </c>
      <c r="B286" s="10" t="s">
        <v>107</v>
      </c>
      <c r="C286" s="10" t="s">
        <v>173</v>
      </c>
      <c r="D286" s="11">
        <v>5822</v>
      </c>
      <c r="E286" s="11">
        <f>=ROUNDDOWN(113.933463796477,0)</f>
      </c>
      <c r="F286" s="11">
        <v>504</v>
      </c>
      <c r="G286" s="12">
        <v>1</v>
      </c>
      <c r="H286" s="11"/>
      <c r="I286" s="11">
        <f>=ROUNDDOWN({0},0)</f>
      </c>
      <c r="J286" s="11"/>
      <c r="K286" s="12"/>
      <c r="L286" s="11">
        <v>826</v>
      </c>
      <c r="M286" s="13">
        <v>12054.9</v>
      </c>
      <c r="N286" s="11">
        <v>18</v>
      </c>
      <c r="O286" s="14">
        <v>669.72</v>
      </c>
      <c r="P286" s="11"/>
      <c r="Q286" s="13"/>
      <c r="R286" s="11"/>
      <c r="S286" s="14"/>
      <c r="T286" s="12"/>
      <c r="U286" s="12"/>
      <c r="V286" s="12"/>
      <c r="W286" s="12"/>
      <c r="X286" s="11">
        <v>42</v>
      </c>
      <c r="Y286" s="13">
        <v>670.2</v>
      </c>
      <c r="Z286" s="11">
        <v>18</v>
      </c>
      <c r="AA286" s="11"/>
      <c r="AB286" s="13"/>
      <c r="AC286" s="11"/>
      <c r="AD286" s="12"/>
      <c r="AE286" s="12"/>
      <c r="AF286" s="11">
        <v>52</v>
      </c>
      <c r="AG286" s="13">
        <v>760.41</v>
      </c>
      <c r="AH286" s="11">
        <v>18</v>
      </c>
      <c r="AI286" s="11"/>
      <c r="AJ286" s="13"/>
      <c r="AK286" s="11"/>
      <c r="AL286" s="12"/>
      <c r="AM286" s="12"/>
      <c r="AN286" s="11">
        <v>129</v>
      </c>
      <c r="AO286" s="13">
        <v>1863.93</v>
      </c>
      <c r="AP286" s="11">
        <v>18</v>
      </c>
      <c r="AQ286" s="11"/>
      <c r="AR286" s="13"/>
      <c r="AS286" s="11"/>
      <c r="AT286" s="12"/>
      <c r="AU286" s="12"/>
      <c r="AV286" s="11">
        <v>161</v>
      </c>
      <c r="AW286" s="13">
        <v>2254.7</v>
      </c>
      <c r="AX286" s="11">
        <v>16</v>
      </c>
      <c r="AY286" s="11"/>
      <c r="AZ286" s="13"/>
      <c r="BA286" s="11"/>
      <c r="BB286" s="12"/>
      <c r="BC286" s="12"/>
      <c r="BD286" s="11">
        <v>293</v>
      </c>
      <c r="BE286" s="13">
        <v>3780.34</v>
      </c>
      <c r="BF286" s="11">
        <v>4</v>
      </c>
      <c r="BG286" s="11"/>
      <c r="BH286" s="13"/>
      <c r="BI286" s="11"/>
      <c r="BJ286" s="12"/>
      <c r="BK286" s="12"/>
      <c r="BL286" s="11">
        <v>64</v>
      </c>
      <c r="BM286" s="13">
        <v>1055.46</v>
      </c>
      <c r="BN286" s="11">
        <v>18</v>
      </c>
      <c r="BO286" s="11"/>
      <c r="BP286" s="13"/>
      <c r="BQ286" s="11"/>
      <c r="BR286" s="12"/>
      <c r="BS286" s="12"/>
      <c r="BT286" s="11">
        <v>62</v>
      </c>
      <c r="BU286" s="13">
        <v>1306.34</v>
      </c>
      <c r="BV286" s="11">
        <v>18</v>
      </c>
      <c r="BW286" s="11"/>
      <c r="BX286" s="13"/>
      <c r="BY286" s="11"/>
      <c r="BZ286" s="12"/>
      <c r="CA286" s="12"/>
      <c r="CB286" s="11">
        <v>23</v>
      </c>
      <c r="CC286" s="13">
        <v>363.52</v>
      </c>
      <c r="CD286" s="11">
        <v>9</v>
      </c>
      <c r="CE286" s="11"/>
      <c r="CF286" s="13"/>
      <c r="CG286" s="11"/>
      <c r="CH286" s="12"/>
      <c r="CI286" s="12"/>
      <c r="CJ286" s="11"/>
      <c r="CK286" s="13"/>
      <c r="CL286" s="11">
        <v>10</v>
      </c>
      <c r="CM286" s="11"/>
      <c r="CN286" s="13"/>
      <c r="CO286" s="11"/>
      <c r="CP286" s="12"/>
      <c r="CQ286" s="12"/>
      <c r="CR286" s="11"/>
      <c r="CS286" s="13"/>
      <c r="CT286" s="11"/>
      <c r="CU286" s="11"/>
      <c r="CV286" s="13"/>
      <c r="CW286" s="11"/>
      <c r="CX286" s="12"/>
      <c r="CY286" s="12"/>
      <c r="CZ286" s="11"/>
      <c r="DA286" s="13"/>
      <c r="DB286" s="11">
        <v>3</v>
      </c>
      <c r="DC286" s="11"/>
      <c r="DD286" s="13"/>
      <c r="DE286" s="11"/>
      <c r="DF286" s="12"/>
      <c r="DG286" s="12"/>
      <c r="DH286" s="11"/>
      <c r="DI286" s="13"/>
      <c r="DJ286" s="11"/>
      <c r="DK286" s="11"/>
      <c r="DL286" s="13"/>
      <c r="DM286" s="11"/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/>
      <c r="DY286" s="13"/>
      <c r="DZ286" s="11"/>
      <c r="EA286" s="11"/>
      <c r="EB286" s="13"/>
      <c r="EC286" s="11"/>
      <c r="ED286" s="12"/>
      <c r="EE286" s="12"/>
      <c r="EF286" s="11"/>
      <c r="EG286" s="13"/>
      <c r="EH286" s="11"/>
      <c r="EI286" s="11"/>
      <c r="EJ286" s="13"/>
      <c r="EK286" s="11"/>
      <c r="EL286" s="12"/>
      <c r="EM286" s="12"/>
      <c r="EN286" s="11"/>
      <c r="EO286" s="13"/>
      <c r="EP286" s="11">
        <v>18</v>
      </c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/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/>
      <c r="GM286" s="11"/>
      <c r="GN286" s="13"/>
      <c r="GO286" s="11"/>
      <c r="GP286" s="12"/>
      <c r="GQ286" s="12"/>
      <c r="GR286" s="11"/>
      <c r="GS286" s="13"/>
      <c r="GT286" s="11">
        <v>7</v>
      </c>
      <c r="GU286" s="11"/>
      <c r="GV286" s="13"/>
      <c r="GW286" s="11"/>
      <c r="GX286" s="12"/>
      <c r="GY286" s="12"/>
      <c r="GZ286" s="11"/>
      <c r="HA286" s="13"/>
      <c r="HB286" s="11"/>
      <c r="HC286" s="11"/>
      <c r="HD286" s="13"/>
      <c r="HE286" s="11"/>
      <c r="HF286" s="12"/>
      <c r="HG286" s="12"/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/>
      <c r="HS286" s="11"/>
      <c r="HT286" s="13"/>
      <c r="HU286" s="11"/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>
        <v>1</v>
      </c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/>
      <c r="JP286" s="13"/>
      <c r="JQ286" s="11"/>
      <c r="JR286" s="12"/>
      <c r="JS286" s="12"/>
      <c r="JT286" s="11"/>
      <c r="JU286" s="13"/>
      <c r="JV286" s="11"/>
      <c r="JW286" s="11"/>
      <c r="JX286" s="13"/>
      <c r="JY286" s="11"/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/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  <c r="LH286" s="11"/>
      <c r="LI286" s="13"/>
      <c r="LJ286" s="11"/>
      <c r="LK286" s="11"/>
      <c r="LL286" s="13"/>
      <c r="LM286" s="11"/>
      <c r="LN286" s="12"/>
      <c r="LO286" s="12"/>
      <c r="LP286" s="11"/>
      <c r="LQ286" s="13"/>
      <c r="LR286" s="11"/>
      <c r="LS286" s="11"/>
      <c r="LT286" s="13"/>
      <c r="LU286" s="11"/>
      <c r="LV286" s="12"/>
      <c r="LW286" s="12"/>
    </row>
    <row r="287">
      <c r="A287" s="10" t="s">
        <v>193</v>
      </c>
      <c r="B287" s="10" t="s">
        <v>107</v>
      </c>
      <c r="C287" s="10" t="s">
        <v>115</v>
      </c>
      <c r="D287" s="11">
        <v>3025</v>
      </c>
      <c r="E287" s="11">
        <f>=ROUNDDOWN(15.2239557121288,0)</f>
      </c>
      <c r="F287" s="11">
        <v>6100</v>
      </c>
      <c r="G287" s="12">
        <v>0.9902</v>
      </c>
      <c r="H287" s="11"/>
      <c r="I287" s="11">
        <f>=ROUNDDOWN({0},0)</f>
      </c>
      <c r="J287" s="11"/>
      <c r="K287" s="12"/>
      <c r="L287" s="11">
        <v>2576</v>
      </c>
      <c r="M287" s="13">
        <v>50631.63</v>
      </c>
      <c r="N287" s="11">
        <v>11</v>
      </c>
      <c r="O287" s="14">
        <v>4602.88</v>
      </c>
      <c r="P287" s="11"/>
      <c r="Q287" s="13"/>
      <c r="R287" s="11"/>
      <c r="S287" s="14"/>
      <c r="T287" s="12"/>
      <c r="U287" s="12"/>
      <c r="V287" s="12"/>
      <c r="W287" s="12"/>
      <c r="X287" s="11">
        <v>142</v>
      </c>
      <c r="Y287" s="13">
        <v>2922.73</v>
      </c>
      <c r="Z287" s="11">
        <v>6</v>
      </c>
      <c r="AA287" s="11"/>
      <c r="AB287" s="13"/>
      <c r="AC287" s="11"/>
      <c r="AD287" s="12"/>
      <c r="AE287" s="12"/>
      <c r="AF287" s="11">
        <v>414</v>
      </c>
      <c r="AG287" s="13">
        <v>6960.38</v>
      </c>
      <c r="AH287" s="11">
        <v>11</v>
      </c>
      <c r="AI287" s="11"/>
      <c r="AJ287" s="13"/>
      <c r="AK287" s="11"/>
      <c r="AL287" s="12"/>
      <c r="AM287" s="12"/>
      <c r="AN287" s="11">
        <v>562</v>
      </c>
      <c r="AO287" s="13">
        <v>10501.12</v>
      </c>
      <c r="AP287" s="11">
        <v>11</v>
      </c>
      <c r="AQ287" s="11"/>
      <c r="AR287" s="13"/>
      <c r="AS287" s="11"/>
      <c r="AT287" s="12"/>
      <c r="AU287" s="12"/>
      <c r="AV287" s="11">
        <v>464</v>
      </c>
      <c r="AW287" s="13">
        <v>9631.55</v>
      </c>
      <c r="AX287" s="11">
        <v>11</v>
      </c>
      <c r="AY287" s="11"/>
      <c r="AZ287" s="13"/>
      <c r="BA287" s="11"/>
      <c r="BB287" s="12"/>
      <c r="BC287" s="12"/>
      <c r="BD287" s="11">
        <v>512</v>
      </c>
      <c r="BE287" s="13">
        <v>10458.21</v>
      </c>
      <c r="BF287" s="11">
        <v>11</v>
      </c>
      <c r="BG287" s="11"/>
      <c r="BH287" s="13"/>
      <c r="BI287" s="11"/>
      <c r="BJ287" s="12"/>
      <c r="BK287" s="12"/>
      <c r="BL287" s="11">
        <v>247</v>
      </c>
      <c r="BM287" s="13">
        <v>5077.19</v>
      </c>
      <c r="BN287" s="11">
        <v>11</v>
      </c>
      <c r="BO287" s="11"/>
      <c r="BP287" s="13"/>
      <c r="BQ287" s="11"/>
      <c r="BR287" s="12"/>
      <c r="BS287" s="12"/>
      <c r="BT287" s="11">
        <v>161</v>
      </c>
      <c r="BU287" s="13">
        <v>3492.29</v>
      </c>
      <c r="BV287" s="11">
        <v>11</v>
      </c>
      <c r="BW287" s="11"/>
      <c r="BX287" s="13"/>
      <c r="BY287" s="11"/>
      <c r="BZ287" s="12"/>
      <c r="CA287" s="12"/>
      <c r="CB287" s="11">
        <v>52</v>
      </c>
      <c r="CC287" s="13">
        <v>1063.13</v>
      </c>
      <c r="CD287" s="11">
        <v>8</v>
      </c>
      <c r="CE287" s="11"/>
      <c r="CF287" s="13"/>
      <c r="CG287" s="11"/>
      <c r="CH287" s="12"/>
      <c r="CI287" s="12"/>
      <c r="CJ287" s="11">
        <v>2</v>
      </c>
      <c r="CK287" s="13">
        <v>107.98</v>
      </c>
      <c r="CL287" s="11">
        <v>11</v>
      </c>
      <c r="CM287" s="11"/>
      <c r="CN287" s="13"/>
      <c r="CO287" s="11"/>
      <c r="CP287" s="12"/>
      <c r="CQ287" s="12"/>
      <c r="CR287" s="11"/>
      <c r="CS287" s="13"/>
      <c r="CT287" s="11"/>
      <c r="CU287" s="11"/>
      <c r="CV287" s="13"/>
      <c r="CW287" s="11"/>
      <c r="CX287" s="12"/>
      <c r="CY287" s="12"/>
      <c r="CZ287" s="11">
        <v>5</v>
      </c>
      <c r="DA287" s="13">
        <v>104.7</v>
      </c>
      <c r="DB287" s="11">
        <v>5</v>
      </c>
      <c r="DC287" s="11"/>
      <c r="DD287" s="13"/>
      <c r="DE287" s="11"/>
      <c r="DF287" s="12"/>
      <c r="DG287" s="12"/>
      <c r="DH287" s="11">
        <v>3</v>
      </c>
      <c r="DI287" s="13">
        <v>60.54</v>
      </c>
      <c r="DJ287" s="11">
        <v>5</v>
      </c>
      <c r="DK287" s="11"/>
      <c r="DL287" s="13"/>
      <c r="DM287" s="11"/>
      <c r="DN287" s="12"/>
      <c r="DO287" s="12"/>
      <c r="DP287" s="11">
        <v>5</v>
      </c>
      <c r="DQ287" s="13">
        <v>105.95</v>
      </c>
      <c r="DR287" s="11">
        <v>5</v>
      </c>
      <c r="DS287" s="11"/>
      <c r="DT287" s="13"/>
      <c r="DU287" s="11"/>
      <c r="DV287" s="12"/>
      <c r="DW287" s="12"/>
      <c r="DX287" s="11"/>
      <c r="DY287" s="13"/>
      <c r="DZ287" s="11"/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>
        <v>1</v>
      </c>
      <c r="EO287" s="13">
        <v>19.49</v>
      </c>
      <c r="EP287" s="11">
        <v>11</v>
      </c>
      <c r="EQ287" s="11"/>
      <c r="ER287" s="13"/>
      <c r="ES287" s="11"/>
      <c r="ET287" s="12"/>
      <c r="EU287" s="12"/>
      <c r="EV287" s="11"/>
      <c r="EW287" s="13"/>
      <c r="EX287" s="11"/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/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>
        <v>4</v>
      </c>
      <c r="GC287" s="13">
        <v>87.2</v>
      </c>
      <c r="GD287" s="11">
        <v>2</v>
      </c>
      <c r="GE287" s="11"/>
      <c r="GF287" s="13"/>
      <c r="GG287" s="11"/>
      <c r="GH287" s="12"/>
      <c r="GI287" s="12"/>
      <c r="GJ287" s="11"/>
      <c r="GK287" s="13"/>
      <c r="GL287" s="11"/>
      <c r="GM287" s="11"/>
      <c r="GN287" s="13"/>
      <c r="GO287" s="11"/>
      <c r="GP287" s="12"/>
      <c r="GQ287" s="12"/>
      <c r="GR287" s="11"/>
      <c r="GS287" s="13"/>
      <c r="GT287" s="11">
        <v>8</v>
      </c>
      <c r="GU287" s="11"/>
      <c r="GV287" s="13"/>
      <c r="GW287" s="11"/>
      <c r="GX287" s="12"/>
      <c r="GY287" s="12"/>
      <c r="GZ287" s="11"/>
      <c r="HA287" s="13"/>
      <c r="HB287" s="11">
        <v>6</v>
      </c>
      <c r="HC287" s="11"/>
      <c r="HD287" s="13"/>
      <c r="HE287" s="11"/>
      <c r="HF287" s="12"/>
      <c r="HG287" s="12"/>
      <c r="HH287" s="11"/>
      <c r="HI287" s="13"/>
      <c r="HJ287" s="11"/>
      <c r="HK287" s="11"/>
      <c r="HL287" s="13"/>
      <c r="HM287" s="11"/>
      <c r="HN287" s="12"/>
      <c r="HO287" s="12"/>
      <c r="HP287" s="11"/>
      <c r="HQ287" s="13"/>
      <c r="HR287" s="11"/>
      <c r="HS287" s="11"/>
      <c r="HT287" s="13"/>
      <c r="HU287" s="11"/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>
        <v>2</v>
      </c>
      <c r="IW287" s="13">
        <v>39.17</v>
      </c>
      <c r="IX287" s="11">
        <v>4</v>
      </c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/>
      <c r="JP287" s="13"/>
      <c r="JQ287" s="11"/>
      <c r="JR287" s="12"/>
      <c r="JS287" s="12"/>
      <c r="JT287" s="11"/>
      <c r="JU287" s="13"/>
      <c r="JV287" s="11"/>
      <c r="JW287" s="11"/>
      <c r="JX287" s="13"/>
      <c r="JY287" s="11"/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/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  <c r="LH287" s="11"/>
      <c r="LI287" s="13"/>
      <c r="LJ287" s="11"/>
      <c r="LK287" s="11"/>
      <c r="LL287" s="13"/>
      <c r="LM287" s="11"/>
      <c r="LN287" s="12"/>
      <c r="LO287" s="12"/>
      <c r="LP287" s="11"/>
      <c r="LQ287" s="13"/>
      <c r="LR287" s="11"/>
      <c r="LS287" s="11"/>
      <c r="LT287" s="13"/>
      <c r="LU287" s="11"/>
      <c r="LV287" s="12"/>
      <c r="LW287" s="12"/>
    </row>
    <row r="288">
      <c r="A288" s="10" t="s">
        <v>193</v>
      </c>
      <c r="B288" s="10" t="s">
        <v>108</v>
      </c>
      <c r="C288" s="10" t="s">
        <v>77</v>
      </c>
      <c r="D288" s="11">
        <v>11481</v>
      </c>
      <c r="E288" s="11">
        <f>=ROUNDDOWN({0},0)</f>
      </c>
      <c r="F288" s="11">
        <v>6904</v>
      </c>
      <c r="G288" s="12"/>
      <c r="H288" s="11"/>
      <c r="I288" s="11">
        <f>=ROUNDDOWN({0},0)</f>
      </c>
      <c r="J288" s="11"/>
      <c r="K288" s="12"/>
      <c r="L288" s="11">
        <v>4361</v>
      </c>
      <c r="M288" s="13">
        <v>102053.84</v>
      </c>
      <c r="N288" s="11">
        <v>41</v>
      </c>
      <c r="O288" s="14">
        <v>2489.12</v>
      </c>
      <c r="P288" s="11"/>
      <c r="Q288" s="13"/>
      <c r="R288" s="11"/>
      <c r="S288" s="14"/>
      <c r="T288" s="12"/>
      <c r="U288" s="12"/>
      <c r="V288" s="12"/>
      <c r="W288" s="12"/>
      <c r="X288" s="11">
        <v>428</v>
      </c>
      <c r="Y288" s="13">
        <v>13862.14</v>
      </c>
      <c r="Z288" s="11">
        <v>36</v>
      </c>
      <c r="AA288" s="11"/>
      <c r="AB288" s="13"/>
      <c r="AC288" s="11"/>
      <c r="AD288" s="12"/>
      <c r="AE288" s="12"/>
      <c r="AF288" s="11">
        <v>596</v>
      </c>
      <c r="AG288" s="13">
        <v>12483.75</v>
      </c>
      <c r="AH288" s="11">
        <v>41</v>
      </c>
      <c r="AI288" s="11"/>
      <c r="AJ288" s="13"/>
      <c r="AK288" s="11"/>
      <c r="AL288" s="12"/>
      <c r="AM288" s="12"/>
      <c r="AN288" s="11">
        <v>772</v>
      </c>
      <c r="AO288" s="13">
        <v>15536.74</v>
      </c>
      <c r="AP288" s="11">
        <v>41</v>
      </c>
      <c r="AQ288" s="11"/>
      <c r="AR288" s="13"/>
      <c r="AS288" s="11"/>
      <c r="AT288" s="12"/>
      <c r="AU288" s="12"/>
      <c r="AV288" s="11">
        <v>889</v>
      </c>
      <c r="AW288" s="13">
        <v>22951.46</v>
      </c>
      <c r="AX288" s="11">
        <v>38</v>
      </c>
      <c r="AY288" s="11"/>
      <c r="AZ288" s="13"/>
      <c r="BA288" s="11"/>
      <c r="BB288" s="12"/>
      <c r="BC288" s="12"/>
      <c r="BD288" s="11">
        <v>976</v>
      </c>
      <c r="BE288" s="13">
        <v>21395.08</v>
      </c>
      <c r="BF288" s="11">
        <v>27</v>
      </c>
      <c r="BG288" s="11"/>
      <c r="BH288" s="13"/>
      <c r="BI288" s="11"/>
      <c r="BJ288" s="12"/>
      <c r="BK288" s="12"/>
      <c r="BL288" s="11">
        <v>313</v>
      </c>
      <c r="BM288" s="13">
        <v>6214.71</v>
      </c>
      <c r="BN288" s="11">
        <v>41</v>
      </c>
      <c r="BO288" s="11"/>
      <c r="BP288" s="13"/>
      <c r="BQ288" s="11"/>
      <c r="BR288" s="12"/>
      <c r="BS288" s="12"/>
      <c r="BT288" s="11">
        <v>246</v>
      </c>
      <c r="BU288" s="13">
        <v>5784.09</v>
      </c>
      <c r="BV288" s="11">
        <v>41</v>
      </c>
      <c r="BW288" s="11"/>
      <c r="BX288" s="13"/>
      <c r="BY288" s="11"/>
      <c r="BZ288" s="12"/>
      <c r="CA288" s="12"/>
      <c r="CB288" s="11">
        <v>84</v>
      </c>
      <c r="CC288" s="13">
        <v>1806.67</v>
      </c>
      <c r="CD288" s="11">
        <v>26</v>
      </c>
      <c r="CE288" s="11"/>
      <c r="CF288" s="13"/>
      <c r="CG288" s="11"/>
      <c r="CH288" s="12"/>
      <c r="CI288" s="12"/>
      <c r="CJ288" s="11">
        <v>5</v>
      </c>
      <c r="CK288" s="13">
        <v>317.96</v>
      </c>
      <c r="CL288" s="11">
        <v>33</v>
      </c>
      <c r="CM288" s="11"/>
      <c r="CN288" s="13"/>
      <c r="CO288" s="11"/>
      <c r="CP288" s="12"/>
      <c r="CQ288" s="12"/>
      <c r="CR288" s="11"/>
      <c r="CS288" s="13"/>
      <c r="CT288" s="11"/>
      <c r="CU288" s="11"/>
      <c r="CV288" s="13"/>
      <c r="CW288" s="11"/>
      <c r="CX288" s="12"/>
      <c r="CY288" s="12"/>
      <c r="CZ288" s="11">
        <v>11</v>
      </c>
      <c r="DA288" s="13">
        <v>351.33</v>
      </c>
      <c r="DB288" s="11">
        <v>17</v>
      </c>
      <c r="DC288" s="11"/>
      <c r="DD288" s="13"/>
      <c r="DE288" s="11"/>
      <c r="DF288" s="12"/>
      <c r="DG288" s="12"/>
      <c r="DH288" s="11">
        <v>7</v>
      </c>
      <c r="DI288" s="13">
        <v>232.09</v>
      </c>
      <c r="DJ288" s="11">
        <v>14</v>
      </c>
      <c r="DK288" s="11"/>
      <c r="DL288" s="13"/>
      <c r="DM288" s="11"/>
      <c r="DN288" s="12"/>
      <c r="DO288" s="12"/>
      <c r="DP288" s="11">
        <v>7</v>
      </c>
      <c r="DQ288" s="13">
        <v>199.45</v>
      </c>
      <c r="DR288" s="11">
        <v>14</v>
      </c>
      <c r="DS288" s="11"/>
      <c r="DT288" s="13"/>
      <c r="DU288" s="11"/>
      <c r="DV288" s="12"/>
      <c r="DW288" s="12"/>
      <c r="DX288" s="11">
        <v>20</v>
      </c>
      <c r="DY288" s="13">
        <v>772.51</v>
      </c>
      <c r="DZ288" s="11">
        <v>12</v>
      </c>
      <c r="EA288" s="11"/>
      <c r="EB288" s="13"/>
      <c r="EC288" s="11"/>
      <c r="ED288" s="12"/>
      <c r="EE288" s="12"/>
      <c r="EF288" s="11"/>
      <c r="EG288" s="13"/>
      <c r="EH288" s="11"/>
      <c r="EI288" s="11"/>
      <c r="EJ288" s="13"/>
      <c r="EK288" s="11"/>
      <c r="EL288" s="12"/>
      <c r="EM288" s="12"/>
      <c r="EN288" s="11">
        <v>1</v>
      </c>
      <c r="EO288" s="13">
        <v>19.49</v>
      </c>
      <c r="EP288" s="11">
        <v>41</v>
      </c>
      <c r="EQ288" s="11"/>
      <c r="ER288" s="13"/>
      <c r="ES288" s="11"/>
      <c r="ET288" s="12"/>
      <c r="EU288" s="12"/>
      <c r="EV288" s="11"/>
      <c r="EW288" s="13"/>
      <c r="EX288" s="11"/>
      <c r="EY288" s="11"/>
      <c r="EZ288" s="13"/>
      <c r="FA288" s="11"/>
      <c r="FB288" s="12"/>
      <c r="FC288" s="12"/>
      <c r="FD288" s="11"/>
      <c r="FE288" s="13"/>
      <c r="FF288" s="11"/>
      <c r="FG288" s="11"/>
      <c r="FH288" s="13"/>
      <c r="FI288" s="11"/>
      <c r="FJ288" s="12"/>
      <c r="FK288" s="12"/>
      <c r="FL288" s="11"/>
      <c r="FM288" s="13"/>
      <c r="FN288" s="11"/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>
        <v>4</v>
      </c>
      <c r="GC288" s="13">
        <v>87.2</v>
      </c>
      <c r="GD288" s="11">
        <v>2</v>
      </c>
      <c r="GE288" s="11"/>
      <c r="GF288" s="13"/>
      <c r="GG288" s="11"/>
      <c r="GH288" s="12"/>
      <c r="GI288" s="12"/>
      <c r="GJ288" s="11"/>
      <c r="GK288" s="13"/>
      <c r="GL288" s="11"/>
      <c r="GM288" s="11"/>
      <c r="GN288" s="13"/>
      <c r="GO288" s="11"/>
      <c r="GP288" s="12"/>
      <c r="GQ288" s="12"/>
      <c r="GR288" s="11"/>
      <c r="GS288" s="13"/>
      <c r="GT288" s="11">
        <v>24</v>
      </c>
      <c r="GU288" s="11"/>
      <c r="GV288" s="13"/>
      <c r="GW288" s="11"/>
      <c r="GX288" s="12"/>
      <c r="GY288" s="12"/>
      <c r="GZ288" s="11"/>
      <c r="HA288" s="13"/>
      <c r="HB288" s="11">
        <v>18</v>
      </c>
      <c r="HC288" s="11"/>
      <c r="HD288" s="13"/>
      <c r="HE288" s="11"/>
      <c r="HF288" s="12"/>
      <c r="HG288" s="12"/>
      <c r="HH288" s="11"/>
      <c r="HI288" s="13"/>
      <c r="HJ288" s="11"/>
      <c r="HK288" s="11"/>
      <c r="HL288" s="13"/>
      <c r="HM288" s="11"/>
      <c r="HN288" s="12"/>
      <c r="HO288" s="12"/>
      <c r="HP288" s="11"/>
      <c r="HQ288" s="13"/>
      <c r="HR288" s="11"/>
      <c r="HS288" s="11"/>
      <c r="HT288" s="13"/>
      <c r="HU288" s="11"/>
      <c r="HV288" s="12"/>
      <c r="HW288" s="12"/>
      <c r="HX288" s="11"/>
      <c r="HY288" s="13"/>
      <c r="HZ288" s="11"/>
      <c r="IA288" s="11"/>
      <c r="IB288" s="13"/>
      <c r="IC288" s="11"/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>
        <v>2</v>
      </c>
      <c r="IW288" s="13">
        <v>39.17</v>
      </c>
      <c r="IX288" s="11">
        <v>8</v>
      </c>
      <c r="IY288" s="11"/>
      <c r="IZ288" s="13"/>
      <c r="JA288" s="11"/>
      <c r="JB288" s="12"/>
      <c r="JC288" s="12"/>
      <c r="JD288" s="11"/>
      <c r="JE288" s="13"/>
      <c r="JF288" s="11"/>
      <c r="JG288" s="11"/>
      <c r="JH288" s="13"/>
      <c r="JI288" s="11"/>
      <c r="JJ288" s="12"/>
      <c r="JK288" s="12"/>
      <c r="JL288" s="11"/>
      <c r="JM288" s="13"/>
      <c r="JN288" s="11"/>
      <c r="JO288" s="11"/>
      <c r="JP288" s="13"/>
      <c r="JQ288" s="11"/>
      <c r="JR288" s="12"/>
      <c r="JS288" s="12"/>
      <c r="JT288" s="11"/>
      <c r="JU288" s="13"/>
      <c r="JV288" s="11"/>
      <c r="JW288" s="11"/>
      <c r="JX288" s="13"/>
      <c r="JY288" s="11"/>
      <c r="JZ288" s="12"/>
      <c r="KA288" s="12"/>
      <c r="KB288" s="11"/>
      <c r="KC288" s="13"/>
      <c r="KD288" s="11"/>
      <c r="KE288" s="11"/>
      <c r="KF288" s="13"/>
      <c r="KG288" s="11"/>
      <c r="KH288" s="12"/>
      <c r="KI288" s="12"/>
      <c r="KJ288" s="11"/>
      <c r="KK288" s="13"/>
      <c r="KL288" s="11"/>
      <c r="KM288" s="11"/>
      <c r="KN288" s="13"/>
      <c r="KO288" s="11"/>
      <c r="KP288" s="12"/>
      <c r="KQ288" s="12"/>
      <c r="KR288" s="11"/>
      <c r="KS288" s="13"/>
      <c r="KT288" s="11">
        <v>3</v>
      </c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  <c r="LH288" s="11"/>
      <c r="LI288" s="13"/>
      <c r="LJ288" s="11"/>
      <c r="LK288" s="11"/>
      <c r="LL288" s="13"/>
      <c r="LM288" s="11"/>
      <c r="LN288" s="12"/>
      <c r="LO288" s="12"/>
      <c r="LP288" s="11"/>
      <c r="LQ288" s="13"/>
      <c r="LR288" s="11"/>
      <c r="LS288" s="11"/>
      <c r="LT288" s="13"/>
      <c r="LU288" s="11"/>
      <c r="LV288" s="12"/>
      <c r="LW288" s="12"/>
    </row>
    <row r="289">
      <c r="A289" s="10" t="s">
        <v>193</v>
      </c>
      <c r="B289" s="10" t="s">
        <v>111</v>
      </c>
      <c r="C289" s="10" t="s">
        <v>172</v>
      </c>
      <c r="D289" s="11">
        <v>12021</v>
      </c>
      <c r="E289" s="11">
        <f>=ROUNDDOWN(29.2481751824817,0)</f>
      </c>
      <c r="F289" s="11">
        <v>1250</v>
      </c>
      <c r="G289" s="12">
        <v>0.9732</v>
      </c>
      <c r="H289" s="11"/>
      <c r="I289" s="11">
        <f>=ROUNDDOWN({0},0)</f>
      </c>
      <c r="J289" s="11"/>
      <c r="K289" s="12"/>
      <c r="L289" s="11">
        <v>6779</v>
      </c>
      <c r="M289" s="13">
        <v>100086.93</v>
      </c>
      <c r="N289" s="11">
        <v>23</v>
      </c>
      <c r="O289" s="14">
        <v>4351.61</v>
      </c>
      <c r="P289" s="11"/>
      <c r="Q289" s="13"/>
      <c r="R289" s="11"/>
      <c r="S289" s="14"/>
      <c r="T289" s="12"/>
      <c r="U289" s="12"/>
      <c r="V289" s="12"/>
      <c r="W289" s="12"/>
      <c r="X289" s="11">
        <v>1831</v>
      </c>
      <c r="Y289" s="13">
        <v>26730.69</v>
      </c>
      <c r="Z289" s="11">
        <v>23</v>
      </c>
      <c r="AA289" s="11"/>
      <c r="AB289" s="13"/>
      <c r="AC289" s="11"/>
      <c r="AD289" s="12"/>
      <c r="AE289" s="12"/>
      <c r="AF289" s="11">
        <v>305</v>
      </c>
      <c r="AG289" s="13">
        <v>4197.18</v>
      </c>
      <c r="AH289" s="11">
        <v>23</v>
      </c>
      <c r="AI289" s="11"/>
      <c r="AJ289" s="13"/>
      <c r="AK289" s="11"/>
      <c r="AL289" s="12"/>
      <c r="AM289" s="12"/>
      <c r="AN289" s="11">
        <v>1710</v>
      </c>
      <c r="AO289" s="13">
        <v>23274.26</v>
      </c>
      <c r="AP289" s="11">
        <v>23</v>
      </c>
      <c r="AQ289" s="11"/>
      <c r="AR289" s="13"/>
      <c r="AS289" s="11"/>
      <c r="AT289" s="12"/>
      <c r="AU289" s="12"/>
      <c r="AV289" s="11">
        <v>1051</v>
      </c>
      <c r="AW289" s="13">
        <v>16867.99</v>
      </c>
      <c r="AX289" s="11">
        <v>19</v>
      </c>
      <c r="AY289" s="11"/>
      <c r="AZ289" s="13"/>
      <c r="BA289" s="11"/>
      <c r="BB289" s="12"/>
      <c r="BC289" s="12"/>
      <c r="BD289" s="11">
        <v>826</v>
      </c>
      <c r="BE289" s="13">
        <v>12904.2</v>
      </c>
      <c r="BF289" s="11">
        <v>23</v>
      </c>
      <c r="BG289" s="11"/>
      <c r="BH289" s="13"/>
      <c r="BI289" s="11"/>
      <c r="BJ289" s="12"/>
      <c r="BK289" s="12"/>
      <c r="BL289" s="11">
        <v>61</v>
      </c>
      <c r="BM289" s="13">
        <v>964.09</v>
      </c>
      <c r="BN289" s="11">
        <v>23</v>
      </c>
      <c r="BO289" s="11"/>
      <c r="BP289" s="13"/>
      <c r="BQ289" s="11"/>
      <c r="BR289" s="12"/>
      <c r="BS289" s="12"/>
      <c r="BT289" s="11">
        <v>33</v>
      </c>
      <c r="BU289" s="13">
        <v>711.11</v>
      </c>
      <c r="BV289" s="11">
        <v>23</v>
      </c>
      <c r="BW289" s="11"/>
      <c r="BX289" s="13"/>
      <c r="BY289" s="11"/>
      <c r="BZ289" s="12"/>
      <c r="CA289" s="12"/>
      <c r="CB289" s="11">
        <v>297</v>
      </c>
      <c r="CC289" s="13">
        <v>4227.63</v>
      </c>
      <c r="CD289" s="11">
        <v>23</v>
      </c>
      <c r="CE289" s="11"/>
      <c r="CF289" s="13"/>
      <c r="CG289" s="11"/>
      <c r="CH289" s="12"/>
      <c r="CI289" s="12"/>
      <c r="CJ289" s="11">
        <v>14</v>
      </c>
      <c r="CK289" s="13">
        <v>402.36</v>
      </c>
      <c r="CL289" s="11">
        <v>23</v>
      </c>
      <c r="CM289" s="11"/>
      <c r="CN289" s="13"/>
      <c r="CO289" s="11"/>
      <c r="CP289" s="12"/>
      <c r="CQ289" s="12"/>
      <c r="CR289" s="11"/>
      <c r="CS289" s="13"/>
      <c r="CT289" s="11"/>
      <c r="CU289" s="11"/>
      <c r="CV289" s="13"/>
      <c r="CW289" s="11"/>
      <c r="CX289" s="12"/>
      <c r="CY289" s="12"/>
      <c r="CZ289" s="11">
        <v>20</v>
      </c>
      <c r="DA289" s="13">
        <v>380.04</v>
      </c>
      <c r="DB289" s="11">
        <v>2</v>
      </c>
      <c r="DC289" s="11"/>
      <c r="DD289" s="13"/>
      <c r="DE289" s="11"/>
      <c r="DF289" s="12"/>
      <c r="DG289" s="12"/>
      <c r="DH289" s="11">
        <v>29</v>
      </c>
      <c r="DI289" s="13">
        <v>466.88</v>
      </c>
      <c r="DJ289" s="11">
        <v>23</v>
      </c>
      <c r="DK289" s="11"/>
      <c r="DL289" s="13"/>
      <c r="DM289" s="11"/>
      <c r="DN289" s="12"/>
      <c r="DO289" s="12"/>
      <c r="DP289" s="11">
        <v>105</v>
      </c>
      <c r="DQ289" s="13">
        <v>1765.63</v>
      </c>
      <c r="DR289" s="11">
        <v>23</v>
      </c>
      <c r="DS289" s="11"/>
      <c r="DT289" s="13"/>
      <c r="DU289" s="11"/>
      <c r="DV289" s="12"/>
      <c r="DW289" s="12"/>
      <c r="DX289" s="11"/>
      <c r="DY289" s="13"/>
      <c r="DZ289" s="11"/>
      <c r="EA289" s="11"/>
      <c r="EB289" s="13"/>
      <c r="EC289" s="11"/>
      <c r="ED289" s="12"/>
      <c r="EE289" s="12"/>
      <c r="EF289" s="11"/>
      <c r="EG289" s="13"/>
      <c r="EH289" s="11"/>
      <c r="EI289" s="11"/>
      <c r="EJ289" s="13"/>
      <c r="EK289" s="11"/>
      <c r="EL289" s="12"/>
      <c r="EM289" s="12"/>
      <c r="EN289" s="11">
        <v>6</v>
      </c>
      <c r="EO289" s="13">
        <v>236.94</v>
      </c>
      <c r="EP289" s="11">
        <v>23</v>
      </c>
      <c r="EQ289" s="11"/>
      <c r="ER289" s="13"/>
      <c r="ES289" s="11"/>
      <c r="ET289" s="12"/>
      <c r="EU289" s="12"/>
      <c r="EV289" s="11">
        <v>400</v>
      </c>
      <c r="EW289" s="13">
        <v>5402.48</v>
      </c>
      <c r="EX289" s="11">
        <v>12</v>
      </c>
      <c r="EY289" s="11"/>
      <c r="EZ289" s="13"/>
      <c r="FA289" s="11"/>
      <c r="FB289" s="12"/>
      <c r="FC289" s="12"/>
      <c r="FD289" s="11">
        <v>80</v>
      </c>
      <c r="FE289" s="13">
        <v>1393.37</v>
      </c>
      <c r="FF289" s="11">
        <v>20</v>
      </c>
      <c r="FG289" s="11"/>
      <c r="FH289" s="13"/>
      <c r="FI289" s="11"/>
      <c r="FJ289" s="12"/>
      <c r="FK289" s="12"/>
      <c r="FL289" s="11"/>
      <c r="FM289" s="13"/>
      <c r="FN289" s="11">
        <v>2</v>
      </c>
      <c r="FO289" s="11"/>
      <c r="FP289" s="13"/>
      <c r="FQ289" s="11"/>
      <c r="FR289" s="12"/>
      <c r="FS289" s="12"/>
      <c r="FT289" s="11"/>
      <c r="FU289" s="13"/>
      <c r="FV289" s="11"/>
      <c r="FW289" s="11"/>
      <c r="FX289" s="13"/>
      <c r="FY289" s="11"/>
      <c r="FZ289" s="12"/>
      <c r="GA289" s="12"/>
      <c r="GB289" s="11"/>
      <c r="GC289" s="13"/>
      <c r="GD289" s="11"/>
      <c r="GE289" s="11"/>
      <c r="GF289" s="13"/>
      <c r="GG289" s="11"/>
      <c r="GH289" s="12"/>
      <c r="GI289" s="12"/>
      <c r="GJ289" s="11"/>
      <c r="GK289" s="13"/>
      <c r="GL289" s="11"/>
      <c r="GM289" s="11"/>
      <c r="GN289" s="13"/>
      <c r="GO289" s="11"/>
      <c r="GP289" s="12"/>
      <c r="GQ289" s="12"/>
      <c r="GR289" s="11"/>
      <c r="GS289" s="13"/>
      <c r="GT289" s="11">
        <v>23</v>
      </c>
      <c r="GU289" s="11"/>
      <c r="GV289" s="13"/>
      <c r="GW289" s="11"/>
      <c r="GX289" s="12"/>
      <c r="GY289" s="12"/>
      <c r="GZ289" s="11"/>
      <c r="HA289" s="13"/>
      <c r="HB289" s="11"/>
      <c r="HC289" s="11"/>
      <c r="HD289" s="13"/>
      <c r="HE289" s="11"/>
      <c r="HF289" s="12"/>
      <c r="HG289" s="12"/>
      <c r="HH289" s="11"/>
      <c r="HI289" s="13"/>
      <c r="HJ289" s="11"/>
      <c r="HK289" s="11"/>
      <c r="HL289" s="13"/>
      <c r="HM289" s="11"/>
      <c r="HN289" s="12"/>
      <c r="HO289" s="12"/>
      <c r="HP289" s="11"/>
      <c r="HQ289" s="13"/>
      <c r="HR289" s="11"/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>
        <v>11</v>
      </c>
      <c r="IW289" s="13">
        <v>162.08</v>
      </c>
      <c r="IX289" s="11">
        <v>23</v>
      </c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/>
      <c r="JO289" s="11"/>
      <c r="JP289" s="13"/>
      <c r="JQ289" s="11"/>
      <c r="JR289" s="12"/>
      <c r="JS289" s="12"/>
      <c r="JT289" s="11"/>
      <c r="JU289" s="13"/>
      <c r="JV289" s="11"/>
      <c r="JW289" s="11"/>
      <c r="JX289" s="13"/>
      <c r="JY289" s="11"/>
      <c r="JZ289" s="12"/>
      <c r="KA289" s="12"/>
      <c r="KB289" s="11"/>
      <c r="KC289" s="13"/>
      <c r="KD289" s="11"/>
      <c r="KE289" s="11"/>
      <c r="KF289" s="13"/>
      <c r="KG289" s="11"/>
      <c r="KH289" s="12"/>
      <c r="KI289" s="12"/>
      <c r="KJ289" s="11"/>
      <c r="KK289" s="13"/>
      <c r="KL289" s="11"/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  <c r="LH289" s="11"/>
      <c r="LI289" s="13"/>
      <c r="LJ289" s="11"/>
      <c r="LK289" s="11"/>
      <c r="LL289" s="13"/>
      <c r="LM289" s="11"/>
      <c r="LN289" s="12"/>
      <c r="LO289" s="12"/>
      <c r="LP289" s="11"/>
      <c r="LQ289" s="13"/>
      <c r="LR289" s="11"/>
      <c r="LS289" s="11"/>
      <c r="LT289" s="13"/>
      <c r="LU289" s="11"/>
      <c r="LV289" s="12"/>
      <c r="LW289" s="12"/>
    </row>
    <row r="290">
      <c r="A290" s="10" t="s">
        <v>193</v>
      </c>
      <c r="B290" s="10" t="s">
        <v>111</v>
      </c>
      <c r="C290" s="10" t="s">
        <v>74</v>
      </c>
      <c r="D290" s="11">
        <v>21794</v>
      </c>
      <c r="E290" s="11">
        <f>=ROUNDDOWN(33.8153607447634,0)</f>
      </c>
      <c r="F290" s="11">
        <v>12254</v>
      </c>
      <c r="G290" s="12">
        <v>1</v>
      </c>
      <c r="H290" s="11"/>
      <c r="I290" s="11">
        <f>=ROUNDDOWN({0},0)</f>
      </c>
      <c r="J290" s="11"/>
      <c r="K290" s="12"/>
      <c r="L290" s="11">
        <v>7024</v>
      </c>
      <c r="M290" s="13">
        <v>268683.98</v>
      </c>
      <c r="N290" s="11">
        <v>62</v>
      </c>
      <c r="O290" s="14">
        <v>4333.61</v>
      </c>
      <c r="P290" s="11"/>
      <c r="Q290" s="13"/>
      <c r="R290" s="11"/>
      <c r="S290" s="14"/>
      <c r="T290" s="12"/>
      <c r="U290" s="12"/>
      <c r="V290" s="12"/>
      <c r="W290" s="12"/>
      <c r="X290" s="11">
        <v>2689</v>
      </c>
      <c r="Y290" s="13">
        <v>104810.04</v>
      </c>
      <c r="Z290" s="11">
        <v>61</v>
      </c>
      <c r="AA290" s="11"/>
      <c r="AB290" s="13"/>
      <c r="AC290" s="11"/>
      <c r="AD290" s="12"/>
      <c r="AE290" s="12"/>
      <c r="AF290" s="11">
        <v>430</v>
      </c>
      <c r="AG290" s="13">
        <v>14819.24</v>
      </c>
      <c r="AH290" s="11">
        <v>46</v>
      </c>
      <c r="AI290" s="11"/>
      <c r="AJ290" s="13"/>
      <c r="AK290" s="11"/>
      <c r="AL290" s="12"/>
      <c r="AM290" s="12"/>
      <c r="AN290" s="11">
        <v>959</v>
      </c>
      <c r="AO290" s="13">
        <v>34232.26</v>
      </c>
      <c r="AP290" s="11">
        <v>46</v>
      </c>
      <c r="AQ290" s="11"/>
      <c r="AR290" s="13"/>
      <c r="AS290" s="11"/>
      <c r="AT290" s="12"/>
      <c r="AU290" s="12"/>
      <c r="AV290" s="11">
        <v>642</v>
      </c>
      <c r="AW290" s="13">
        <v>23257.61</v>
      </c>
      <c r="AX290" s="11">
        <v>37</v>
      </c>
      <c r="AY290" s="11"/>
      <c r="AZ290" s="13"/>
      <c r="BA290" s="11"/>
      <c r="BB290" s="12"/>
      <c r="BC290" s="12"/>
      <c r="BD290" s="11">
        <v>1472</v>
      </c>
      <c r="BE290" s="13">
        <v>55688.28</v>
      </c>
      <c r="BF290" s="11">
        <v>43</v>
      </c>
      <c r="BG290" s="11"/>
      <c r="BH290" s="13"/>
      <c r="BI290" s="11"/>
      <c r="BJ290" s="12"/>
      <c r="BK290" s="12"/>
      <c r="BL290" s="11">
        <v>104</v>
      </c>
      <c r="BM290" s="13">
        <v>4163.75</v>
      </c>
      <c r="BN290" s="11">
        <v>54</v>
      </c>
      <c r="BO290" s="11"/>
      <c r="BP290" s="13"/>
      <c r="BQ290" s="11"/>
      <c r="BR290" s="12"/>
      <c r="BS290" s="12"/>
      <c r="BT290" s="11">
        <v>108</v>
      </c>
      <c r="BU290" s="13">
        <v>4463.65</v>
      </c>
      <c r="BV290" s="11">
        <v>46</v>
      </c>
      <c r="BW290" s="11"/>
      <c r="BX290" s="13"/>
      <c r="BY290" s="11"/>
      <c r="BZ290" s="12"/>
      <c r="CA290" s="12"/>
      <c r="CB290" s="11">
        <v>200</v>
      </c>
      <c r="CC290" s="13">
        <v>7377.03</v>
      </c>
      <c r="CD290" s="11">
        <v>45</v>
      </c>
      <c r="CE290" s="11"/>
      <c r="CF290" s="13"/>
      <c r="CG290" s="11"/>
      <c r="CH290" s="12"/>
      <c r="CI290" s="12"/>
      <c r="CJ290" s="11">
        <v>103</v>
      </c>
      <c r="CK290" s="13">
        <v>6194.42</v>
      </c>
      <c r="CL290" s="11">
        <v>54</v>
      </c>
      <c r="CM290" s="11"/>
      <c r="CN290" s="13"/>
      <c r="CO290" s="11"/>
      <c r="CP290" s="12"/>
      <c r="CQ290" s="12"/>
      <c r="CR290" s="11"/>
      <c r="CS290" s="13"/>
      <c r="CT290" s="11"/>
      <c r="CU290" s="11"/>
      <c r="CV290" s="13"/>
      <c r="CW290" s="11"/>
      <c r="CX290" s="12"/>
      <c r="CY290" s="12"/>
      <c r="CZ290" s="11"/>
      <c r="DA290" s="13"/>
      <c r="DB290" s="11"/>
      <c r="DC290" s="11"/>
      <c r="DD290" s="13"/>
      <c r="DE290" s="11"/>
      <c r="DF290" s="12"/>
      <c r="DG290" s="12"/>
      <c r="DH290" s="11">
        <v>77</v>
      </c>
      <c r="DI290" s="13">
        <v>2887.7</v>
      </c>
      <c r="DJ290" s="11">
        <v>13</v>
      </c>
      <c r="DK290" s="11"/>
      <c r="DL290" s="13"/>
      <c r="DM290" s="11"/>
      <c r="DN290" s="12"/>
      <c r="DO290" s="12"/>
      <c r="DP290" s="11">
        <v>50</v>
      </c>
      <c r="DQ290" s="13">
        <v>2164.74</v>
      </c>
      <c r="DR290" s="11">
        <v>46</v>
      </c>
      <c r="DS290" s="11"/>
      <c r="DT290" s="13"/>
      <c r="DU290" s="11"/>
      <c r="DV290" s="12"/>
      <c r="DW290" s="12"/>
      <c r="DX290" s="11">
        <v>42</v>
      </c>
      <c r="DY290" s="13">
        <v>1678.56</v>
      </c>
      <c r="DZ290" s="11">
        <v>45</v>
      </c>
      <c r="EA290" s="11"/>
      <c r="EB290" s="13"/>
      <c r="EC290" s="11"/>
      <c r="ED290" s="12"/>
      <c r="EE290" s="12"/>
      <c r="EF290" s="11"/>
      <c r="EG290" s="13"/>
      <c r="EH290" s="11"/>
      <c r="EI290" s="11"/>
      <c r="EJ290" s="13"/>
      <c r="EK290" s="11"/>
      <c r="EL290" s="12"/>
      <c r="EM290" s="12"/>
      <c r="EN290" s="11">
        <v>26</v>
      </c>
      <c r="EO290" s="13">
        <v>1919.36</v>
      </c>
      <c r="EP290" s="11">
        <v>54</v>
      </c>
      <c r="EQ290" s="11"/>
      <c r="ER290" s="13"/>
      <c r="ES290" s="11"/>
      <c r="ET290" s="12"/>
      <c r="EU290" s="12"/>
      <c r="EV290" s="11"/>
      <c r="EW290" s="13"/>
      <c r="EX290" s="11"/>
      <c r="EY290" s="11"/>
      <c r="EZ290" s="13"/>
      <c r="FA290" s="11"/>
      <c r="FB290" s="12"/>
      <c r="FC290" s="12"/>
      <c r="FD290" s="11">
        <v>87</v>
      </c>
      <c r="FE290" s="13">
        <v>3428.43</v>
      </c>
      <c r="FF290" s="11">
        <v>24</v>
      </c>
      <c r="FG290" s="11"/>
      <c r="FH290" s="13"/>
      <c r="FI290" s="11"/>
      <c r="FJ290" s="12"/>
      <c r="FK290" s="12"/>
      <c r="FL290" s="11"/>
      <c r="FM290" s="13"/>
      <c r="FN290" s="11"/>
      <c r="FO290" s="11"/>
      <c r="FP290" s="13"/>
      <c r="FQ290" s="11"/>
      <c r="FR290" s="12"/>
      <c r="FS290" s="12"/>
      <c r="FT290" s="11"/>
      <c r="FU290" s="13"/>
      <c r="FV290" s="11"/>
      <c r="FW290" s="11"/>
      <c r="FX290" s="13"/>
      <c r="FY290" s="11"/>
      <c r="FZ290" s="12"/>
      <c r="GA290" s="12"/>
      <c r="GB290" s="11"/>
      <c r="GC290" s="13"/>
      <c r="GD290" s="11"/>
      <c r="GE290" s="11"/>
      <c r="GF290" s="13"/>
      <c r="GG290" s="11"/>
      <c r="GH290" s="12"/>
      <c r="GI290" s="12"/>
      <c r="GJ290" s="11"/>
      <c r="GK290" s="13"/>
      <c r="GL290" s="11"/>
      <c r="GM290" s="11"/>
      <c r="GN290" s="13"/>
      <c r="GO290" s="11"/>
      <c r="GP290" s="12"/>
      <c r="GQ290" s="12"/>
      <c r="GR290" s="11">
        <v>1</v>
      </c>
      <c r="GS290" s="13">
        <v>47.18</v>
      </c>
      <c r="GT290" s="11">
        <v>30</v>
      </c>
      <c r="GU290" s="11"/>
      <c r="GV290" s="13"/>
      <c r="GW290" s="11"/>
      <c r="GX290" s="12"/>
      <c r="GY290" s="12"/>
      <c r="GZ290" s="11">
        <v>34</v>
      </c>
      <c r="HA290" s="13">
        <v>1551.73</v>
      </c>
      <c r="HB290" s="11">
        <v>28</v>
      </c>
      <c r="HC290" s="11"/>
      <c r="HD290" s="13"/>
      <c r="HE290" s="11"/>
      <c r="HF290" s="12"/>
      <c r="HG290" s="12"/>
      <c r="HH290" s="11"/>
      <c r="HI290" s="13"/>
      <c r="HJ290" s="11"/>
      <c r="HK290" s="11"/>
      <c r="HL290" s="13"/>
      <c r="HM290" s="11"/>
      <c r="HN290" s="12"/>
      <c r="HO290" s="12"/>
      <c r="HP290" s="11"/>
      <c r="HQ290" s="13"/>
      <c r="HR290" s="11"/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>
        <v>10</v>
      </c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/>
      <c r="JO290" s="11"/>
      <c r="JP290" s="13"/>
      <c r="JQ290" s="11"/>
      <c r="JR290" s="12"/>
      <c r="JS290" s="12"/>
      <c r="JT290" s="11"/>
      <c r="JU290" s="13"/>
      <c r="JV290" s="11">
        <v>30</v>
      </c>
      <c r="JW290" s="11"/>
      <c r="JX290" s="13"/>
      <c r="JY290" s="11"/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/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  <c r="LH290" s="11"/>
      <c r="LI290" s="13"/>
      <c r="LJ290" s="11"/>
      <c r="LK290" s="11"/>
      <c r="LL290" s="13"/>
      <c r="LM290" s="11"/>
      <c r="LN290" s="12"/>
      <c r="LO290" s="12"/>
      <c r="LP290" s="11"/>
      <c r="LQ290" s="13"/>
      <c r="LR290" s="11"/>
      <c r="LS290" s="11"/>
      <c r="LT290" s="13"/>
      <c r="LU290" s="11"/>
      <c r="LV290" s="12"/>
      <c r="LW290" s="12"/>
    </row>
    <row r="291">
      <c r="A291" s="10" t="s">
        <v>193</v>
      </c>
      <c r="B291" s="10" t="s">
        <v>111</v>
      </c>
      <c r="C291" s="10" t="s">
        <v>83</v>
      </c>
      <c r="D291" s="11">
        <v>1669</v>
      </c>
      <c r="E291" s="11">
        <f>=ROUNDDOWN(11.7369901547117,0)</f>
      </c>
      <c r="F291" s="11">
        <v>3300</v>
      </c>
      <c r="G291" s="12">
        <v>1</v>
      </c>
      <c r="H291" s="11"/>
      <c r="I291" s="11">
        <f>=ROUNDDOWN({0},0)</f>
      </c>
      <c r="J291" s="11"/>
      <c r="K291" s="12"/>
      <c r="L291" s="11">
        <v>1582</v>
      </c>
      <c r="M291" s="13">
        <v>54956.19</v>
      </c>
      <c r="N291" s="11">
        <v>12</v>
      </c>
      <c r="O291" s="14">
        <v>4579.68</v>
      </c>
      <c r="P291" s="11"/>
      <c r="Q291" s="13"/>
      <c r="R291" s="11"/>
      <c r="S291" s="14"/>
      <c r="T291" s="12"/>
      <c r="U291" s="12"/>
      <c r="V291" s="12"/>
      <c r="W291" s="12"/>
      <c r="X291" s="11">
        <v>48</v>
      </c>
      <c r="Y291" s="13">
        <v>1471.18</v>
      </c>
      <c r="Z291" s="11">
        <v>12</v>
      </c>
      <c r="AA291" s="11"/>
      <c r="AB291" s="13"/>
      <c r="AC291" s="11"/>
      <c r="AD291" s="12"/>
      <c r="AE291" s="12"/>
      <c r="AF291" s="11">
        <v>166</v>
      </c>
      <c r="AG291" s="13">
        <v>4944.33</v>
      </c>
      <c r="AH291" s="11">
        <v>12</v>
      </c>
      <c r="AI291" s="11"/>
      <c r="AJ291" s="13"/>
      <c r="AK291" s="11"/>
      <c r="AL291" s="12"/>
      <c r="AM291" s="12"/>
      <c r="AN291" s="11">
        <v>64</v>
      </c>
      <c r="AO291" s="13">
        <v>2308.04</v>
      </c>
      <c r="AP291" s="11">
        <v>12</v>
      </c>
      <c r="AQ291" s="11"/>
      <c r="AR291" s="13"/>
      <c r="AS291" s="11"/>
      <c r="AT291" s="12"/>
      <c r="AU291" s="12"/>
      <c r="AV291" s="11">
        <v>176</v>
      </c>
      <c r="AW291" s="13">
        <v>5508.24</v>
      </c>
      <c r="AX291" s="11">
        <v>6</v>
      </c>
      <c r="AY291" s="11"/>
      <c r="AZ291" s="13"/>
      <c r="BA291" s="11"/>
      <c r="BB291" s="12"/>
      <c r="BC291" s="12"/>
      <c r="BD291" s="11">
        <v>961</v>
      </c>
      <c r="BE291" s="13">
        <v>35105</v>
      </c>
      <c r="BF291" s="11">
        <v>12</v>
      </c>
      <c r="BG291" s="11"/>
      <c r="BH291" s="13"/>
      <c r="BI291" s="11"/>
      <c r="BJ291" s="12"/>
      <c r="BK291" s="12"/>
      <c r="BL291" s="11">
        <v>19</v>
      </c>
      <c r="BM291" s="13">
        <v>669.16</v>
      </c>
      <c r="BN291" s="11">
        <v>12</v>
      </c>
      <c r="BO291" s="11"/>
      <c r="BP291" s="13"/>
      <c r="BQ291" s="11"/>
      <c r="BR291" s="12"/>
      <c r="BS291" s="12"/>
      <c r="BT291" s="11">
        <v>5</v>
      </c>
      <c r="BU291" s="13">
        <v>167.54</v>
      </c>
      <c r="BV291" s="11">
        <v>12</v>
      </c>
      <c r="BW291" s="11"/>
      <c r="BX291" s="13"/>
      <c r="BY291" s="11"/>
      <c r="BZ291" s="12"/>
      <c r="CA291" s="12"/>
      <c r="CB291" s="11">
        <v>91</v>
      </c>
      <c r="CC291" s="13">
        <v>2836.94</v>
      </c>
      <c r="CD291" s="11">
        <v>12</v>
      </c>
      <c r="CE291" s="11"/>
      <c r="CF291" s="13"/>
      <c r="CG291" s="11"/>
      <c r="CH291" s="12"/>
      <c r="CI291" s="12"/>
      <c r="CJ291" s="11">
        <v>4</v>
      </c>
      <c r="CK291" s="13">
        <v>289.96</v>
      </c>
      <c r="CL291" s="11">
        <v>12</v>
      </c>
      <c r="CM291" s="11"/>
      <c r="CN291" s="13"/>
      <c r="CO291" s="11"/>
      <c r="CP291" s="12"/>
      <c r="CQ291" s="12"/>
      <c r="CR291" s="11"/>
      <c r="CS291" s="13"/>
      <c r="CT291" s="11"/>
      <c r="CU291" s="11"/>
      <c r="CV291" s="13"/>
      <c r="CW291" s="11"/>
      <c r="CX291" s="12"/>
      <c r="CY291" s="12"/>
      <c r="CZ291" s="11"/>
      <c r="DA291" s="13"/>
      <c r="DB291" s="11"/>
      <c r="DC291" s="11"/>
      <c r="DD291" s="13"/>
      <c r="DE291" s="11"/>
      <c r="DF291" s="12"/>
      <c r="DG291" s="12"/>
      <c r="DH291" s="11">
        <v>22</v>
      </c>
      <c r="DI291" s="13">
        <v>761.12</v>
      </c>
      <c r="DJ291" s="11">
        <v>9</v>
      </c>
      <c r="DK291" s="11"/>
      <c r="DL291" s="13"/>
      <c r="DM291" s="11"/>
      <c r="DN291" s="12"/>
      <c r="DO291" s="12"/>
      <c r="DP291" s="11">
        <v>14</v>
      </c>
      <c r="DQ291" s="13">
        <v>485.75</v>
      </c>
      <c r="DR291" s="11">
        <v>12</v>
      </c>
      <c r="DS291" s="11"/>
      <c r="DT291" s="13"/>
      <c r="DU291" s="11"/>
      <c r="DV291" s="12"/>
      <c r="DW291" s="12"/>
      <c r="DX291" s="11">
        <v>12</v>
      </c>
      <c r="DY291" s="13">
        <v>408.93</v>
      </c>
      <c r="DZ291" s="11">
        <v>12</v>
      </c>
      <c r="EA291" s="11"/>
      <c r="EB291" s="13"/>
      <c r="EC291" s="11"/>
      <c r="ED291" s="12"/>
      <c r="EE291" s="12"/>
      <c r="EF291" s="11"/>
      <c r="EG291" s="13"/>
      <c r="EH291" s="11"/>
      <c r="EI291" s="11"/>
      <c r="EJ291" s="13"/>
      <c r="EK291" s="11"/>
      <c r="EL291" s="12"/>
      <c r="EM291" s="12"/>
      <c r="EN291" s="11"/>
      <c r="EO291" s="13"/>
      <c r="EP291" s="11">
        <v>12</v>
      </c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>
        <v>4</v>
      </c>
      <c r="GU291" s="11"/>
      <c r="GV291" s="13"/>
      <c r="GW291" s="11"/>
      <c r="GX291" s="12"/>
      <c r="GY291" s="12"/>
      <c r="GZ291" s="11"/>
      <c r="HA291" s="13"/>
      <c r="HB291" s="11"/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/>
      <c r="HQ291" s="13"/>
      <c r="HR291" s="11"/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/>
      <c r="JO291" s="11"/>
      <c r="JP291" s="13"/>
      <c r="JQ291" s="11"/>
      <c r="JR291" s="12"/>
      <c r="JS291" s="12"/>
      <c r="JT291" s="11"/>
      <c r="JU291" s="13"/>
      <c r="JV291" s="11"/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  <c r="LH291" s="11"/>
      <c r="LI291" s="13"/>
      <c r="LJ291" s="11"/>
      <c r="LK291" s="11"/>
      <c r="LL291" s="13"/>
      <c r="LM291" s="11"/>
      <c r="LN291" s="12"/>
      <c r="LO291" s="12"/>
      <c r="LP291" s="11"/>
      <c r="LQ291" s="13"/>
      <c r="LR291" s="11"/>
      <c r="LS291" s="11"/>
      <c r="LT291" s="13"/>
      <c r="LU291" s="11"/>
      <c r="LV291" s="12"/>
      <c r="LW291" s="12"/>
    </row>
    <row r="292">
      <c r="A292" s="10" t="s">
        <v>193</v>
      </c>
      <c r="B292" s="10" t="s">
        <v>111</v>
      </c>
      <c r="C292" s="10" t="s">
        <v>115</v>
      </c>
      <c r="D292" s="11">
        <v>167</v>
      </c>
      <c r="E292" s="11">
        <f>=ROUNDDOWN(1.7234262125903,0)</f>
      </c>
      <c r="F292" s="11"/>
      <c r="G292" s="12"/>
      <c r="H292" s="11"/>
      <c r="I292" s="11">
        <f>=ROUNDDOWN({0},0)</f>
      </c>
      <c r="J292" s="11"/>
      <c r="K292" s="12"/>
      <c r="L292" s="11">
        <v>1263</v>
      </c>
      <c r="M292" s="13">
        <v>12872.93</v>
      </c>
      <c r="N292" s="11">
        <v>6</v>
      </c>
      <c r="O292" s="14">
        <v>2145.49</v>
      </c>
      <c r="P292" s="11"/>
      <c r="Q292" s="13"/>
      <c r="R292" s="11"/>
      <c r="S292" s="14"/>
      <c r="T292" s="12"/>
      <c r="U292" s="12"/>
      <c r="V292" s="12"/>
      <c r="W292" s="12"/>
      <c r="X292" s="11">
        <v>198</v>
      </c>
      <c r="Y292" s="13">
        <v>1423.84</v>
      </c>
      <c r="Z292" s="11">
        <v>3</v>
      </c>
      <c r="AA292" s="11"/>
      <c r="AB292" s="13"/>
      <c r="AC292" s="11"/>
      <c r="AD292" s="12"/>
      <c r="AE292" s="12"/>
      <c r="AF292" s="11">
        <v>89</v>
      </c>
      <c r="AG292" s="13">
        <v>717.73</v>
      </c>
      <c r="AH292" s="11">
        <v>6</v>
      </c>
      <c r="AI292" s="11"/>
      <c r="AJ292" s="13"/>
      <c r="AK292" s="11"/>
      <c r="AL292" s="12"/>
      <c r="AM292" s="12"/>
      <c r="AN292" s="11">
        <v>267</v>
      </c>
      <c r="AO292" s="13">
        <v>3129.6</v>
      </c>
      <c r="AP292" s="11">
        <v>6</v>
      </c>
      <c r="AQ292" s="11"/>
      <c r="AR292" s="13"/>
      <c r="AS292" s="11"/>
      <c r="AT292" s="12"/>
      <c r="AU292" s="12"/>
      <c r="AV292" s="11">
        <v>219</v>
      </c>
      <c r="AW292" s="13">
        <v>2613.89</v>
      </c>
      <c r="AX292" s="11">
        <v>6</v>
      </c>
      <c r="AY292" s="11"/>
      <c r="AZ292" s="13"/>
      <c r="BA292" s="11"/>
      <c r="BB292" s="12"/>
      <c r="BC292" s="12"/>
      <c r="BD292" s="11">
        <v>59</v>
      </c>
      <c r="BE292" s="13">
        <v>547.44</v>
      </c>
      <c r="BF292" s="11">
        <v>6</v>
      </c>
      <c r="BG292" s="11"/>
      <c r="BH292" s="13"/>
      <c r="BI292" s="11"/>
      <c r="BJ292" s="12"/>
      <c r="BK292" s="12"/>
      <c r="BL292" s="11">
        <v>10</v>
      </c>
      <c r="BM292" s="13">
        <v>122.08</v>
      </c>
      <c r="BN292" s="11">
        <v>6</v>
      </c>
      <c r="BO292" s="11"/>
      <c r="BP292" s="13"/>
      <c r="BQ292" s="11"/>
      <c r="BR292" s="12"/>
      <c r="BS292" s="12"/>
      <c r="BT292" s="11">
        <v>46</v>
      </c>
      <c r="BU292" s="13">
        <v>662.45</v>
      </c>
      <c r="BV292" s="11">
        <v>6</v>
      </c>
      <c r="BW292" s="11"/>
      <c r="BX292" s="13"/>
      <c r="BY292" s="11"/>
      <c r="BZ292" s="12"/>
      <c r="CA292" s="12"/>
      <c r="CB292" s="11">
        <v>235</v>
      </c>
      <c r="CC292" s="13">
        <v>1982.7</v>
      </c>
      <c r="CD292" s="11">
        <v>6</v>
      </c>
      <c r="CE292" s="11"/>
      <c r="CF292" s="13"/>
      <c r="CG292" s="11"/>
      <c r="CH292" s="12"/>
      <c r="CI292" s="12"/>
      <c r="CJ292" s="11">
        <v>14</v>
      </c>
      <c r="CK292" s="13">
        <v>279.86</v>
      </c>
      <c r="CL292" s="11">
        <v>6</v>
      </c>
      <c r="CM292" s="11"/>
      <c r="CN292" s="13"/>
      <c r="CO292" s="11"/>
      <c r="CP292" s="12"/>
      <c r="CQ292" s="12"/>
      <c r="CR292" s="11"/>
      <c r="CS292" s="13"/>
      <c r="CT292" s="11"/>
      <c r="CU292" s="11"/>
      <c r="CV292" s="13"/>
      <c r="CW292" s="11"/>
      <c r="CX292" s="12"/>
      <c r="CY292" s="12"/>
      <c r="CZ292" s="11"/>
      <c r="DA292" s="13"/>
      <c r="DB292" s="11"/>
      <c r="DC292" s="11"/>
      <c r="DD292" s="13"/>
      <c r="DE292" s="11"/>
      <c r="DF292" s="12"/>
      <c r="DG292" s="12"/>
      <c r="DH292" s="11">
        <v>76</v>
      </c>
      <c r="DI292" s="13">
        <v>762.74</v>
      </c>
      <c r="DJ292" s="11">
        <v>6</v>
      </c>
      <c r="DK292" s="11"/>
      <c r="DL292" s="13"/>
      <c r="DM292" s="11"/>
      <c r="DN292" s="12"/>
      <c r="DO292" s="12"/>
      <c r="DP292" s="11">
        <v>21</v>
      </c>
      <c r="DQ292" s="13">
        <v>270.36</v>
      </c>
      <c r="DR292" s="11">
        <v>6</v>
      </c>
      <c r="DS292" s="11"/>
      <c r="DT292" s="13"/>
      <c r="DU292" s="11"/>
      <c r="DV292" s="12"/>
      <c r="DW292" s="12"/>
      <c r="DX292" s="11"/>
      <c r="DY292" s="13"/>
      <c r="DZ292" s="11"/>
      <c r="EA292" s="11"/>
      <c r="EB292" s="13"/>
      <c r="EC292" s="11"/>
      <c r="ED292" s="12"/>
      <c r="EE292" s="12"/>
      <c r="EF292" s="11"/>
      <c r="EG292" s="13"/>
      <c r="EH292" s="11"/>
      <c r="EI292" s="11"/>
      <c r="EJ292" s="13"/>
      <c r="EK292" s="11"/>
      <c r="EL292" s="12"/>
      <c r="EM292" s="12"/>
      <c r="EN292" s="11">
        <v>7</v>
      </c>
      <c r="EO292" s="13">
        <v>88.54</v>
      </c>
      <c r="EP292" s="11">
        <v>6</v>
      </c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>
        <v>18</v>
      </c>
      <c r="FE292" s="13">
        <v>222.96</v>
      </c>
      <c r="FF292" s="11">
        <v>6</v>
      </c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/>
      <c r="GM292" s="11"/>
      <c r="GN292" s="13"/>
      <c r="GO292" s="11"/>
      <c r="GP292" s="12"/>
      <c r="GQ292" s="12"/>
      <c r="GR292" s="11"/>
      <c r="GS292" s="13"/>
      <c r="GT292" s="11">
        <v>6</v>
      </c>
      <c r="GU292" s="11"/>
      <c r="GV292" s="13"/>
      <c r="GW292" s="11"/>
      <c r="GX292" s="12"/>
      <c r="GY292" s="12"/>
      <c r="GZ292" s="11"/>
      <c r="HA292" s="13"/>
      <c r="HB292" s="11"/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>
        <v>4</v>
      </c>
      <c r="IW292" s="13">
        <v>48.74</v>
      </c>
      <c r="IX292" s="11">
        <v>6</v>
      </c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/>
      <c r="JP292" s="13"/>
      <c r="JQ292" s="11"/>
      <c r="JR292" s="12"/>
      <c r="JS292" s="12"/>
      <c r="JT292" s="11"/>
      <c r="JU292" s="13"/>
      <c r="JV292" s="11"/>
      <c r="JW292" s="11"/>
      <c r="JX292" s="13"/>
      <c r="JY292" s="11"/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/>
      <c r="KM292" s="11"/>
      <c r="KN292" s="13"/>
      <c r="KO292" s="11"/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/>
      <c r="LC292" s="11"/>
      <c r="LD292" s="13"/>
      <c r="LE292" s="11"/>
      <c r="LF292" s="12"/>
      <c r="LG292" s="12"/>
      <c r="LH292" s="11"/>
      <c r="LI292" s="13"/>
      <c r="LJ292" s="11"/>
      <c r="LK292" s="11"/>
      <c r="LL292" s="13"/>
      <c r="LM292" s="11"/>
      <c r="LN292" s="12"/>
      <c r="LO292" s="12"/>
      <c r="LP292" s="11"/>
      <c r="LQ292" s="13"/>
      <c r="LR292" s="11"/>
      <c r="LS292" s="11"/>
      <c r="LT292" s="13"/>
      <c r="LU292" s="11"/>
      <c r="LV292" s="12"/>
      <c r="LW292" s="12"/>
    </row>
    <row r="293">
      <c r="A293" s="10" t="s">
        <v>193</v>
      </c>
      <c r="B293" s="10" t="s">
        <v>112</v>
      </c>
      <c r="C293" s="10" t="s">
        <v>77</v>
      </c>
      <c r="D293" s="11">
        <v>35651</v>
      </c>
      <c r="E293" s="11">
        <f>=ROUNDDOWN({0},0)</f>
      </c>
      <c r="F293" s="11">
        <v>16804</v>
      </c>
      <c r="G293" s="12"/>
      <c r="H293" s="11"/>
      <c r="I293" s="11">
        <f>=ROUNDDOWN({0},0)</f>
      </c>
      <c r="J293" s="11"/>
      <c r="K293" s="12"/>
      <c r="L293" s="11">
        <v>16648</v>
      </c>
      <c r="M293" s="13">
        <v>436600.03</v>
      </c>
      <c r="N293" s="11">
        <v>103</v>
      </c>
      <c r="O293" s="14">
        <v>4238.84</v>
      </c>
      <c r="P293" s="11"/>
      <c r="Q293" s="13"/>
      <c r="R293" s="11"/>
      <c r="S293" s="14"/>
      <c r="T293" s="12"/>
      <c r="U293" s="12"/>
      <c r="V293" s="12"/>
      <c r="W293" s="12"/>
      <c r="X293" s="11">
        <v>4766</v>
      </c>
      <c r="Y293" s="13">
        <v>134435.75</v>
      </c>
      <c r="Z293" s="11">
        <v>99</v>
      </c>
      <c r="AA293" s="11"/>
      <c r="AB293" s="13"/>
      <c r="AC293" s="11"/>
      <c r="AD293" s="12"/>
      <c r="AE293" s="12"/>
      <c r="AF293" s="11">
        <v>990</v>
      </c>
      <c r="AG293" s="13">
        <v>24678.48</v>
      </c>
      <c r="AH293" s="11">
        <v>87</v>
      </c>
      <c r="AI293" s="11"/>
      <c r="AJ293" s="13"/>
      <c r="AK293" s="11"/>
      <c r="AL293" s="12"/>
      <c r="AM293" s="12"/>
      <c r="AN293" s="11">
        <v>3000</v>
      </c>
      <c r="AO293" s="13">
        <v>62944.16</v>
      </c>
      <c r="AP293" s="11">
        <v>87</v>
      </c>
      <c r="AQ293" s="11"/>
      <c r="AR293" s="13"/>
      <c r="AS293" s="11"/>
      <c r="AT293" s="12"/>
      <c r="AU293" s="12"/>
      <c r="AV293" s="11">
        <v>2088</v>
      </c>
      <c r="AW293" s="13">
        <v>48247.73</v>
      </c>
      <c r="AX293" s="11">
        <v>68</v>
      </c>
      <c r="AY293" s="11"/>
      <c r="AZ293" s="13"/>
      <c r="BA293" s="11"/>
      <c r="BB293" s="12"/>
      <c r="BC293" s="12"/>
      <c r="BD293" s="11">
        <v>3318</v>
      </c>
      <c r="BE293" s="13">
        <v>104244.92</v>
      </c>
      <c r="BF293" s="11">
        <v>84</v>
      </c>
      <c r="BG293" s="11"/>
      <c r="BH293" s="13"/>
      <c r="BI293" s="11"/>
      <c r="BJ293" s="12"/>
      <c r="BK293" s="12"/>
      <c r="BL293" s="11">
        <v>194</v>
      </c>
      <c r="BM293" s="13">
        <v>5919.08</v>
      </c>
      <c r="BN293" s="11">
        <v>95</v>
      </c>
      <c r="BO293" s="11"/>
      <c r="BP293" s="13"/>
      <c r="BQ293" s="11"/>
      <c r="BR293" s="12"/>
      <c r="BS293" s="12"/>
      <c r="BT293" s="11">
        <v>192</v>
      </c>
      <c r="BU293" s="13">
        <v>6004.75</v>
      </c>
      <c r="BV293" s="11">
        <v>87</v>
      </c>
      <c r="BW293" s="11"/>
      <c r="BX293" s="13"/>
      <c r="BY293" s="11"/>
      <c r="BZ293" s="12"/>
      <c r="CA293" s="12"/>
      <c r="CB293" s="11">
        <v>823</v>
      </c>
      <c r="CC293" s="13">
        <v>16424.3</v>
      </c>
      <c r="CD293" s="11">
        <v>86</v>
      </c>
      <c r="CE293" s="11"/>
      <c r="CF293" s="13"/>
      <c r="CG293" s="11"/>
      <c r="CH293" s="12"/>
      <c r="CI293" s="12"/>
      <c r="CJ293" s="11">
        <v>135</v>
      </c>
      <c r="CK293" s="13">
        <v>7166.6</v>
      </c>
      <c r="CL293" s="11">
        <v>95</v>
      </c>
      <c r="CM293" s="11"/>
      <c r="CN293" s="13"/>
      <c r="CO293" s="11"/>
      <c r="CP293" s="12"/>
      <c r="CQ293" s="12"/>
      <c r="CR293" s="11"/>
      <c r="CS293" s="13"/>
      <c r="CT293" s="11"/>
      <c r="CU293" s="11"/>
      <c r="CV293" s="13"/>
      <c r="CW293" s="11"/>
      <c r="CX293" s="12"/>
      <c r="CY293" s="12"/>
      <c r="CZ293" s="11">
        <v>20</v>
      </c>
      <c r="DA293" s="13">
        <v>380.04</v>
      </c>
      <c r="DB293" s="11">
        <v>2</v>
      </c>
      <c r="DC293" s="11"/>
      <c r="DD293" s="13"/>
      <c r="DE293" s="11"/>
      <c r="DF293" s="12"/>
      <c r="DG293" s="12"/>
      <c r="DH293" s="11">
        <v>204</v>
      </c>
      <c r="DI293" s="13">
        <v>4878.44</v>
      </c>
      <c r="DJ293" s="11">
        <v>51</v>
      </c>
      <c r="DK293" s="11"/>
      <c r="DL293" s="13"/>
      <c r="DM293" s="11"/>
      <c r="DN293" s="12"/>
      <c r="DO293" s="12"/>
      <c r="DP293" s="11">
        <v>190</v>
      </c>
      <c r="DQ293" s="13">
        <v>4686.48</v>
      </c>
      <c r="DR293" s="11">
        <v>87</v>
      </c>
      <c r="DS293" s="11"/>
      <c r="DT293" s="13"/>
      <c r="DU293" s="11"/>
      <c r="DV293" s="12"/>
      <c r="DW293" s="12"/>
      <c r="DX293" s="11">
        <v>54</v>
      </c>
      <c r="DY293" s="13">
        <v>2087.49</v>
      </c>
      <c r="DZ293" s="11">
        <v>57</v>
      </c>
      <c r="EA293" s="11"/>
      <c r="EB293" s="13"/>
      <c r="EC293" s="11"/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>
        <v>39</v>
      </c>
      <c r="EO293" s="13">
        <v>2244.84</v>
      </c>
      <c r="EP293" s="11">
        <v>95</v>
      </c>
      <c r="EQ293" s="11"/>
      <c r="ER293" s="13"/>
      <c r="ES293" s="11"/>
      <c r="ET293" s="12"/>
      <c r="EU293" s="12"/>
      <c r="EV293" s="11">
        <v>400</v>
      </c>
      <c r="EW293" s="13">
        <v>5402.48</v>
      </c>
      <c r="EX293" s="11">
        <v>12</v>
      </c>
      <c r="EY293" s="11"/>
      <c r="EZ293" s="13"/>
      <c r="FA293" s="11"/>
      <c r="FB293" s="12"/>
      <c r="FC293" s="12"/>
      <c r="FD293" s="11">
        <v>185</v>
      </c>
      <c r="FE293" s="13">
        <v>5044.76</v>
      </c>
      <c r="FF293" s="11">
        <v>50</v>
      </c>
      <c r="FG293" s="11"/>
      <c r="FH293" s="13"/>
      <c r="FI293" s="11"/>
      <c r="FJ293" s="12"/>
      <c r="FK293" s="12"/>
      <c r="FL293" s="11"/>
      <c r="FM293" s="13"/>
      <c r="FN293" s="11">
        <v>2</v>
      </c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/>
      <c r="GM293" s="11"/>
      <c r="GN293" s="13"/>
      <c r="GO293" s="11"/>
      <c r="GP293" s="12"/>
      <c r="GQ293" s="12"/>
      <c r="GR293" s="11">
        <v>1</v>
      </c>
      <c r="GS293" s="13">
        <v>47.18</v>
      </c>
      <c r="GT293" s="11">
        <v>63</v>
      </c>
      <c r="GU293" s="11"/>
      <c r="GV293" s="13"/>
      <c r="GW293" s="11"/>
      <c r="GX293" s="12"/>
      <c r="GY293" s="12"/>
      <c r="GZ293" s="11">
        <v>34</v>
      </c>
      <c r="HA293" s="13">
        <v>1551.73</v>
      </c>
      <c r="HB293" s="11">
        <v>28</v>
      </c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>
        <v>15</v>
      </c>
      <c r="IW293" s="13">
        <v>210.82</v>
      </c>
      <c r="IX293" s="11">
        <v>39</v>
      </c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/>
      <c r="JO293" s="11"/>
      <c r="JP293" s="13"/>
      <c r="JQ293" s="11"/>
      <c r="JR293" s="12"/>
      <c r="JS293" s="12"/>
      <c r="JT293" s="11"/>
      <c r="JU293" s="13"/>
      <c r="JV293" s="11">
        <v>30</v>
      </c>
      <c r="JW293" s="11"/>
      <c r="JX293" s="13"/>
      <c r="JY293" s="11"/>
      <c r="JZ293" s="12"/>
      <c r="KA293" s="12"/>
      <c r="KB293" s="11"/>
      <c r="KC293" s="13"/>
      <c r="KD293" s="11"/>
      <c r="KE293" s="11"/>
      <c r="KF293" s="13"/>
      <c r="KG293" s="11"/>
      <c r="KH293" s="12"/>
      <c r="KI293" s="12"/>
      <c r="KJ293" s="11"/>
      <c r="KK293" s="13"/>
      <c r="KL293" s="11"/>
      <c r="KM293" s="11"/>
      <c r="KN293" s="13"/>
      <c r="KO293" s="11"/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  <c r="LH293" s="11"/>
      <c r="LI293" s="13"/>
      <c r="LJ293" s="11"/>
      <c r="LK293" s="11"/>
      <c r="LL293" s="13"/>
      <c r="LM293" s="11"/>
      <c r="LN293" s="12"/>
      <c r="LO293" s="12"/>
      <c r="LP293" s="11"/>
      <c r="LQ293" s="13"/>
      <c r="LR293" s="11"/>
      <c r="LS293" s="11"/>
      <c r="LT293" s="13"/>
      <c r="LU293" s="11"/>
      <c r="LV293" s="12"/>
      <c r="LW293" s="12"/>
    </row>
    <row r="294">
      <c r="A294" s="10" t="s">
        <v>193</v>
      </c>
      <c r="B294" s="10" t="s">
        <v>113</v>
      </c>
      <c r="C294" s="10" t="s">
        <v>172</v>
      </c>
      <c r="D294" s="11">
        <v>61447</v>
      </c>
      <c r="E294" s="11">
        <f>=ROUNDDOWN(31.1234361545864,0)</f>
      </c>
      <c r="F294" s="11">
        <v>21167</v>
      </c>
      <c r="G294" s="12">
        <v>0.9769</v>
      </c>
      <c r="H294" s="11"/>
      <c r="I294" s="11">
        <f>=ROUNDDOWN({0},0)</f>
      </c>
      <c r="J294" s="11"/>
      <c r="K294" s="12"/>
      <c r="L294" s="11">
        <v>27254</v>
      </c>
      <c r="M294" s="13">
        <v>767882.23</v>
      </c>
      <c r="N294" s="11">
        <v>89</v>
      </c>
      <c r="O294" s="14">
        <v>8627.89</v>
      </c>
      <c r="P294" s="11"/>
      <c r="Q294" s="13"/>
      <c r="R294" s="11"/>
      <c r="S294" s="14"/>
      <c r="T294" s="12"/>
      <c r="U294" s="12"/>
      <c r="V294" s="12"/>
      <c r="W294" s="12"/>
      <c r="X294" s="11">
        <v>9819</v>
      </c>
      <c r="Y294" s="13">
        <v>302518.6</v>
      </c>
      <c r="Z294" s="11">
        <v>89</v>
      </c>
      <c r="AA294" s="11"/>
      <c r="AB294" s="13"/>
      <c r="AC294" s="11"/>
      <c r="AD294" s="12"/>
      <c r="AE294" s="12"/>
      <c r="AF294" s="11">
        <v>1824</v>
      </c>
      <c r="AG294" s="13">
        <v>45861.56</v>
      </c>
      <c r="AH294" s="11">
        <v>89</v>
      </c>
      <c r="AI294" s="11"/>
      <c r="AJ294" s="13"/>
      <c r="AK294" s="11"/>
      <c r="AL294" s="12"/>
      <c r="AM294" s="12"/>
      <c r="AN294" s="11">
        <v>5723</v>
      </c>
      <c r="AO294" s="13">
        <v>130646.85</v>
      </c>
      <c r="AP294" s="11">
        <v>89</v>
      </c>
      <c r="AQ294" s="11"/>
      <c r="AR294" s="13"/>
      <c r="AS294" s="11"/>
      <c r="AT294" s="12"/>
      <c r="AU294" s="12"/>
      <c r="AV294" s="11">
        <v>2755</v>
      </c>
      <c r="AW294" s="13">
        <v>72823.55</v>
      </c>
      <c r="AX294" s="11">
        <v>59</v>
      </c>
      <c r="AY294" s="11"/>
      <c r="AZ294" s="13"/>
      <c r="BA294" s="11"/>
      <c r="BB294" s="12"/>
      <c r="BC294" s="12"/>
      <c r="BD294" s="11">
        <v>3482</v>
      </c>
      <c r="BE294" s="13">
        <v>108956.46</v>
      </c>
      <c r="BF294" s="11">
        <v>89</v>
      </c>
      <c r="BG294" s="11"/>
      <c r="BH294" s="13"/>
      <c r="BI294" s="11"/>
      <c r="BJ294" s="12"/>
      <c r="BK294" s="12"/>
      <c r="BL294" s="11">
        <v>682</v>
      </c>
      <c r="BM294" s="13">
        <v>23747.7</v>
      </c>
      <c r="BN294" s="11">
        <v>89</v>
      </c>
      <c r="BO294" s="11"/>
      <c r="BP294" s="13"/>
      <c r="BQ294" s="11"/>
      <c r="BR294" s="12"/>
      <c r="BS294" s="12"/>
      <c r="BT294" s="11">
        <v>366</v>
      </c>
      <c r="BU294" s="13">
        <v>12260.44</v>
      </c>
      <c r="BV294" s="11">
        <v>89</v>
      </c>
      <c r="BW294" s="11"/>
      <c r="BX294" s="13"/>
      <c r="BY294" s="11"/>
      <c r="BZ294" s="12"/>
      <c r="CA294" s="12"/>
      <c r="CB294" s="11">
        <v>1593</v>
      </c>
      <c r="CC294" s="13">
        <v>46921.74</v>
      </c>
      <c r="CD294" s="11">
        <v>89</v>
      </c>
      <c r="CE294" s="11"/>
      <c r="CF294" s="13"/>
      <c r="CG294" s="11"/>
      <c r="CH294" s="12"/>
      <c r="CI294" s="12"/>
      <c r="CJ294" s="11">
        <v>5</v>
      </c>
      <c r="CK294" s="13">
        <v>171.95</v>
      </c>
      <c r="CL294" s="11">
        <v>89</v>
      </c>
      <c r="CM294" s="11"/>
      <c r="CN294" s="13"/>
      <c r="CO294" s="11"/>
      <c r="CP294" s="12"/>
      <c r="CQ294" s="12"/>
      <c r="CR294" s="11"/>
      <c r="CS294" s="13"/>
      <c r="CT294" s="11"/>
      <c r="CU294" s="11"/>
      <c r="CV294" s="13"/>
      <c r="CW294" s="11"/>
      <c r="CX294" s="12"/>
      <c r="CY294" s="12"/>
      <c r="CZ294" s="11">
        <v>27</v>
      </c>
      <c r="DA294" s="13">
        <v>811.23</v>
      </c>
      <c r="DB294" s="11">
        <v>8</v>
      </c>
      <c r="DC294" s="11"/>
      <c r="DD294" s="13"/>
      <c r="DE294" s="11"/>
      <c r="DF294" s="12"/>
      <c r="DG294" s="12"/>
      <c r="DH294" s="11">
        <v>34</v>
      </c>
      <c r="DI294" s="13">
        <v>1086.4</v>
      </c>
      <c r="DJ294" s="11">
        <v>68</v>
      </c>
      <c r="DK294" s="11"/>
      <c r="DL294" s="13"/>
      <c r="DM294" s="11"/>
      <c r="DN294" s="12"/>
      <c r="DO294" s="12"/>
      <c r="DP294" s="11">
        <v>210</v>
      </c>
      <c r="DQ294" s="13">
        <v>6720.66</v>
      </c>
      <c r="DR294" s="11">
        <v>68</v>
      </c>
      <c r="DS294" s="11"/>
      <c r="DT294" s="13"/>
      <c r="DU294" s="11"/>
      <c r="DV294" s="12"/>
      <c r="DW294" s="12"/>
      <c r="DX294" s="11">
        <v>34</v>
      </c>
      <c r="DY294" s="13">
        <v>861.78</v>
      </c>
      <c r="DZ294" s="11">
        <v>26</v>
      </c>
      <c r="EA294" s="11"/>
      <c r="EB294" s="13"/>
      <c r="EC294" s="11"/>
      <c r="ED294" s="12"/>
      <c r="EE294" s="12"/>
      <c r="EF294" s="11"/>
      <c r="EG294" s="13"/>
      <c r="EH294" s="11"/>
      <c r="EI294" s="11"/>
      <c r="EJ294" s="13"/>
      <c r="EK294" s="11"/>
      <c r="EL294" s="12"/>
      <c r="EM294" s="12"/>
      <c r="EN294" s="11">
        <v>7</v>
      </c>
      <c r="EO294" s="13">
        <v>504.93</v>
      </c>
      <c r="EP294" s="11">
        <v>89</v>
      </c>
      <c r="EQ294" s="11"/>
      <c r="ER294" s="13"/>
      <c r="ES294" s="11"/>
      <c r="ET294" s="12"/>
      <c r="EU294" s="12"/>
      <c r="EV294" s="11">
        <v>540</v>
      </c>
      <c r="EW294" s="13">
        <v>8994.24</v>
      </c>
      <c r="EX294" s="11">
        <v>42</v>
      </c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>
        <v>50</v>
      </c>
      <c r="FM294" s="13">
        <v>1841.86</v>
      </c>
      <c r="FN294" s="11">
        <v>29</v>
      </c>
      <c r="FO294" s="11"/>
      <c r="FP294" s="13"/>
      <c r="FQ294" s="11"/>
      <c r="FR294" s="12"/>
      <c r="FS294" s="12"/>
      <c r="FT294" s="11"/>
      <c r="FU294" s="13"/>
      <c r="FV294" s="11"/>
      <c r="FW294" s="11"/>
      <c r="FX294" s="13"/>
      <c r="FY294" s="11"/>
      <c r="FZ294" s="12"/>
      <c r="GA294" s="12"/>
      <c r="GB294" s="11"/>
      <c r="GC294" s="13"/>
      <c r="GD294" s="11"/>
      <c r="GE294" s="11"/>
      <c r="GF294" s="13"/>
      <c r="GG294" s="11"/>
      <c r="GH294" s="12"/>
      <c r="GI294" s="12"/>
      <c r="GJ294" s="11"/>
      <c r="GK294" s="13"/>
      <c r="GL294" s="11"/>
      <c r="GM294" s="11"/>
      <c r="GN294" s="13"/>
      <c r="GO294" s="11"/>
      <c r="GP294" s="12"/>
      <c r="GQ294" s="12"/>
      <c r="GR294" s="11">
        <v>10</v>
      </c>
      <c r="GS294" s="13">
        <v>380.76</v>
      </c>
      <c r="GT294" s="11">
        <v>68</v>
      </c>
      <c r="GU294" s="11"/>
      <c r="GV294" s="13"/>
      <c r="GW294" s="11"/>
      <c r="GX294" s="12"/>
      <c r="GY294" s="12"/>
      <c r="GZ294" s="11">
        <v>54</v>
      </c>
      <c r="HA294" s="13">
        <v>1712.03</v>
      </c>
      <c r="HB294" s="11">
        <v>56</v>
      </c>
      <c r="HC294" s="11"/>
      <c r="HD294" s="13"/>
      <c r="HE294" s="11"/>
      <c r="HF294" s="12"/>
      <c r="HG294" s="12"/>
      <c r="HH294" s="11">
        <v>19</v>
      </c>
      <c r="HI294" s="13">
        <v>458.83</v>
      </c>
      <c r="HJ294" s="11"/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>
        <v>12</v>
      </c>
      <c r="HY294" s="13">
        <v>391.02</v>
      </c>
      <c r="HZ294" s="11">
        <v>38</v>
      </c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>
        <v>8</v>
      </c>
      <c r="IW294" s="13">
        <v>209.64</v>
      </c>
      <c r="IX294" s="11">
        <v>68</v>
      </c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/>
      <c r="JO294" s="11"/>
      <c r="JP294" s="13"/>
      <c r="JQ294" s="11"/>
      <c r="JR294" s="12"/>
      <c r="JS294" s="12"/>
      <c r="JT294" s="11"/>
      <c r="JU294" s="13"/>
      <c r="JV294" s="11"/>
      <c r="JW294" s="11"/>
      <c r="JX294" s="13"/>
      <c r="JY294" s="11"/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/>
      <c r="KM294" s="11"/>
      <c r="KN294" s="13"/>
      <c r="KO294" s="11"/>
      <c r="KP294" s="12"/>
      <c r="KQ294" s="12"/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  <c r="LH294" s="11"/>
      <c r="LI294" s="13"/>
      <c r="LJ294" s="11"/>
      <c r="LK294" s="11"/>
      <c r="LL294" s="13"/>
      <c r="LM294" s="11"/>
      <c r="LN294" s="12"/>
      <c r="LO294" s="12"/>
      <c r="LP294" s="11"/>
      <c r="LQ294" s="13"/>
      <c r="LR294" s="11"/>
      <c r="LS294" s="11"/>
      <c r="LT294" s="13"/>
      <c r="LU294" s="11"/>
      <c r="LV294" s="12"/>
      <c r="LW294" s="12"/>
    </row>
    <row r="295">
      <c r="A295" s="10" t="s">
        <v>193</v>
      </c>
      <c r="B295" s="10" t="s">
        <v>113</v>
      </c>
      <c r="C295" s="10" t="s">
        <v>74</v>
      </c>
      <c r="D295" s="11">
        <v>42907</v>
      </c>
      <c r="E295" s="11">
        <f>=ROUNDDOWN(43.5029909763764,0)</f>
      </c>
      <c r="F295" s="11">
        <v>13993</v>
      </c>
      <c r="G295" s="12">
        <v>0.9879</v>
      </c>
      <c r="H295" s="11"/>
      <c r="I295" s="11">
        <f>=ROUNDDOWN({0},0)</f>
      </c>
      <c r="J295" s="11"/>
      <c r="K295" s="12"/>
      <c r="L295" s="11">
        <v>9881</v>
      </c>
      <c r="M295" s="13">
        <v>469774.73</v>
      </c>
      <c r="N295" s="11">
        <v>87</v>
      </c>
      <c r="O295" s="14">
        <v>5399.71</v>
      </c>
      <c r="P295" s="11"/>
      <c r="Q295" s="13"/>
      <c r="R295" s="11"/>
      <c r="S295" s="14"/>
      <c r="T295" s="12"/>
      <c r="U295" s="12"/>
      <c r="V295" s="12"/>
      <c r="W295" s="12"/>
      <c r="X295" s="11">
        <v>2007</v>
      </c>
      <c r="Y295" s="13">
        <v>97812.68</v>
      </c>
      <c r="Z295" s="11">
        <v>76</v>
      </c>
      <c r="AA295" s="11"/>
      <c r="AB295" s="13"/>
      <c r="AC295" s="11"/>
      <c r="AD295" s="12"/>
      <c r="AE295" s="12"/>
      <c r="AF295" s="11">
        <v>967</v>
      </c>
      <c r="AG295" s="13">
        <v>41547.95</v>
      </c>
      <c r="AH295" s="11">
        <v>87</v>
      </c>
      <c r="AI295" s="11"/>
      <c r="AJ295" s="13"/>
      <c r="AK295" s="11"/>
      <c r="AL295" s="12"/>
      <c r="AM295" s="12"/>
      <c r="AN295" s="11">
        <v>1186</v>
      </c>
      <c r="AO295" s="13">
        <v>53430.65</v>
      </c>
      <c r="AP295" s="11">
        <v>87</v>
      </c>
      <c r="AQ295" s="11"/>
      <c r="AR295" s="13"/>
      <c r="AS295" s="11"/>
      <c r="AT295" s="12"/>
      <c r="AU295" s="12"/>
      <c r="AV295" s="11">
        <v>976</v>
      </c>
      <c r="AW295" s="13">
        <v>42833.31</v>
      </c>
      <c r="AX295" s="11">
        <v>58</v>
      </c>
      <c r="AY295" s="11"/>
      <c r="AZ295" s="13"/>
      <c r="BA295" s="11"/>
      <c r="BB295" s="12"/>
      <c r="BC295" s="12"/>
      <c r="BD295" s="11">
        <v>2846</v>
      </c>
      <c r="BE295" s="13">
        <v>142989.42</v>
      </c>
      <c r="BF295" s="11">
        <v>85</v>
      </c>
      <c r="BG295" s="11"/>
      <c r="BH295" s="13"/>
      <c r="BI295" s="11"/>
      <c r="BJ295" s="12"/>
      <c r="BK295" s="12"/>
      <c r="BL295" s="11">
        <v>317</v>
      </c>
      <c r="BM295" s="13">
        <v>16737.36</v>
      </c>
      <c r="BN295" s="11">
        <v>87</v>
      </c>
      <c r="BO295" s="11"/>
      <c r="BP295" s="13"/>
      <c r="BQ295" s="11"/>
      <c r="BR295" s="12"/>
      <c r="BS295" s="12"/>
      <c r="BT295" s="11">
        <v>674</v>
      </c>
      <c r="BU295" s="13">
        <v>28735.3</v>
      </c>
      <c r="BV295" s="11">
        <v>87</v>
      </c>
      <c r="BW295" s="11"/>
      <c r="BX295" s="13"/>
      <c r="BY295" s="11"/>
      <c r="BZ295" s="12"/>
      <c r="CA295" s="12"/>
      <c r="CB295" s="11">
        <v>179</v>
      </c>
      <c r="CC295" s="13">
        <v>9277.27</v>
      </c>
      <c r="CD295" s="11">
        <v>60</v>
      </c>
      <c r="CE295" s="11"/>
      <c r="CF295" s="13"/>
      <c r="CG295" s="11"/>
      <c r="CH295" s="12"/>
      <c r="CI295" s="12"/>
      <c r="CJ295" s="11">
        <v>186</v>
      </c>
      <c r="CK295" s="13">
        <v>11144.84</v>
      </c>
      <c r="CL295" s="11">
        <v>87</v>
      </c>
      <c r="CM295" s="11"/>
      <c r="CN295" s="13"/>
      <c r="CO295" s="11"/>
      <c r="CP295" s="12"/>
      <c r="CQ295" s="12"/>
      <c r="CR295" s="11"/>
      <c r="CS295" s="13"/>
      <c r="CT295" s="11"/>
      <c r="CU295" s="11"/>
      <c r="CV295" s="13"/>
      <c r="CW295" s="11"/>
      <c r="CX295" s="12"/>
      <c r="CY295" s="12"/>
      <c r="CZ295" s="11"/>
      <c r="DA295" s="13"/>
      <c r="DB295" s="11"/>
      <c r="DC295" s="11"/>
      <c r="DD295" s="13"/>
      <c r="DE295" s="11"/>
      <c r="DF295" s="12"/>
      <c r="DG295" s="12"/>
      <c r="DH295" s="11">
        <v>163</v>
      </c>
      <c r="DI295" s="13">
        <v>7477.06</v>
      </c>
      <c r="DJ295" s="11">
        <v>54</v>
      </c>
      <c r="DK295" s="11"/>
      <c r="DL295" s="13"/>
      <c r="DM295" s="11"/>
      <c r="DN295" s="12"/>
      <c r="DO295" s="12"/>
      <c r="DP295" s="11">
        <v>115</v>
      </c>
      <c r="DQ295" s="13">
        <v>5291.39</v>
      </c>
      <c r="DR295" s="11">
        <v>80</v>
      </c>
      <c r="DS295" s="11"/>
      <c r="DT295" s="13"/>
      <c r="DU295" s="11"/>
      <c r="DV295" s="12"/>
      <c r="DW295" s="12"/>
      <c r="DX295" s="11">
        <v>15</v>
      </c>
      <c r="DY295" s="13">
        <v>805.31</v>
      </c>
      <c r="DZ295" s="11">
        <v>52</v>
      </c>
      <c r="EA295" s="11"/>
      <c r="EB295" s="13"/>
      <c r="EC295" s="11"/>
      <c r="ED295" s="12"/>
      <c r="EE295" s="12"/>
      <c r="EF295" s="11"/>
      <c r="EG295" s="13"/>
      <c r="EH295" s="11"/>
      <c r="EI295" s="11"/>
      <c r="EJ295" s="13"/>
      <c r="EK295" s="11"/>
      <c r="EL295" s="12"/>
      <c r="EM295" s="12"/>
      <c r="EN295" s="11">
        <v>6</v>
      </c>
      <c r="EO295" s="13">
        <v>544.81</v>
      </c>
      <c r="EP295" s="11">
        <v>87</v>
      </c>
      <c r="EQ295" s="11"/>
      <c r="ER295" s="13"/>
      <c r="ES295" s="11"/>
      <c r="ET295" s="12"/>
      <c r="EU295" s="12"/>
      <c r="EV295" s="11">
        <v>44</v>
      </c>
      <c r="EW295" s="13">
        <v>2013.13</v>
      </c>
      <c r="EX295" s="11">
        <v>17</v>
      </c>
      <c r="EY295" s="11"/>
      <c r="EZ295" s="13"/>
      <c r="FA295" s="11"/>
      <c r="FB295" s="12"/>
      <c r="FC295" s="12"/>
      <c r="FD295" s="11">
        <v>175</v>
      </c>
      <c r="FE295" s="13">
        <v>7850.14</v>
      </c>
      <c r="FF295" s="11">
        <v>24</v>
      </c>
      <c r="FG295" s="11"/>
      <c r="FH295" s="13"/>
      <c r="FI295" s="11"/>
      <c r="FJ295" s="12"/>
      <c r="FK295" s="12"/>
      <c r="FL295" s="11">
        <v>10</v>
      </c>
      <c r="FM295" s="13">
        <v>392.63</v>
      </c>
      <c r="FN295" s="11">
        <v>4</v>
      </c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/>
      <c r="GE295" s="11"/>
      <c r="GF295" s="13"/>
      <c r="GG295" s="11"/>
      <c r="GH295" s="12"/>
      <c r="GI295" s="12"/>
      <c r="GJ295" s="11"/>
      <c r="GK295" s="13"/>
      <c r="GL295" s="11"/>
      <c r="GM295" s="11"/>
      <c r="GN295" s="13"/>
      <c r="GO295" s="11"/>
      <c r="GP295" s="12"/>
      <c r="GQ295" s="12"/>
      <c r="GR295" s="11">
        <v>1</v>
      </c>
      <c r="GS295" s="13">
        <v>62.6</v>
      </c>
      <c r="GT295" s="11">
        <v>73</v>
      </c>
      <c r="GU295" s="11"/>
      <c r="GV295" s="13"/>
      <c r="GW295" s="11"/>
      <c r="GX295" s="12"/>
      <c r="GY295" s="12"/>
      <c r="GZ295" s="11">
        <v>8</v>
      </c>
      <c r="HA295" s="13">
        <v>468.6</v>
      </c>
      <c r="HB295" s="11">
        <v>4</v>
      </c>
      <c r="HC295" s="11"/>
      <c r="HD295" s="13"/>
      <c r="HE295" s="11"/>
      <c r="HF295" s="12"/>
      <c r="HG295" s="12"/>
      <c r="HH295" s="11">
        <v>5</v>
      </c>
      <c r="HI295" s="13">
        <v>313.4</v>
      </c>
      <c r="HJ295" s="11"/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>
        <v>1</v>
      </c>
      <c r="IW295" s="13">
        <v>46.88</v>
      </c>
      <c r="IX295" s="11">
        <v>54</v>
      </c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/>
      <c r="KM295" s="11"/>
      <c r="KN295" s="13"/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/>
      <c r="LC295" s="11"/>
      <c r="LD295" s="13"/>
      <c r="LE295" s="11"/>
      <c r="LF295" s="12"/>
      <c r="LG295" s="12"/>
      <c r="LH295" s="11"/>
      <c r="LI295" s="13"/>
      <c r="LJ295" s="11"/>
      <c r="LK295" s="11"/>
      <c r="LL295" s="13"/>
      <c r="LM295" s="11"/>
      <c r="LN295" s="12"/>
      <c r="LO295" s="12"/>
      <c r="LP295" s="11"/>
      <c r="LQ295" s="13"/>
      <c r="LR295" s="11"/>
      <c r="LS295" s="11"/>
      <c r="LT295" s="13"/>
      <c r="LU295" s="11"/>
      <c r="LV295" s="12"/>
      <c r="LW295" s="12"/>
    </row>
    <row r="296">
      <c r="A296" s="10" t="s">
        <v>193</v>
      </c>
      <c r="B296" s="10" t="s">
        <v>113</v>
      </c>
      <c r="C296" s="10" t="s">
        <v>75</v>
      </c>
      <c r="D296" s="11"/>
      <c r="E296" s="11">
        <f>=ROUNDDOWN({0},0)</f>
      </c>
      <c r="F296" s="11"/>
      <c r="G296" s="12"/>
      <c r="H296" s="11"/>
      <c r="I296" s="11">
        <f>=ROUNDDOWN({0},0)</f>
      </c>
      <c r="J296" s="11"/>
      <c r="K296" s="12"/>
      <c r="L296" s="11">
        <v>61</v>
      </c>
      <c r="M296" s="13">
        <v>2406.57</v>
      </c>
      <c r="N296" s="11">
        <v>1</v>
      </c>
      <c r="O296" s="14">
        <v>2406.57</v>
      </c>
      <c r="P296" s="11"/>
      <c r="Q296" s="13"/>
      <c r="R296" s="11"/>
      <c r="S296" s="14"/>
      <c r="T296" s="12"/>
      <c r="U296" s="12"/>
      <c r="V296" s="12"/>
      <c r="W296" s="12"/>
      <c r="X296" s="11">
        <v>4</v>
      </c>
      <c r="Y296" s="13">
        <v>147.8</v>
      </c>
      <c r="Z296" s="11">
        <v>1</v>
      </c>
      <c r="AA296" s="11"/>
      <c r="AB296" s="13"/>
      <c r="AC296" s="11"/>
      <c r="AD296" s="12"/>
      <c r="AE296" s="12"/>
      <c r="AF296" s="11">
        <v>4</v>
      </c>
      <c r="AG296" s="13">
        <v>134.96</v>
      </c>
      <c r="AH296" s="11">
        <v>1</v>
      </c>
      <c r="AI296" s="11"/>
      <c r="AJ296" s="13"/>
      <c r="AK296" s="11"/>
      <c r="AL296" s="12"/>
      <c r="AM296" s="12"/>
      <c r="AN296" s="11">
        <v>15</v>
      </c>
      <c r="AO296" s="13">
        <v>424.05</v>
      </c>
      <c r="AP296" s="11">
        <v>1</v>
      </c>
      <c r="AQ296" s="11"/>
      <c r="AR296" s="13"/>
      <c r="AS296" s="11"/>
      <c r="AT296" s="12"/>
      <c r="AU296" s="12"/>
      <c r="AV296" s="11">
        <v>9</v>
      </c>
      <c r="AW296" s="13">
        <v>455.4</v>
      </c>
      <c r="AX296" s="11">
        <v>1</v>
      </c>
      <c r="AY296" s="11"/>
      <c r="AZ296" s="13"/>
      <c r="BA296" s="11"/>
      <c r="BB296" s="12"/>
      <c r="BC296" s="12"/>
      <c r="BD296" s="11">
        <v>8</v>
      </c>
      <c r="BE296" s="13">
        <v>198.32</v>
      </c>
      <c r="BF296" s="11">
        <v>1</v>
      </c>
      <c r="BG296" s="11"/>
      <c r="BH296" s="13"/>
      <c r="BI296" s="11"/>
      <c r="BJ296" s="12"/>
      <c r="BK296" s="12"/>
      <c r="BL296" s="11">
        <v>1</v>
      </c>
      <c r="BM296" s="13">
        <v>41.64</v>
      </c>
      <c r="BN296" s="11">
        <v>1</v>
      </c>
      <c r="BO296" s="11"/>
      <c r="BP296" s="13"/>
      <c r="BQ296" s="11"/>
      <c r="BR296" s="12"/>
      <c r="BS296" s="12"/>
      <c r="BT296" s="11">
        <v>2</v>
      </c>
      <c r="BU296" s="13">
        <v>93.6</v>
      </c>
      <c r="BV296" s="11">
        <v>1</v>
      </c>
      <c r="BW296" s="11"/>
      <c r="BX296" s="13"/>
      <c r="BY296" s="11"/>
      <c r="BZ296" s="12"/>
      <c r="CA296" s="12"/>
      <c r="CB296" s="11">
        <v>18</v>
      </c>
      <c r="CC296" s="13">
        <v>910.8</v>
      </c>
      <c r="CD296" s="11">
        <v>1</v>
      </c>
      <c r="CE296" s="11"/>
      <c r="CF296" s="13"/>
      <c r="CG296" s="11"/>
      <c r="CH296" s="12"/>
      <c r="CI296" s="12"/>
      <c r="CJ296" s="11"/>
      <c r="CK296" s="13"/>
      <c r="CL296" s="11"/>
      <c r="CM296" s="11"/>
      <c r="CN296" s="13"/>
      <c r="CO296" s="11"/>
      <c r="CP296" s="12"/>
      <c r="CQ296" s="12"/>
      <c r="CR296" s="11"/>
      <c r="CS296" s="13"/>
      <c r="CT296" s="11"/>
      <c r="CU296" s="11"/>
      <c r="CV296" s="13"/>
      <c r="CW296" s="11"/>
      <c r="CX296" s="12"/>
      <c r="CY296" s="12"/>
      <c r="CZ296" s="11"/>
      <c r="DA296" s="13"/>
      <c r="DB296" s="11"/>
      <c r="DC296" s="11"/>
      <c r="DD296" s="13"/>
      <c r="DE296" s="11"/>
      <c r="DF296" s="12"/>
      <c r="DG296" s="12"/>
      <c r="DH296" s="11"/>
      <c r="DI296" s="13"/>
      <c r="DJ296" s="11"/>
      <c r="DK296" s="11"/>
      <c r="DL296" s="13"/>
      <c r="DM296" s="11"/>
      <c r="DN296" s="12"/>
      <c r="DO296" s="12"/>
      <c r="DP296" s="11"/>
      <c r="DQ296" s="13"/>
      <c r="DR296" s="11"/>
      <c r="DS296" s="11"/>
      <c r="DT296" s="13"/>
      <c r="DU296" s="11"/>
      <c r="DV296" s="12"/>
      <c r="DW296" s="12"/>
      <c r="DX296" s="11"/>
      <c r="DY296" s="13"/>
      <c r="DZ296" s="11"/>
      <c r="EA296" s="11"/>
      <c r="EB296" s="13"/>
      <c r="EC296" s="11"/>
      <c r="ED296" s="12"/>
      <c r="EE296" s="12"/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>
        <v>1</v>
      </c>
      <c r="EQ296" s="11"/>
      <c r="ER296" s="13"/>
      <c r="ES296" s="11"/>
      <c r="ET296" s="12"/>
      <c r="EU296" s="12"/>
      <c r="EV296" s="11"/>
      <c r="EW296" s="13"/>
      <c r="EX296" s="11"/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/>
      <c r="FM296" s="13"/>
      <c r="FN296" s="11"/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/>
      <c r="GK296" s="13"/>
      <c r="GL296" s="11"/>
      <c r="GM296" s="11"/>
      <c r="GN296" s="13"/>
      <c r="GO296" s="11"/>
      <c r="GP296" s="12"/>
      <c r="GQ296" s="12"/>
      <c r="GR296" s="11"/>
      <c r="GS296" s="13"/>
      <c r="GT296" s="11"/>
      <c r="GU296" s="11"/>
      <c r="GV296" s="13"/>
      <c r="GW296" s="11"/>
      <c r="GX296" s="12"/>
      <c r="GY296" s="12"/>
      <c r="GZ296" s="11"/>
      <c r="HA296" s="13"/>
      <c r="HB296" s="11"/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/>
      <c r="JP296" s="13"/>
      <c r="JQ296" s="11"/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/>
      <c r="KN296" s="13"/>
      <c r="KO296" s="11"/>
      <c r="KP296" s="12"/>
      <c r="KQ296" s="12"/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  <c r="LH296" s="11"/>
      <c r="LI296" s="13"/>
      <c r="LJ296" s="11"/>
      <c r="LK296" s="11"/>
      <c r="LL296" s="13"/>
      <c r="LM296" s="11"/>
      <c r="LN296" s="12"/>
      <c r="LO296" s="12"/>
      <c r="LP296" s="11"/>
      <c r="LQ296" s="13"/>
      <c r="LR296" s="11"/>
      <c r="LS296" s="11"/>
      <c r="LT296" s="13"/>
      <c r="LU296" s="11"/>
      <c r="LV296" s="12"/>
      <c r="LW296" s="12"/>
    </row>
    <row r="297">
      <c r="A297" s="10" t="s">
        <v>193</v>
      </c>
      <c r="B297" s="10" t="s">
        <v>113</v>
      </c>
      <c r="C297" s="10" t="s">
        <v>83</v>
      </c>
      <c r="D297" s="11">
        <v>1529</v>
      </c>
      <c r="E297" s="11">
        <f>=ROUNDDOWN(171.797752808989,0)</f>
      </c>
      <c r="F297" s="11"/>
      <c r="G297" s="12">
        <v>1</v>
      </c>
      <c r="H297" s="11"/>
      <c r="I297" s="11">
        <f>=ROUNDDOWN({0},0)</f>
      </c>
      <c r="J297" s="11"/>
      <c r="K297" s="12"/>
      <c r="L297" s="11">
        <v>122</v>
      </c>
      <c r="M297" s="13">
        <v>5116.17</v>
      </c>
      <c r="N297" s="11">
        <v>4</v>
      </c>
      <c r="O297" s="14">
        <v>1279.04</v>
      </c>
      <c r="P297" s="11"/>
      <c r="Q297" s="13"/>
      <c r="R297" s="11"/>
      <c r="S297" s="14"/>
      <c r="T297" s="12"/>
      <c r="U297" s="12"/>
      <c r="V297" s="12"/>
      <c r="W297" s="12"/>
      <c r="X297" s="11"/>
      <c r="Y297" s="13"/>
      <c r="Z297" s="11"/>
      <c r="AA297" s="11"/>
      <c r="AB297" s="13"/>
      <c r="AC297" s="11"/>
      <c r="AD297" s="12"/>
      <c r="AE297" s="12"/>
      <c r="AF297" s="11">
        <v>4</v>
      </c>
      <c r="AG297" s="13">
        <v>157.23</v>
      </c>
      <c r="AH297" s="11">
        <v>4</v>
      </c>
      <c r="AI297" s="11"/>
      <c r="AJ297" s="13"/>
      <c r="AK297" s="11"/>
      <c r="AL297" s="12"/>
      <c r="AM297" s="12"/>
      <c r="AN297" s="11">
        <v>18</v>
      </c>
      <c r="AO297" s="13">
        <v>744.15</v>
      </c>
      <c r="AP297" s="11">
        <v>4</v>
      </c>
      <c r="AQ297" s="11"/>
      <c r="AR297" s="13"/>
      <c r="AS297" s="11"/>
      <c r="AT297" s="12"/>
      <c r="AU297" s="12"/>
      <c r="AV297" s="11">
        <v>23</v>
      </c>
      <c r="AW297" s="13">
        <v>1014.59</v>
      </c>
      <c r="AX297" s="11">
        <v>4</v>
      </c>
      <c r="AY297" s="11"/>
      <c r="AZ297" s="13"/>
      <c r="BA297" s="11"/>
      <c r="BB297" s="12"/>
      <c r="BC297" s="12"/>
      <c r="BD297" s="11">
        <v>61</v>
      </c>
      <c r="BE297" s="13">
        <v>2530.73</v>
      </c>
      <c r="BF297" s="11">
        <v>4</v>
      </c>
      <c r="BG297" s="11"/>
      <c r="BH297" s="13"/>
      <c r="BI297" s="11"/>
      <c r="BJ297" s="12"/>
      <c r="BK297" s="12"/>
      <c r="BL297" s="11">
        <v>4</v>
      </c>
      <c r="BM297" s="13">
        <v>185.31</v>
      </c>
      <c r="BN297" s="11">
        <v>4</v>
      </c>
      <c r="BO297" s="11"/>
      <c r="BP297" s="13"/>
      <c r="BQ297" s="11"/>
      <c r="BR297" s="12"/>
      <c r="BS297" s="12"/>
      <c r="BT297" s="11"/>
      <c r="BU297" s="13"/>
      <c r="BV297" s="11">
        <v>4</v>
      </c>
      <c r="BW297" s="11"/>
      <c r="BX297" s="13"/>
      <c r="BY297" s="11"/>
      <c r="BZ297" s="12"/>
      <c r="CA297" s="12"/>
      <c r="CB297" s="11">
        <v>7</v>
      </c>
      <c r="CC297" s="13">
        <v>272.46</v>
      </c>
      <c r="CD297" s="11">
        <v>4</v>
      </c>
      <c r="CE297" s="11"/>
      <c r="CF297" s="13"/>
      <c r="CG297" s="11"/>
      <c r="CH297" s="12"/>
      <c r="CI297" s="12"/>
      <c r="CJ297" s="11"/>
      <c r="CK297" s="13"/>
      <c r="CL297" s="11">
        <v>4</v>
      </c>
      <c r="CM297" s="11"/>
      <c r="CN297" s="13"/>
      <c r="CO297" s="11"/>
      <c r="CP297" s="12"/>
      <c r="CQ297" s="12"/>
      <c r="CR297" s="11"/>
      <c r="CS297" s="13"/>
      <c r="CT297" s="11"/>
      <c r="CU297" s="11"/>
      <c r="CV297" s="13"/>
      <c r="CW297" s="11"/>
      <c r="CX297" s="12"/>
      <c r="CY297" s="12"/>
      <c r="CZ297" s="11"/>
      <c r="DA297" s="13"/>
      <c r="DB297" s="11"/>
      <c r="DC297" s="11"/>
      <c r="DD297" s="13"/>
      <c r="DE297" s="11"/>
      <c r="DF297" s="12"/>
      <c r="DG297" s="12"/>
      <c r="DH297" s="11"/>
      <c r="DI297" s="13"/>
      <c r="DJ297" s="11"/>
      <c r="DK297" s="11"/>
      <c r="DL297" s="13"/>
      <c r="DM297" s="11"/>
      <c r="DN297" s="12"/>
      <c r="DO297" s="12"/>
      <c r="DP297" s="11"/>
      <c r="DQ297" s="13"/>
      <c r="DR297" s="11">
        <v>4</v>
      </c>
      <c r="DS297" s="11"/>
      <c r="DT297" s="13"/>
      <c r="DU297" s="11"/>
      <c r="DV297" s="12"/>
      <c r="DW297" s="12"/>
      <c r="DX297" s="11"/>
      <c r="DY297" s="13"/>
      <c r="DZ297" s="11">
        <v>4</v>
      </c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>
        <v>4</v>
      </c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>
        <v>5</v>
      </c>
      <c r="FM297" s="13">
        <v>211.7</v>
      </c>
      <c r="FN297" s="11">
        <v>4</v>
      </c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/>
      <c r="GP297" s="12"/>
      <c r="GQ297" s="12"/>
      <c r="GR297" s="11"/>
      <c r="GS297" s="13"/>
      <c r="GT297" s="11">
        <v>4</v>
      </c>
      <c r="GU297" s="11"/>
      <c r="GV297" s="13"/>
      <c r="GW297" s="11"/>
      <c r="GX297" s="12"/>
      <c r="GY297" s="12"/>
      <c r="GZ297" s="11"/>
      <c r="HA297" s="13"/>
      <c r="HB297" s="11"/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/>
      <c r="JP297" s="13"/>
      <c r="JQ297" s="11"/>
      <c r="JR297" s="12"/>
      <c r="JS297" s="12"/>
      <c r="JT297" s="11"/>
      <c r="JU297" s="13"/>
      <c r="JV297" s="11"/>
      <c r="JW297" s="11"/>
      <c r="JX297" s="13"/>
      <c r="JY297" s="11"/>
      <c r="JZ297" s="12"/>
      <c r="KA297" s="12"/>
      <c r="KB297" s="11"/>
      <c r="KC297" s="13"/>
      <c r="KD297" s="11"/>
      <c r="KE297" s="11"/>
      <c r="KF297" s="13"/>
      <c r="KG297" s="11"/>
      <c r="KH297" s="12"/>
      <c r="KI297" s="12"/>
      <c r="KJ297" s="11"/>
      <c r="KK297" s="13"/>
      <c r="KL297" s="11"/>
      <c r="KM297" s="11"/>
      <c r="KN297" s="13"/>
      <c r="KO297" s="11"/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  <c r="LH297" s="11"/>
      <c r="LI297" s="13"/>
      <c r="LJ297" s="11"/>
      <c r="LK297" s="11"/>
      <c r="LL297" s="13"/>
      <c r="LM297" s="11"/>
      <c r="LN297" s="12"/>
      <c r="LO297" s="12"/>
      <c r="LP297" s="11"/>
      <c r="LQ297" s="13"/>
      <c r="LR297" s="11"/>
      <c r="LS297" s="11"/>
      <c r="LT297" s="13"/>
      <c r="LU297" s="11"/>
      <c r="LV297" s="12"/>
      <c r="LW297" s="12"/>
    </row>
    <row r="298">
      <c r="A298" s="10" t="s">
        <v>193</v>
      </c>
      <c r="B298" s="10" t="s">
        <v>113</v>
      </c>
      <c r="C298" s="10" t="s">
        <v>93</v>
      </c>
      <c r="D298" s="11">
        <v>8363</v>
      </c>
      <c r="E298" s="11">
        <f>=ROUNDDOWN(26.6337579617834,0)</f>
      </c>
      <c r="F298" s="11">
        <v>8880</v>
      </c>
      <c r="G298" s="12">
        <v>1</v>
      </c>
      <c r="H298" s="11"/>
      <c r="I298" s="11">
        <f>=ROUNDDOWN({0},0)</f>
      </c>
      <c r="J298" s="11"/>
      <c r="K298" s="12"/>
      <c r="L298" s="11">
        <v>4675</v>
      </c>
      <c r="M298" s="13">
        <v>70837.94</v>
      </c>
      <c r="N298" s="11">
        <v>17</v>
      </c>
      <c r="O298" s="14">
        <v>4166.94</v>
      </c>
      <c r="P298" s="11"/>
      <c r="Q298" s="13"/>
      <c r="R298" s="11"/>
      <c r="S298" s="14"/>
      <c r="T298" s="12"/>
      <c r="U298" s="12"/>
      <c r="V298" s="12"/>
      <c r="W298" s="12"/>
      <c r="X298" s="11">
        <v>366</v>
      </c>
      <c r="Y298" s="13">
        <v>5002.07</v>
      </c>
      <c r="Z298" s="11">
        <v>7</v>
      </c>
      <c r="AA298" s="11"/>
      <c r="AB298" s="13"/>
      <c r="AC298" s="11"/>
      <c r="AD298" s="12"/>
      <c r="AE298" s="12"/>
      <c r="AF298" s="11">
        <v>186</v>
      </c>
      <c r="AG298" s="13">
        <v>2422.41</v>
      </c>
      <c r="AH298" s="11">
        <v>17</v>
      </c>
      <c r="AI298" s="11"/>
      <c r="AJ298" s="13"/>
      <c r="AK298" s="11"/>
      <c r="AL298" s="12"/>
      <c r="AM298" s="12"/>
      <c r="AN298" s="11">
        <v>446</v>
      </c>
      <c r="AO298" s="13">
        <v>6438.12</v>
      </c>
      <c r="AP298" s="11">
        <v>17</v>
      </c>
      <c r="AQ298" s="11"/>
      <c r="AR298" s="13"/>
      <c r="AS298" s="11"/>
      <c r="AT298" s="12"/>
      <c r="AU298" s="12"/>
      <c r="AV298" s="11">
        <v>409</v>
      </c>
      <c r="AW298" s="13">
        <v>6158.96</v>
      </c>
      <c r="AX298" s="11">
        <v>11</v>
      </c>
      <c r="AY298" s="11"/>
      <c r="AZ298" s="13"/>
      <c r="BA298" s="11"/>
      <c r="BB298" s="12"/>
      <c r="BC298" s="12"/>
      <c r="BD298" s="11">
        <v>2599</v>
      </c>
      <c r="BE298" s="13">
        <v>39422.05</v>
      </c>
      <c r="BF298" s="11">
        <v>17</v>
      </c>
      <c r="BG298" s="11"/>
      <c r="BH298" s="13"/>
      <c r="BI298" s="11"/>
      <c r="BJ298" s="12"/>
      <c r="BK298" s="12"/>
      <c r="BL298" s="11">
        <v>43</v>
      </c>
      <c r="BM298" s="13">
        <v>732.47</v>
      </c>
      <c r="BN298" s="11">
        <v>17</v>
      </c>
      <c r="BO298" s="11"/>
      <c r="BP298" s="13"/>
      <c r="BQ298" s="11"/>
      <c r="BR298" s="12"/>
      <c r="BS298" s="12"/>
      <c r="BT298" s="11">
        <v>208</v>
      </c>
      <c r="BU298" s="13">
        <v>3755.6</v>
      </c>
      <c r="BV298" s="11">
        <v>17</v>
      </c>
      <c r="BW298" s="11"/>
      <c r="BX298" s="13"/>
      <c r="BY298" s="11"/>
      <c r="BZ298" s="12"/>
      <c r="CA298" s="12"/>
      <c r="CB298" s="11">
        <v>205</v>
      </c>
      <c r="CC298" s="13">
        <v>3390.05</v>
      </c>
      <c r="CD298" s="11">
        <v>17</v>
      </c>
      <c r="CE298" s="11"/>
      <c r="CF298" s="13"/>
      <c r="CG298" s="11"/>
      <c r="CH298" s="12"/>
      <c r="CI298" s="12"/>
      <c r="CJ298" s="11">
        <v>5</v>
      </c>
      <c r="CK298" s="13">
        <v>157.75</v>
      </c>
      <c r="CL298" s="11">
        <v>16</v>
      </c>
      <c r="CM298" s="11"/>
      <c r="CN298" s="13"/>
      <c r="CO298" s="11"/>
      <c r="CP298" s="12"/>
      <c r="CQ298" s="12"/>
      <c r="CR298" s="11"/>
      <c r="CS298" s="13"/>
      <c r="CT298" s="11"/>
      <c r="CU298" s="11"/>
      <c r="CV298" s="13"/>
      <c r="CW298" s="11"/>
      <c r="CX298" s="12"/>
      <c r="CY298" s="12"/>
      <c r="CZ298" s="11">
        <v>83</v>
      </c>
      <c r="DA298" s="13">
        <v>1357.05</v>
      </c>
      <c r="DB298" s="11">
        <v>4</v>
      </c>
      <c r="DC298" s="11"/>
      <c r="DD298" s="13"/>
      <c r="DE298" s="11"/>
      <c r="DF298" s="12"/>
      <c r="DG298" s="12"/>
      <c r="DH298" s="11">
        <v>57</v>
      </c>
      <c r="DI298" s="13">
        <v>888.45</v>
      </c>
      <c r="DJ298" s="11">
        <v>17</v>
      </c>
      <c r="DK298" s="11"/>
      <c r="DL298" s="13"/>
      <c r="DM298" s="11"/>
      <c r="DN298" s="12"/>
      <c r="DO298" s="12"/>
      <c r="DP298" s="11">
        <v>11</v>
      </c>
      <c r="DQ298" s="13">
        <v>179.97</v>
      </c>
      <c r="DR298" s="11">
        <v>17</v>
      </c>
      <c r="DS298" s="11"/>
      <c r="DT298" s="13"/>
      <c r="DU298" s="11"/>
      <c r="DV298" s="12"/>
      <c r="DW298" s="12"/>
      <c r="DX298" s="11"/>
      <c r="DY298" s="13"/>
      <c r="DZ298" s="11">
        <v>13</v>
      </c>
      <c r="EA298" s="11"/>
      <c r="EB298" s="13"/>
      <c r="EC298" s="11"/>
      <c r="ED298" s="12"/>
      <c r="EE298" s="12"/>
      <c r="EF298" s="11"/>
      <c r="EG298" s="13"/>
      <c r="EH298" s="11"/>
      <c r="EI298" s="11"/>
      <c r="EJ298" s="13"/>
      <c r="EK298" s="11"/>
      <c r="EL298" s="12"/>
      <c r="EM298" s="12"/>
      <c r="EN298" s="11">
        <v>3</v>
      </c>
      <c r="EO298" s="13">
        <v>119.97</v>
      </c>
      <c r="EP298" s="11">
        <v>17</v>
      </c>
      <c r="EQ298" s="11"/>
      <c r="ER298" s="13"/>
      <c r="ES298" s="11"/>
      <c r="ET298" s="12"/>
      <c r="EU298" s="12"/>
      <c r="EV298" s="11">
        <v>10</v>
      </c>
      <c r="EW298" s="13">
        <v>112.34</v>
      </c>
      <c r="EX298" s="11">
        <v>7</v>
      </c>
      <c r="EY298" s="11"/>
      <c r="EZ298" s="13"/>
      <c r="FA298" s="11"/>
      <c r="FB298" s="12"/>
      <c r="FC298" s="12"/>
      <c r="FD298" s="11">
        <v>37</v>
      </c>
      <c r="FE298" s="13">
        <v>582.57</v>
      </c>
      <c r="FF298" s="11">
        <v>13</v>
      </c>
      <c r="FG298" s="11"/>
      <c r="FH298" s="13"/>
      <c r="FI298" s="11"/>
      <c r="FJ298" s="12"/>
      <c r="FK298" s="12"/>
      <c r="FL298" s="11"/>
      <c r="FM298" s="13"/>
      <c r="FN298" s="11"/>
      <c r="FO298" s="11"/>
      <c r="FP298" s="13"/>
      <c r="FQ298" s="11"/>
      <c r="FR298" s="12"/>
      <c r="FS298" s="12"/>
      <c r="FT298" s="11"/>
      <c r="FU298" s="13"/>
      <c r="FV298" s="11"/>
      <c r="FW298" s="11"/>
      <c r="FX298" s="13"/>
      <c r="FY298" s="11"/>
      <c r="FZ298" s="12"/>
      <c r="GA298" s="12"/>
      <c r="GB298" s="11"/>
      <c r="GC298" s="13"/>
      <c r="GD298" s="11"/>
      <c r="GE298" s="11"/>
      <c r="GF298" s="13"/>
      <c r="GG298" s="11"/>
      <c r="GH298" s="12"/>
      <c r="GI298" s="12"/>
      <c r="GJ298" s="11"/>
      <c r="GK298" s="13"/>
      <c r="GL298" s="11"/>
      <c r="GM298" s="11"/>
      <c r="GN298" s="13"/>
      <c r="GO298" s="11"/>
      <c r="GP298" s="12"/>
      <c r="GQ298" s="12"/>
      <c r="GR298" s="11">
        <v>6</v>
      </c>
      <c r="GS298" s="13">
        <v>100.98</v>
      </c>
      <c r="GT298" s="11">
        <v>16</v>
      </c>
      <c r="GU298" s="11"/>
      <c r="GV298" s="13"/>
      <c r="GW298" s="11"/>
      <c r="GX298" s="12"/>
      <c r="GY298" s="12"/>
      <c r="GZ298" s="11">
        <v>1</v>
      </c>
      <c r="HA298" s="13">
        <v>17.13</v>
      </c>
      <c r="HB298" s="11">
        <v>6</v>
      </c>
      <c r="HC298" s="11"/>
      <c r="HD298" s="13"/>
      <c r="HE298" s="11"/>
      <c r="HF298" s="12"/>
      <c r="HG298" s="12"/>
      <c r="HH298" s="11"/>
      <c r="HI298" s="13"/>
      <c r="HJ298" s="11"/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/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/>
      <c r="JO298" s="11"/>
      <c r="JP298" s="13"/>
      <c r="JQ298" s="11"/>
      <c r="JR298" s="12"/>
      <c r="JS298" s="12"/>
      <c r="JT298" s="11"/>
      <c r="JU298" s="13"/>
      <c r="JV298" s="11"/>
      <c r="JW298" s="11"/>
      <c r="JX298" s="13"/>
      <c r="JY298" s="11"/>
      <c r="JZ298" s="12"/>
      <c r="KA298" s="12"/>
      <c r="KB298" s="11"/>
      <c r="KC298" s="13"/>
      <c r="KD298" s="11"/>
      <c r="KE298" s="11"/>
      <c r="KF298" s="13"/>
      <c r="KG298" s="11"/>
      <c r="KH298" s="12"/>
      <c r="KI298" s="12"/>
      <c r="KJ298" s="11"/>
      <c r="KK298" s="13"/>
      <c r="KL298" s="11"/>
      <c r="KM298" s="11"/>
      <c r="KN298" s="13"/>
      <c r="KO298" s="11"/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  <c r="LH298" s="11"/>
      <c r="LI298" s="13"/>
      <c r="LJ298" s="11"/>
      <c r="LK298" s="11"/>
      <c r="LL298" s="13"/>
      <c r="LM298" s="11"/>
      <c r="LN298" s="12"/>
      <c r="LO298" s="12"/>
      <c r="LP298" s="11"/>
      <c r="LQ298" s="13"/>
      <c r="LR298" s="11"/>
      <c r="LS298" s="11"/>
      <c r="LT298" s="13"/>
      <c r="LU298" s="11"/>
      <c r="LV298" s="12"/>
      <c r="LW298" s="12"/>
    </row>
    <row r="299">
      <c r="A299" s="10" t="s">
        <v>193</v>
      </c>
      <c r="B299" s="10" t="s">
        <v>113</v>
      </c>
      <c r="C299" s="10" t="s">
        <v>115</v>
      </c>
      <c r="D299" s="11">
        <v>78796</v>
      </c>
      <c r="E299" s="11">
        <f>=ROUNDDOWN(34.9862356806678,0)</f>
      </c>
      <c r="F299" s="11">
        <v>54721</v>
      </c>
      <c r="G299" s="12">
        <v>0.9962</v>
      </c>
      <c r="H299" s="11"/>
      <c r="I299" s="11">
        <f>=ROUNDDOWN({0},0)</f>
      </c>
      <c r="J299" s="11"/>
      <c r="K299" s="12"/>
      <c r="L299" s="11">
        <v>30326</v>
      </c>
      <c r="M299" s="13">
        <v>647656.38</v>
      </c>
      <c r="N299" s="11">
        <v>81</v>
      </c>
      <c r="O299" s="14">
        <v>7995.76</v>
      </c>
      <c r="P299" s="11"/>
      <c r="Q299" s="13"/>
      <c r="R299" s="11"/>
      <c r="S299" s="14"/>
      <c r="T299" s="12"/>
      <c r="U299" s="12"/>
      <c r="V299" s="12"/>
      <c r="W299" s="12"/>
      <c r="X299" s="11">
        <v>10702</v>
      </c>
      <c r="Y299" s="13">
        <v>197347.93</v>
      </c>
      <c r="Z299" s="11">
        <v>62</v>
      </c>
      <c r="AA299" s="11"/>
      <c r="AB299" s="13"/>
      <c r="AC299" s="11"/>
      <c r="AD299" s="12"/>
      <c r="AE299" s="12"/>
      <c r="AF299" s="11">
        <v>1381</v>
      </c>
      <c r="AG299" s="13">
        <v>41645.11</v>
      </c>
      <c r="AH299" s="11">
        <v>81</v>
      </c>
      <c r="AI299" s="11"/>
      <c r="AJ299" s="13"/>
      <c r="AK299" s="11"/>
      <c r="AL299" s="12"/>
      <c r="AM299" s="12"/>
      <c r="AN299" s="11">
        <v>5844</v>
      </c>
      <c r="AO299" s="13">
        <v>106232.76</v>
      </c>
      <c r="AP299" s="11">
        <v>81</v>
      </c>
      <c r="AQ299" s="11"/>
      <c r="AR299" s="13"/>
      <c r="AS299" s="11"/>
      <c r="AT299" s="12"/>
      <c r="AU299" s="12"/>
      <c r="AV299" s="11">
        <v>2859</v>
      </c>
      <c r="AW299" s="13">
        <v>74508.4</v>
      </c>
      <c r="AX299" s="11">
        <v>66</v>
      </c>
      <c r="AY299" s="11"/>
      <c r="AZ299" s="13"/>
      <c r="BA299" s="11"/>
      <c r="BB299" s="12"/>
      <c r="BC299" s="12"/>
      <c r="BD299" s="11">
        <v>4775</v>
      </c>
      <c r="BE299" s="13">
        <v>101351.12</v>
      </c>
      <c r="BF299" s="11">
        <v>78</v>
      </c>
      <c r="BG299" s="11"/>
      <c r="BH299" s="13"/>
      <c r="BI299" s="11"/>
      <c r="BJ299" s="12"/>
      <c r="BK299" s="12"/>
      <c r="BL299" s="11">
        <v>353</v>
      </c>
      <c r="BM299" s="13">
        <v>13326.55</v>
      </c>
      <c r="BN299" s="11">
        <v>81</v>
      </c>
      <c r="BO299" s="11"/>
      <c r="BP299" s="13"/>
      <c r="BQ299" s="11"/>
      <c r="BR299" s="12"/>
      <c r="BS299" s="12"/>
      <c r="BT299" s="11">
        <v>1751</v>
      </c>
      <c r="BU299" s="13">
        <v>41019.03</v>
      </c>
      <c r="BV299" s="11">
        <v>81</v>
      </c>
      <c r="BW299" s="11"/>
      <c r="BX299" s="13"/>
      <c r="BY299" s="11"/>
      <c r="BZ299" s="12"/>
      <c r="CA299" s="12"/>
      <c r="CB299" s="11">
        <v>1176</v>
      </c>
      <c r="CC299" s="13">
        <v>28967.82</v>
      </c>
      <c r="CD299" s="11">
        <v>74</v>
      </c>
      <c r="CE299" s="11"/>
      <c r="CF299" s="13"/>
      <c r="CG299" s="11"/>
      <c r="CH299" s="12"/>
      <c r="CI299" s="12"/>
      <c r="CJ299" s="11">
        <v>26</v>
      </c>
      <c r="CK299" s="13">
        <v>1730.3</v>
      </c>
      <c r="CL299" s="11">
        <v>77</v>
      </c>
      <c r="CM299" s="11"/>
      <c r="CN299" s="13"/>
      <c r="CO299" s="11"/>
      <c r="CP299" s="12"/>
      <c r="CQ299" s="12"/>
      <c r="CR299" s="11"/>
      <c r="CS299" s="13"/>
      <c r="CT299" s="11"/>
      <c r="CU299" s="11"/>
      <c r="CV299" s="13"/>
      <c r="CW299" s="11"/>
      <c r="CX299" s="12"/>
      <c r="CY299" s="12"/>
      <c r="CZ299" s="11">
        <v>280</v>
      </c>
      <c r="DA299" s="13">
        <v>6414.74</v>
      </c>
      <c r="DB299" s="11">
        <v>19</v>
      </c>
      <c r="DC299" s="11"/>
      <c r="DD299" s="13"/>
      <c r="DE299" s="11"/>
      <c r="DF299" s="12"/>
      <c r="DG299" s="12"/>
      <c r="DH299" s="11">
        <v>99</v>
      </c>
      <c r="DI299" s="13">
        <v>1858.79</v>
      </c>
      <c r="DJ299" s="11">
        <v>49</v>
      </c>
      <c r="DK299" s="11"/>
      <c r="DL299" s="13"/>
      <c r="DM299" s="11"/>
      <c r="DN299" s="12"/>
      <c r="DO299" s="12"/>
      <c r="DP299" s="11">
        <v>237</v>
      </c>
      <c r="DQ299" s="13">
        <v>4618.38</v>
      </c>
      <c r="DR299" s="11">
        <v>79</v>
      </c>
      <c r="DS299" s="11"/>
      <c r="DT299" s="13"/>
      <c r="DU299" s="11"/>
      <c r="DV299" s="12"/>
      <c r="DW299" s="12"/>
      <c r="DX299" s="11">
        <v>19</v>
      </c>
      <c r="DY299" s="13">
        <v>820.36</v>
      </c>
      <c r="DZ299" s="11">
        <v>30</v>
      </c>
      <c r="EA299" s="11"/>
      <c r="EB299" s="13"/>
      <c r="EC299" s="11"/>
      <c r="ED299" s="12"/>
      <c r="EE299" s="12"/>
      <c r="EF299" s="11"/>
      <c r="EG299" s="13"/>
      <c r="EH299" s="11"/>
      <c r="EI299" s="11"/>
      <c r="EJ299" s="13"/>
      <c r="EK299" s="11"/>
      <c r="EL299" s="12"/>
      <c r="EM299" s="12"/>
      <c r="EN299" s="11">
        <v>30</v>
      </c>
      <c r="EO299" s="13">
        <v>904.64</v>
      </c>
      <c r="EP299" s="11">
        <v>81</v>
      </c>
      <c r="EQ299" s="11"/>
      <c r="ER299" s="13"/>
      <c r="ES299" s="11"/>
      <c r="ET299" s="12"/>
      <c r="EU299" s="12"/>
      <c r="EV299" s="11">
        <v>26</v>
      </c>
      <c r="EW299" s="13">
        <v>453.42</v>
      </c>
      <c r="EX299" s="11">
        <v>24</v>
      </c>
      <c r="EY299" s="11"/>
      <c r="EZ299" s="13"/>
      <c r="FA299" s="11"/>
      <c r="FB299" s="12"/>
      <c r="FC299" s="12"/>
      <c r="FD299" s="11">
        <v>99</v>
      </c>
      <c r="FE299" s="13">
        <v>2152.21</v>
      </c>
      <c r="FF299" s="11">
        <v>47</v>
      </c>
      <c r="FG299" s="11"/>
      <c r="FH299" s="13"/>
      <c r="FI299" s="11"/>
      <c r="FJ299" s="12"/>
      <c r="FK299" s="12"/>
      <c r="FL299" s="11">
        <v>457</v>
      </c>
      <c r="FM299" s="13">
        <v>20229.11</v>
      </c>
      <c r="FN299" s="11">
        <v>28</v>
      </c>
      <c r="FO299" s="11"/>
      <c r="FP299" s="13"/>
      <c r="FQ299" s="11"/>
      <c r="FR299" s="12"/>
      <c r="FS299" s="12"/>
      <c r="FT299" s="11"/>
      <c r="FU299" s="13"/>
      <c r="FV299" s="11"/>
      <c r="FW299" s="11"/>
      <c r="FX299" s="13"/>
      <c r="FY299" s="11"/>
      <c r="FZ299" s="12"/>
      <c r="GA299" s="12"/>
      <c r="GB299" s="11">
        <v>60</v>
      </c>
      <c r="GC299" s="13">
        <v>1190.39</v>
      </c>
      <c r="GD299" s="11">
        <v>4</v>
      </c>
      <c r="GE299" s="11"/>
      <c r="GF299" s="13"/>
      <c r="GG299" s="11"/>
      <c r="GH299" s="12"/>
      <c r="GI299" s="12"/>
      <c r="GJ299" s="11"/>
      <c r="GK299" s="13"/>
      <c r="GL299" s="11"/>
      <c r="GM299" s="11"/>
      <c r="GN299" s="13"/>
      <c r="GO299" s="11"/>
      <c r="GP299" s="12"/>
      <c r="GQ299" s="12"/>
      <c r="GR299" s="11">
        <v>9</v>
      </c>
      <c r="GS299" s="13">
        <v>307.46</v>
      </c>
      <c r="GT299" s="11">
        <v>61</v>
      </c>
      <c r="GU299" s="11"/>
      <c r="GV299" s="13"/>
      <c r="GW299" s="11"/>
      <c r="GX299" s="12"/>
      <c r="GY299" s="12"/>
      <c r="GZ299" s="11">
        <v>123</v>
      </c>
      <c r="HA299" s="13">
        <v>2162.2</v>
      </c>
      <c r="HB299" s="11">
        <v>28</v>
      </c>
      <c r="HC299" s="11"/>
      <c r="HD299" s="13"/>
      <c r="HE299" s="11"/>
      <c r="HF299" s="12"/>
      <c r="HG299" s="12"/>
      <c r="HH299" s="11">
        <v>9</v>
      </c>
      <c r="HI299" s="13">
        <v>220.64</v>
      </c>
      <c r="HJ299" s="11"/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>
        <v>11</v>
      </c>
      <c r="IW299" s="13">
        <v>195.02</v>
      </c>
      <c r="IX299" s="11">
        <v>46</v>
      </c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/>
      <c r="JO299" s="11"/>
      <c r="JP299" s="13"/>
      <c r="JQ299" s="11"/>
      <c r="JR299" s="12"/>
      <c r="JS299" s="12"/>
      <c r="JT299" s="11"/>
      <c r="JU299" s="13"/>
      <c r="JV299" s="11"/>
      <c r="JW299" s="11"/>
      <c r="JX299" s="13"/>
      <c r="JY299" s="11"/>
      <c r="JZ299" s="12"/>
      <c r="KA299" s="12"/>
      <c r="KB299" s="11"/>
      <c r="KC299" s="13"/>
      <c r="KD299" s="11"/>
      <c r="KE299" s="11"/>
      <c r="KF299" s="13"/>
      <c r="KG299" s="11"/>
      <c r="KH299" s="12"/>
      <c r="KI299" s="12"/>
      <c r="KJ299" s="11"/>
      <c r="KK299" s="13"/>
      <c r="KL299" s="11"/>
      <c r="KM299" s="11"/>
      <c r="KN299" s="13"/>
      <c r="KO299" s="11"/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  <c r="LH299" s="11"/>
      <c r="LI299" s="13"/>
      <c r="LJ299" s="11"/>
      <c r="LK299" s="11"/>
      <c r="LL299" s="13"/>
      <c r="LM299" s="11"/>
      <c r="LN299" s="12"/>
      <c r="LO299" s="12"/>
      <c r="LP299" s="11"/>
      <c r="LQ299" s="13"/>
      <c r="LR299" s="11"/>
      <c r="LS299" s="11"/>
      <c r="LT299" s="13"/>
      <c r="LU299" s="11"/>
      <c r="LV299" s="12"/>
      <c r="LW299" s="12"/>
    </row>
    <row r="300">
      <c r="A300" s="10" t="s">
        <v>193</v>
      </c>
      <c r="B300" s="10" t="s">
        <v>116</v>
      </c>
      <c r="C300" s="10" t="s">
        <v>77</v>
      </c>
      <c r="D300" s="11">
        <v>193042</v>
      </c>
      <c r="E300" s="11">
        <f>=ROUNDDOWN({0},0)</f>
      </c>
      <c r="F300" s="11">
        <v>98761</v>
      </c>
      <c r="G300" s="12"/>
      <c r="H300" s="11"/>
      <c r="I300" s="11">
        <f>=ROUNDDOWN({0},0)</f>
      </c>
      <c r="J300" s="11"/>
      <c r="K300" s="12"/>
      <c r="L300" s="11">
        <v>72319</v>
      </c>
      <c r="M300" s="13">
        <v>1963674.02</v>
      </c>
      <c r="N300" s="11">
        <v>279</v>
      </c>
      <c r="O300" s="14">
        <v>7038.26</v>
      </c>
      <c r="P300" s="11"/>
      <c r="Q300" s="13"/>
      <c r="R300" s="11"/>
      <c r="S300" s="14"/>
      <c r="T300" s="12"/>
      <c r="U300" s="12"/>
      <c r="V300" s="12"/>
      <c r="W300" s="12"/>
      <c r="X300" s="11">
        <v>22898</v>
      </c>
      <c r="Y300" s="13">
        <v>602829.08</v>
      </c>
      <c r="Z300" s="11">
        <v>235</v>
      </c>
      <c r="AA300" s="11"/>
      <c r="AB300" s="13"/>
      <c r="AC300" s="11"/>
      <c r="AD300" s="12"/>
      <c r="AE300" s="12"/>
      <c r="AF300" s="11">
        <v>4366</v>
      </c>
      <c r="AG300" s="13">
        <v>131769.22</v>
      </c>
      <c r="AH300" s="11">
        <v>279</v>
      </c>
      <c r="AI300" s="11"/>
      <c r="AJ300" s="13"/>
      <c r="AK300" s="11"/>
      <c r="AL300" s="12"/>
      <c r="AM300" s="12"/>
      <c r="AN300" s="11">
        <v>13232</v>
      </c>
      <c r="AO300" s="13">
        <v>297916.58</v>
      </c>
      <c r="AP300" s="11">
        <v>279</v>
      </c>
      <c r="AQ300" s="11"/>
      <c r="AR300" s="13"/>
      <c r="AS300" s="11"/>
      <c r="AT300" s="12"/>
      <c r="AU300" s="12"/>
      <c r="AV300" s="11">
        <v>7031</v>
      </c>
      <c r="AW300" s="13">
        <v>197794.21</v>
      </c>
      <c r="AX300" s="11">
        <v>199</v>
      </c>
      <c r="AY300" s="11"/>
      <c r="AZ300" s="13"/>
      <c r="BA300" s="11"/>
      <c r="BB300" s="12"/>
      <c r="BC300" s="12"/>
      <c r="BD300" s="11">
        <v>13771</v>
      </c>
      <c r="BE300" s="13">
        <v>395448.1</v>
      </c>
      <c r="BF300" s="11">
        <v>274</v>
      </c>
      <c r="BG300" s="11"/>
      <c r="BH300" s="13"/>
      <c r="BI300" s="11"/>
      <c r="BJ300" s="12"/>
      <c r="BK300" s="12"/>
      <c r="BL300" s="11">
        <v>1400</v>
      </c>
      <c r="BM300" s="13">
        <v>54771.03</v>
      </c>
      <c r="BN300" s="11">
        <v>279</v>
      </c>
      <c r="BO300" s="11"/>
      <c r="BP300" s="13"/>
      <c r="BQ300" s="11"/>
      <c r="BR300" s="12"/>
      <c r="BS300" s="12"/>
      <c r="BT300" s="11">
        <v>3001</v>
      </c>
      <c r="BU300" s="13">
        <v>85863.97</v>
      </c>
      <c r="BV300" s="11">
        <v>279</v>
      </c>
      <c r="BW300" s="11"/>
      <c r="BX300" s="13"/>
      <c r="BY300" s="11"/>
      <c r="BZ300" s="12"/>
      <c r="CA300" s="12"/>
      <c r="CB300" s="11">
        <v>3178</v>
      </c>
      <c r="CC300" s="13">
        <v>89740.14</v>
      </c>
      <c r="CD300" s="11">
        <v>245</v>
      </c>
      <c r="CE300" s="11"/>
      <c r="CF300" s="13"/>
      <c r="CG300" s="11"/>
      <c r="CH300" s="12"/>
      <c r="CI300" s="12"/>
      <c r="CJ300" s="11">
        <v>222</v>
      </c>
      <c r="CK300" s="13">
        <v>13204.84</v>
      </c>
      <c r="CL300" s="11">
        <v>273</v>
      </c>
      <c r="CM300" s="11"/>
      <c r="CN300" s="13"/>
      <c r="CO300" s="11"/>
      <c r="CP300" s="12"/>
      <c r="CQ300" s="12"/>
      <c r="CR300" s="11"/>
      <c r="CS300" s="13"/>
      <c r="CT300" s="11"/>
      <c r="CU300" s="11"/>
      <c r="CV300" s="13"/>
      <c r="CW300" s="11"/>
      <c r="CX300" s="12"/>
      <c r="CY300" s="12"/>
      <c r="CZ300" s="11">
        <v>390</v>
      </c>
      <c r="DA300" s="13">
        <v>8583.02</v>
      </c>
      <c r="DB300" s="11">
        <v>31</v>
      </c>
      <c r="DC300" s="11"/>
      <c r="DD300" s="13"/>
      <c r="DE300" s="11"/>
      <c r="DF300" s="12"/>
      <c r="DG300" s="12"/>
      <c r="DH300" s="11">
        <v>353</v>
      </c>
      <c r="DI300" s="13">
        <v>11310.7</v>
      </c>
      <c r="DJ300" s="11">
        <v>188</v>
      </c>
      <c r="DK300" s="11"/>
      <c r="DL300" s="13"/>
      <c r="DM300" s="11"/>
      <c r="DN300" s="12"/>
      <c r="DO300" s="12"/>
      <c r="DP300" s="11">
        <v>573</v>
      </c>
      <c r="DQ300" s="13">
        <v>16810.4</v>
      </c>
      <c r="DR300" s="11">
        <v>248</v>
      </c>
      <c r="DS300" s="11"/>
      <c r="DT300" s="13"/>
      <c r="DU300" s="11"/>
      <c r="DV300" s="12"/>
      <c r="DW300" s="12"/>
      <c r="DX300" s="11">
        <v>68</v>
      </c>
      <c r="DY300" s="13">
        <v>2487.45</v>
      </c>
      <c r="DZ300" s="11">
        <v>125</v>
      </c>
      <c r="EA300" s="11"/>
      <c r="EB300" s="13"/>
      <c r="EC300" s="11"/>
      <c r="ED300" s="12"/>
      <c r="EE300" s="12"/>
      <c r="EF300" s="11"/>
      <c r="EG300" s="13"/>
      <c r="EH300" s="11"/>
      <c r="EI300" s="11"/>
      <c r="EJ300" s="13"/>
      <c r="EK300" s="11"/>
      <c r="EL300" s="12"/>
      <c r="EM300" s="12"/>
      <c r="EN300" s="11">
        <v>46</v>
      </c>
      <c r="EO300" s="13">
        <v>2074.35</v>
      </c>
      <c r="EP300" s="11">
        <v>279</v>
      </c>
      <c r="EQ300" s="11"/>
      <c r="ER300" s="13"/>
      <c r="ES300" s="11"/>
      <c r="ET300" s="12"/>
      <c r="EU300" s="12"/>
      <c r="EV300" s="11">
        <v>620</v>
      </c>
      <c r="EW300" s="13">
        <v>11573.13</v>
      </c>
      <c r="EX300" s="11">
        <v>90</v>
      </c>
      <c r="EY300" s="11"/>
      <c r="EZ300" s="13"/>
      <c r="FA300" s="11"/>
      <c r="FB300" s="12"/>
      <c r="FC300" s="12"/>
      <c r="FD300" s="11">
        <v>311</v>
      </c>
      <c r="FE300" s="13">
        <v>10584.92</v>
      </c>
      <c r="FF300" s="11">
        <v>84</v>
      </c>
      <c r="FG300" s="11"/>
      <c r="FH300" s="13"/>
      <c r="FI300" s="11"/>
      <c r="FJ300" s="12"/>
      <c r="FK300" s="12"/>
      <c r="FL300" s="11">
        <v>522</v>
      </c>
      <c r="FM300" s="13">
        <v>22675.3</v>
      </c>
      <c r="FN300" s="11">
        <v>65</v>
      </c>
      <c r="FO300" s="11"/>
      <c r="FP300" s="13"/>
      <c r="FQ300" s="11"/>
      <c r="FR300" s="12"/>
      <c r="FS300" s="12"/>
      <c r="FT300" s="11"/>
      <c r="FU300" s="13"/>
      <c r="FV300" s="11"/>
      <c r="FW300" s="11"/>
      <c r="FX300" s="13"/>
      <c r="FY300" s="11"/>
      <c r="FZ300" s="12"/>
      <c r="GA300" s="12"/>
      <c r="GB300" s="11">
        <v>60</v>
      </c>
      <c r="GC300" s="13">
        <v>1190.39</v>
      </c>
      <c r="GD300" s="11">
        <v>4</v>
      </c>
      <c r="GE300" s="11"/>
      <c r="GF300" s="13"/>
      <c r="GG300" s="11"/>
      <c r="GH300" s="12"/>
      <c r="GI300" s="12"/>
      <c r="GJ300" s="11"/>
      <c r="GK300" s="13"/>
      <c r="GL300" s="11"/>
      <c r="GM300" s="11"/>
      <c r="GN300" s="13"/>
      <c r="GO300" s="11"/>
      <c r="GP300" s="12"/>
      <c r="GQ300" s="12"/>
      <c r="GR300" s="11">
        <v>26</v>
      </c>
      <c r="GS300" s="13">
        <v>851.8</v>
      </c>
      <c r="GT300" s="11">
        <v>222</v>
      </c>
      <c r="GU300" s="11"/>
      <c r="GV300" s="13"/>
      <c r="GW300" s="11"/>
      <c r="GX300" s="12"/>
      <c r="GY300" s="12"/>
      <c r="GZ300" s="11">
        <v>186</v>
      </c>
      <c r="HA300" s="13">
        <v>4359.96</v>
      </c>
      <c r="HB300" s="11">
        <v>94</v>
      </c>
      <c r="HC300" s="11"/>
      <c r="HD300" s="13"/>
      <c r="HE300" s="11"/>
      <c r="HF300" s="12"/>
      <c r="HG300" s="12"/>
      <c r="HH300" s="11">
        <v>33</v>
      </c>
      <c r="HI300" s="13">
        <v>992.87</v>
      </c>
      <c r="HJ300" s="11"/>
      <c r="HK300" s="11"/>
      <c r="HL300" s="13"/>
      <c r="HM300" s="11"/>
      <c r="HN300" s="12"/>
      <c r="HO300" s="12"/>
      <c r="HP300" s="11"/>
      <c r="HQ300" s="13"/>
      <c r="HR300" s="11"/>
      <c r="HS300" s="11"/>
      <c r="HT300" s="13"/>
      <c r="HU300" s="11"/>
      <c r="HV300" s="12"/>
      <c r="HW300" s="12"/>
      <c r="HX300" s="11">
        <v>12</v>
      </c>
      <c r="HY300" s="13">
        <v>391.02</v>
      </c>
      <c r="HZ300" s="11">
        <v>38</v>
      </c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>
        <v>20</v>
      </c>
      <c r="IW300" s="13">
        <v>451.54</v>
      </c>
      <c r="IX300" s="11">
        <v>168</v>
      </c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/>
      <c r="JO300" s="11"/>
      <c r="JP300" s="13"/>
      <c r="JQ300" s="11"/>
      <c r="JR300" s="12"/>
      <c r="JS300" s="12"/>
      <c r="JT300" s="11"/>
      <c r="JU300" s="13"/>
      <c r="JV300" s="11"/>
      <c r="JW300" s="11"/>
      <c r="JX300" s="13"/>
      <c r="JY300" s="11"/>
      <c r="JZ300" s="12"/>
      <c r="KA300" s="12"/>
      <c r="KB300" s="11"/>
      <c r="KC300" s="13"/>
      <c r="KD300" s="11"/>
      <c r="KE300" s="11"/>
      <c r="KF300" s="13"/>
      <c r="KG300" s="11"/>
      <c r="KH300" s="12"/>
      <c r="KI300" s="12"/>
      <c r="KJ300" s="11"/>
      <c r="KK300" s="13"/>
      <c r="KL300" s="11"/>
      <c r="KM300" s="11"/>
      <c r="KN300" s="13"/>
      <c r="KO300" s="11"/>
      <c r="KP300" s="12"/>
      <c r="KQ300" s="12"/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  <c r="LH300" s="11"/>
      <c r="LI300" s="13"/>
      <c r="LJ300" s="11"/>
      <c r="LK300" s="11"/>
      <c r="LL300" s="13"/>
      <c r="LM300" s="11"/>
      <c r="LN300" s="12"/>
      <c r="LO300" s="12"/>
      <c r="LP300" s="11"/>
      <c r="LQ300" s="13"/>
      <c r="LR300" s="11"/>
      <c r="LS300" s="11"/>
      <c r="LT300" s="13"/>
      <c r="LU300" s="11"/>
      <c r="LV300" s="12"/>
      <c r="LW300" s="12"/>
    </row>
    <row r="301">
      <c r="A301" s="10" t="s">
        <v>193</v>
      </c>
      <c r="B301" s="10" t="s">
        <v>117</v>
      </c>
      <c r="C301" s="10" t="s">
        <v>74</v>
      </c>
      <c r="D301" s="11">
        <v>13057</v>
      </c>
      <c r="E301" s="11">
        <f>=ROUNDDOWN(20.8745003996803,0)</f>
      </c>
      <c r="F301" s="11">
        <v>8071</v>
      </c>
      <c r="G301" s="12">
        <v>0.996</v>
      </c>
      <c r="H301" s="11"/>
      <c r="I301" s="11">
        <f>=ROUNDDOWN({0},0)</f>
      </c>
      <c r="J301" s="11"/>
      <c r="K301" s="12"/>
      <c r="L301" s="11">
        <v>10033</v>
      </c>
      <c r="M301" s="13">
        <v>242125.19</v>
      </c>
      <c r="N301" s="11">
        <v>35</v>
      </c>
      <c r="O301" s="14">
        <v>6917.86</v>
      </c>
      <c r="P301" s="11"/>
      <c r="Q301" s="13"/>
      <c r="R301" s="11"/>
      <c r="S301" s="14"/>
      <c r="T301" s="12"/>
      <c r="U301" s="12"/>
      <c r="V301" s="12"/>
      <c r="W301" s="12"/>
      <c r="X301" s="11">
        <v>4856</v>
      </c>
      <c r="Y301" s="13">
        <v>112155.07</v>
      </c>
      <c r="Z301" s="11">
        <v>18</v>
      </c>
      <c r="AA301" s="11"/>
      <c r="AB301" s="13"/>
      <c r="AC301" s="11"/>
      <c r="AD301" s="12"/>
      <c r="AE301" s="12"/>
      <c r="AF301" s="11">
        <v>299</v>
      </c>
      <c r="AG301" s="13">
        <v>6097.32</v>
      </c>
      <c r="AH301" s="11">
        <v>35</v>
      </c>
      <c r="AI301" s="11"/>
      <c r="AJ301" s="13"/>
      <c r="AK301" s="11"/>
      <c r="AL301" s="12"/>
      <c r="AM301" s="12"/>
      <c r="AN301" s="11">
        <v>1435</v>
      </c>
      <c r="AO301" s="13">
        <v>30251.22</v>
      </c>
      <c r="AP301" s="11">
        <v>35</v>
      </c>
      <c r="AQ301" s="11"/>
      <c r="AR301" s="13"/>
      <c r="AS301" s="11"/>
      <c r="AT301" s="12"/>
      <c r="AU301" s="12"/>
      <c r="AV301" s="11">
        <v>797</v>
      </c>
      <c r="AW301" s="13">
        <v>19894.21</v>
      </c>
      <c r="AX301" s="11">
        <v>35</v>
      </c>
      <c r="AY301" s="11"/>
      <c r="AZ301" s="13"/>
      <c r="BA301" s="11"/>
      <c r="BB301" s="12"/>
      <c r="BC301" s="12"/>
      <c r="BD301" s="11">
        <v>1457</v>
      </c>
      <c r="BE301" s="13">
        <v>40323.6</v>
      </c>
      <c r="BF301" s="11">
        <v>32</v>
      </c>
      <c r="BG301" s="11"/>
      <c r="BH301" s="13"/>
      <c r="BI301" s="11"/>
      <c r="BJ301" s="12"/>
      <c r="BK301" s="12"/>
      <c r="BL301" s="11">
        <v>165</v>
      </c>
      <c r="BM301" s="13">
        <v>5149.2</v>
      </c>
      <c r="BN301" s="11">
        <v>35</v>
      </c>
      <c r="BO301" s="11"/>
      <c r="BP301" s="13"/>
      <c r="BQ301" s="11"/>
      <c r="BR301" s="12"/>
      <c r="BS301" s="12"/>
      <c r="BT301" s="11">
        <v>172</v>
      </c>
      <c r="BU301" s="13">
        <v>4551.47</v>
      </c>
      <c r="BV301" s="11">
        <v>35</v>
      </c>
      <c r="BW301" s="11"/>
      <c r="BX301" s="13"/>
      <c r="BY301" s="11"/>
      <c r="BZ301" s="12"/>
      <c r="CA301" s="12"/>
      <c r="CB301" s="11">
        <v>224</v>
      </c>
      <c r="CC301" s="13">
        <v>5553.3</v>
      </c>
      <c r="CD301" s="11">
        <v>35</v>
      </c>
      <c r="CE301" s="11"/>
      <c r="CF301" s="13"/>
      <c r="CG301" s="11"/>
      <c r="CH301" s="12"/>
      <c r="CI301" s="12"/>
      <c r="CJ301" s="11">
        <v>41</v>
      </c>
      <c r="CK301" s="13">
        <v>1685.83</v>
      </c>
      <c r="CL301" s="11">
        <v>35</v>
      </c>
      <c r="CM301" s="11"/>
      <c r="CN301" s="13"/>
      <c r="CO301" s="11"/>
      <c r="CP301" s="12"/>
      <c r="CQ301" s="12"/>
      <c r="CR301" s="11"/>
      <c r="CS301" s="13"/>
      <c r="CT301" s="11"/>
      <c r="CU301" s="11"/>
      <c r="CV301" s="13"/>
      <c r="CW301" s="11"/>
      <c r="CX301" s="12"/>
      <c r="CY301" s="12"/>
      <c r="CZ301" s="11"/>
      <c r="DA301" s="13"/>
      <c r="DB301" s="11"/>
      <c r="DC301" s="11"/>
      <c r="DD301" s="13"/>
      <c r="DE301" s="11"/>
      <c r="DF301" s="12"/>
      <c r="DG301" s="12"/>
      <c r="DH301" s="11">
        <v>32</v>
      </c>
      <c r="DI301" s="13">
        <v>877.78</v>
      </c>
      <c r="DJ301" s="11">
        <v>29</v>
      </c>
      <c r="DK301" s="11"/>
      <c r="DL301" s="13"/>
      <c r="DM301" s="11"/>
      <c r="DN301" s="12"/>
      <c r="DO301" s="12"/>
      <c r="DP301" s="11">
        <v>102</v>
      </c>
      <c r="DQ301" s="13">
        <v>2942.36</v>
      </c>
      <c r="DR301" s="11">
        <v>35</v>
      </c>
      <c r="DS301" s="11"/>
      <c r="DT301" s="13"/>
      <c r="DU301" s="11"/>
      <c r="DV301" s="12"/>
      <c r="DW301" s="12"/>
      <c r="DX301" s="11">
        <v>4</v>
      </c>
      <c r="DY301" s="13">
        <v>119.56</v>
      </c>
      <c r="DZ301" s="11">
        <v>2</v>
      </c>
      <c r="EA301" s="11"/>
      <c r="EB301" s="13"/>
      <c r="EC301" s="11"/>
      <c r="ED301" s="12"/>
      <c r="EE301" s="12"/>
      <c r="EF301" s="11"/>
      <c r="EG301" s="13"/>
      <c r="EH301" s="11"/>
      <c r="EI301" s="11"/>
      <c r="EJ301" s="13"/>
      <c r="EK301" s="11"/>
      <c r="EL301" s="12"/>
      <c r="EM301" s="12"/>
      <c r="EN301" s="11">
        <v>28</v>
      </c>
      <c r="EO301" s="13">
        <v>1456.72</v>
      </c>
      <c r="EP301" s="11">
        <v>35</v>
      </c>
      <c r="EQ301" s="11"/>
      <c r="ER301" s="13"/>
      <c r="ES301" s="11"/>
      <c r="ET301" s="12"/>
      <c r="EU301" s="12"/>
      <c r="EV301" s="11">
        <v>73</v>
      </c>
      <c r="EW301" s="13">
        <v>1442.66</v>
      </c>
      <c r="EX301" s="11">
        <v>10</v>
      </c>
      <c r="EY301" s="11"/>
      <c r="EZ301" s="13"/>
      <c r="FA301" s="11"/>
      <c r="FB301" s="12"/>
      <c r="FC301" s="12"/>
      <c r="FD301" s="11">
        <v>317</v>
      </c>
      <c r="FE301" s="13">
        <v>8551.97</v>
      </c>
      <c r="FF301" s="11">
        <v>20</v>
      </c>
      <c r="FG301" s="11"/>
      <c r="FH301" s="13"/>
      <c r="FI301" s="11"/>
      <c r="FJ301" s="12"/>
      <c r="FK301" s="12"/>
      <c r="FL301" s="11">
        <v>18</v>
      </c>
      <c r="FM301" s="13">
        <v>687.82</v>
      </c>
      <c r="FN301" s="11">
        <v>1</v>
      </c>
      <c r="FO301" s="11"/>
      <c r="FP301" s="13"/>
      <c r="FQ301" s="11"/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/>
      <c r="GC301" s="13"/>
      <c r="GD301" s="11"/>
      <c r="GE301" s="11"/>
      <c r="GF301" s="13"/>
      <c r="GG301" s="11"/>
      <c r="GH301" s="12"/>
      <c r="GI301" s="12"/>
      <c r="GJ301" s="11"/>
      <c r="GK301" s="13"/>
      <c r="GL301" s="11"/>
      <c r="GM301" s="11"/>
      <c r="GN301" s="13"/>
      <c r="GO301" s="11"/>
      <c r="GP301" s="12"/>
      <c r="GQ301" s="12"/>
      <c r="GR301" s="11"/>
      <c r="GS301" s="13"/>
      <c r="GT301" s="11">
        <v>29</v>
      </c>
      <c r="GU301" s="11"/>
      <c r="GV301" s="13"/>
      <c r="GW301" s="11"/>
      <c r="GX301" s="12"/>
      <c r="GY301" s="12"/>
      <c r="GZ301" s="11">
        <v>13</v>
      </c>
      <c r="HA301" s="13">
        <v>385.1</v>
      </c>
      <c r="HB301" s="11">
        <v>4</v>
      </c>
      <c r="HC301" s="11"/>
      <c r="HD301" s="13"/>
      <c r="HE301" s="11"/>
      <c r="HF301" s="12"/>
      <c r="HG301" s="12"/>
      <c r="HH301" s="11"/>
      <c r="HI301" s="13"/>
      <c r="HJ301" s="11"/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/>
      <c r="IO301" s="13"/>
      <c r="IP301" s="11"/>
      <c r="IQ301" s="11"/>
      <c r="IR301" s="13"/>
      <c r="IS301" s="11"/>
      <c r="IT301" s="12"/>
      <c r="IU301" s="12"/>
      <c r="IV301" s="11"/>
      <c r="IW301" s="13"/>
      <c r="IX301" s="11">
        <v>13</v>
      </c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/>
      <c r="JR301" s="12"/>
      <c r="JS301" s="12"/>
      <c r="JT301" s="11"/>
      <c r="JU301" s="13"/>
      <c r="JV301" s="11"/>
      <c r="JW301" s="11"/>
      <c r="JX301" s="13"/>
      <c r="JY301" s="11"/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  <c r="LH301" s="11"/>
      <c r="LI301" s="13"/>
      <c r="LJ301" s="11"/>
      <c r="LK301" s="11"/>
      <c r="LL301" s="13"/>
      <c r="LM301" s="11"/>
      <c r="LN301" s="12"/>
      <c r="LO301" s="12"/>
      <c r="LP301" s="11"/>
      <c r="LQ301" s="13"/>
      <c r="LR301" s="11"/>
      <c r="LS301" s="11"/>
      <c r="LT301" s="13"/>
      <c r="LU301" s="11"/>
      <c r="LV301" s="12"/>
      <c r="LW301" s="12"/>
    </row>
    <row r="302">
      <c r="A302" s="10" t="s">
        <v>193</v>
      </c>
      <c r="B302" s="10" t="s">
        <v>117</v>
      </c>
      <c r="C302" s="10" t="s">
        <v>83</v>
      </c>
      <c r="D302" s="11">
        <v>1</v>
      </c>
      <c r="E302" s="11">
        <f>=ROUNDDOWN(0.0229357798165138,0)</f>
      </c>
      <c r="F302" s="11"/>
      <c r="G302" s="12"/>
      <c r="H302" s="11"/>
      <c r="I302" s="11">
        <f>=ROUNDDOWN({0},0)</f>
      </c>
      <c r="J302" s="11"/>
      <c r="K302" s="12"/>
      <c r="L302" s="11">
        <v>429</v>
      </c>
      <c r="M302" s="13">
        <v>6473.83</v>
      </c>
      <c r="N302" s="11"/>
      <c r="O302" s="14"/>
      <c r="P302" s="11"/>
      <c r="Q302" s="13"/>
      <c r="R302" s="11"/>
      <c r="S302" s="14"/>
      <c r="T302" s="12"/>
      <c r="U302" s="12"/>
      <c r="V302" s="12"/>
      <c r="W302" s="12"/>
      <c r="X302" s="11"/>
      <c r="Y302" s="13"/>
      <c r="Z302" s="11"/>
      <c r="AA302" s="11"/>
      <c r="AB302" s="13"/>
      <c r="AC302" s="11"/>
      <c r="AD302" s="12"/>
      <c r="AE302" s="12"/>
      <c r="AF302" s="11">
        <v>16</v>
      </c>
      <c r="AG302" s="13">
        <v>207.08</v>
      </c>
      <c r="AH302" s="11"/>
      <c r="AI302" s="11"/>
      <c r="AJ302" s="13"/>
      <c r="AK302" s="11"/>
      <c r="AL302" s="12"/>
      <c r="AM302" s="12"/>
      <c r="AN302" s="11">
        <v>156</v>
      </c>
      <c r="AO302" s="13">
        <v>1779.46</v>
      </c>
      <c r="AP302" s="11"/>
      <c r="AQ302" s="11"/>
      <c r="AR302" s="13"/>
      <c r="AS302" s="11"/>
      <c r="AT302" s="12"/>
      <c r="AU302" s="12"/>
      <c r="AV302" s="11">
        <v>112</v>
      </c>
      <c r="AW302" s="13">
        <v>1741.7</v>
      </c>
      <c r="AX302" s="11"/>
      <c r="AY302" s="11"/>
      <c r="AZ302" s="13"/>
      <c r="BA302" s="11"/>
      <c r="BB302" s="12"/>
      <c r="BC302" s="12"/>
      <c r="BD302" s="11"/>
      <c r="BE302" s="13"/>
      <c r="BF302" s="11"/>
      <c r="BG302" s="11"/>
      <c r="BH302" s="13"/>
      <c r="BI302" s="11"/>
      <c r="BJ302" s="12"/>
      <c r="BK302" s="12"/>
      <c r="BL302" s="11">
        <v>37</v>
      </c>
      <c r="BM302" s="13">
        <v>635.92</v>
      </c>
      <c r="BN302" s="11"/>
      <c r="BO302" s="11"/>
      <c r="BP302" s="13"/>
      <c r="BQ302" s="11"/>
      <c r="BR302" s="12"/>
      <c r="BS302" s="12"/>
      <c r="BT302" s="11">
        <v>60</v>
      </c>
      <c r="BU302" s="13">
        <v>1117.31</v>
      </c>
      <c r="BV302" s="11"/>
      <c r="BW302" s="11"/>
      <c r="BX302" s="13"/>
      <c r="BY302" s="11"/>
      <c r="BZ302" s="12"/>
      <c r="CA302" s="12"/>
      <c r="CB302" s="11">
        <v>10</v>
      </c>
      <c r="CC302" s="13">
        <v>187.54</v>
      </c>
      <c r="CD302" s="11"/>
      <c r="CE302" s="11"/>
      <c r="CF302" s="13"/>
      <c r="CG302" s="11"/>
      <c r="CH302" s="12"/>
      <c r="CI302" s="12"/>
      <c r="CJ302" s="11">
        <v>5</v>
      </c>
      <c r="CK302" s="13">
        <v>157.95</v>
      </c>
      <c r="CL302" s="11"/>
      <c r="CM302" s="11"/>
      <c r="CN302" s="13"/>
      <c r="CO302" s="11"/>
      <c r="CP302" s="12"/>
      <c r="CQ302" s="12"/>
      <c r="CR302" s="11"/>
      <c r="CS302" s="13"/>
      <c r="CT302" s="11"/>
      <c r="CU302" s="11"/>
      <c r="CV302" s="13"/>
      <c r="CW302" s="11"/>
      <c r="CX302" s="12"/>
      <c r="CY302" s="12"/>
      <c r="CZ302" s="11"/>
      <c r="DA302" s="13"/>
      <c r="DB302" s="11"/>
      <c r="DC302" s="11"/>
      <c r="DD302" s="13"/>
      <c r="DE302" s="11"/>
      <c r="DF302" s="12"/>
      <c r="DG302" s="12"/>
      <c r="DH302" s="11">
        <v>3</v>
      </c>
      <c r="DI302" s="13">
        <v>32.43</v>
      </c>
      <c r="DJ302" s="11"/>
      <c r="DK302" s="11"/>
      <c r="DL302" s="13"/>
      <c r="DM302" s="11"/>
      <c r="DN302" s="12"/>
      <c r="DO302" s="12"/>
      <c r="DP302" s="11">
        <v>12</v>
      </c>
      <c r="DQ302" s="13">
        <v>223.61</v>
      </c>
      <c r="DR302" s="11"/>
      <c r="DS302" s="11"/>
      <c r="DT302" s="13"/>
      <c r="DU302" s="11"/>
      <c r="DV302" s="12"/>
      <c r="DW302" s="12"/>
      <c r="DX302" s="11"/>
      <c r="DY302" s="13"/>
      <c r="DZ302" s="11"/>
      <c r="EA302" s="11"/>
      <c r="EB302" s="13"/>
      <c r="EC302" s="11"/>
      <c r="ED302" s="12"/>
      <c r="EE302" s="12"/>
      <c r="EF302" s="11"/>
      <c r="EG302" s="13"/>
      <c r="EH302" s="11"/>
      <c r="EI302" s="11"/>
      <c r="EJ302" s="13"/>
      <c r="EK302" s="11"/>
      <c r="EL302" s="12"/>
      <c r="EM302" s="12"/>
      <c r="EN302" s="11">
        <v>1</v>
      </c>
      <c r="EO302" s="13">
        <v>39.99</v>
      </c>
      <c r="EP302" s="11"/>
      <c r="EQ302" s="11"/>
      <c r="ER302" s="13"/>
      <c r="ES302" s="11"/>
      <c r="ET302" s="12"/>
      <c r="EU302" s="12"/>
      <c r="EV302" s="11">
        <v>1</v>
      </c>
      <c r="EW302" s="13">
        <v>16.63</v>
      </c>
      <c r="EX302" s="11"/>
      <c r="EY302" s="11"/>
      <c r="EZ302" s="13"/>
      <c r="FA302" s="11"/>
      <c r="FB302" s="12"/>
      <c r="FC302" s="12"/>
      <c r="FD302" s="11"/>
      <c r="FE302" s="13"/>
      <c r="FF302" s="11"/>
      <c r="FG302" s="11"/>
      <c r="FH302" s="13"/>
      <c r="FI302" s="11"/>
      <c r="FJ302" s="12"/>
      <c r="FK302" s="12"/>
      <c r="FL302" s="11">
        <v>12</v>
      </c>
      <c r="FM302" s="13">
        <v>255</v>
      </c>
      <c r="FN302" s="11"/>
      <c r="FO302" s="11"/>
      <c r="FP302" s="13"/>
      <c r="FQ302" s="11"/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/>
      <c r="GC302" s="13"/>
      <c r="GD302" s="11"/>
      <c r="GE302" s="11"/>
      <c r="GF302" s="13"/>
      <c r="GG302" s="11"/>
      <c r="GH302" s="12"/>
      <c r="GI302" s="12"/>
      <c r="GJ302" s="11"/>
      <c r="GK302" s="13"/>
      <c r="GL302" s="11"/>
      <c r="GM302" s="11"/>
      <c r="GN302" s="13"/>
      <c r="GO302" s="11"/>
      <c r="GP302" s="12"/>
      <c r="GQ302" s="12"/>
      <c r="GR302" s="11"/>
      <c r="GS302" s="13"/>
      <c r="GT302" s="11"/>
      <c r="GU302" s="11"/>
      <c r="GV302" s="13"/>
      <c r="GW302" s="11"/>
      <c r="GX302" s="12"/>
      <c r="GY302" s="12"/>
      <c r="GZ302" s="11">
        <v>4</v>
      </c>
      <c r="HA302" s="13">
        <v>79.21</v>
      </c>
      <c r="HB302" s="11"/>
      <c r="HC302" s="11"/>
      <c r="HD302" s="13"/>
      <c r="HE302" s="11"/>
      <c r="HF302" s="12"/>
      <c r="HG302" s="12"/>
      <c r="HH302" s="11"/>
      <c r="HI302" s="13"/>
      <c r="HJ302" s="11"/>
      <c r="HK302" s="11"/>
      <c r="HL302" s="13"/>
      <c r="HM302" s="11"/>
      <c r="HN302" s="12"/>
      <c r="HO302" s="12"/>
      <c r="HP302" s="11"/>
      <c r="HQ302" s="13"/>
      <c r="HR302" s="11"/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/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/>
      <c r="JP302" s="13"/>
      <c r="JQ302" s="11"/>
      <c r="JR302" s="12"/>
      <c r="JS302" s="12"/>
      <c r="JT302" s="11"/>
      <c r="JU302" s="13"/>
      <c r="JV302" s="11"/>
      <c r="JW302" s="11"/>
      <c r="JX302" s="13"/>
      <c r="JY302" s="11"/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  <c r="LH302" s="11"/>
      <c r="LI302" s="13"/>
      <c r="LJ302" s="11"/>
      <c r="LK302" s="11"/>
      <c r="LL302" s="13"/>
      <c r="LM302" s="11"/>
      <c r="LN302" s="12"/>
      <c r="LO302" s="12"/>
      <c r="LP302" s="11"/>
      <c r="LQ302" s="13"/>
      <c r="LR302" s="11"/>
      <c r="LS302" s="11"/>
      <c r="LT302" s="13"/>
      <c r="LU302" s="11"/>
      <c r="LV302" s="12"/>
      <c r="LW302" s="12"/>
    </row>
    <row r="303">
      <c r="A303" s="10" t="s">
        <v>193</v>
      </c>
      <c r="B303" s="10" t="s">
        <v>119</v>
      </c>
      <c r="C303" s="10" t="s">
        <v>77</v>
      </c>
      <c r="D303" s="11">
        <v>13058</v>
      </c>
      <c r="E303" s="11">
        <f>=ROUNDDOWN({0},0)</f>
      </c>
      <c r="F303" s="11">
        <v>8071</v>
      </c>
      <c r="G303" s="12"/>
      <c r="H303" s="11"/>
      <c r="I303" s="11">
        <f>=ROUNDDOWN({0},0)</f>
      </c>
      <c r="J303" s="11"/>
      <c r="K303" s="12"/>
      <c r="L303" s="11">
        <v>10462</v>
      </c>
      <c r="M303" s="13">
        <v>248599.02</v>
      </c>
      <c r="N303" s="11">
        <v>35</v>
      </c>
      <c r="O303" s="14">
        <v>7102.83</v>
      </c>
      <c r="P303" s="11"/>
      <c r="Q303" s="13"/>
      <c r="R303" s="11"/>
      <c r="S303" s="14"/>
      <c r="T303" s="12"/>
      <c r="U303" s="12"/>
      <c r="V303" s="12"/>
      <c r="W303" s="12"/>
      <c r="X303" s="11">
        <v>4856</v>
      </c>
      <c r="Y303" s="13">
        <v>112155.07</v>
      </c>
      <c r="Z303" s="11">
        <v>18</v>
      </c>
      <c r="AA303" s="11"/>
      <c r="AB303" s="13"/>
      <c r="AC303" s="11"/>
      <c r="AD303" s="12"/>
      <c r="AE303" s="12"/>
      <c r="AF303" s="11">
        <v>315</v>
      </c>
      <c r="AG303" s="13">
        <v>6304.4</v>
      </c>
      <c r="AH303" s="11">
        <v>35</v>
      </c>
      <c r="AI303" s="11"/>
      <c r="AJ303" s="13"/>
      <c r="AK303" s="11"/>
      <c r="AL303" s="12"/>
      <c r="AM303" s="12"/>
      <c r="AN303" s="11">
        <v>1591</v>
      </c>
      <c r="AO303" s="13">
        <v>32030.68</v>
      </c>
      <c r="AP303" s="11">
        <v>35</v>
      </c>
      <c r="AQ303" s="11"/>
      <c r="AR303" s="13"/>
      <c r="AS303" s="11"/>
      <c r="AT303" s="12"/>
      <c r="AU303" s="12"/>
      <c r="AV303" s="11">
        <v>909</v>
      </c>
      <c r="AW303" s="13">
        <v>21635.91</v>
      </c>
      <c r="AX303" s="11">
        <v>35</v>
      </c>
      <c r="AY303" s="11"/>
      <c r="AZ303" s="13"/>
      <c r="BA303" s="11"/>
      <c r="BB303" s="12"/>
      <c r="BC303" s="12"/>
      <c r="BD303" s="11">
        <v>1457</v>
      </c>
      <c r="BE303" s="13">
        <v>40323.6</v>
      </c>
      <c r="BF303" s="11">
        <v>32</v>
      </c>
      <c r="BG303" s="11"/>
      <c r="BH303" s="13"/>
      <c r="BI303" s="11"/>
      <c r="BJ303" s="12"/>
      <c r="BK303" s="12"/>
      <c r="BL303" s="11">
        <v>202</v>
      </c>
      <c r="BM303" s="13">
        <v>5785.12</v>
      </c>
      <c r="BN303" s="11">
        <v>35</v>
      </c>
      <c r="BO303" s="11"/>
      <c r="BP303" s="13"/>
      <c r="BQ303" s="11"/>
      <c r="BR303" s="12"/>
      <c r="BS303" s="12"/>
      <c r="BT303" s="11">
        <v>232</v>
      </c>
      <c r="BU303" s="13">
        <v>5668.78</v>
      </c>
      <c r="BV303" s="11">
        <v>35</v>
      </c>
      <c r="BW303" s="11"/>
      <c r="BX303" s="13"/>
      <c r="BY303" s="11"/>
      <c r="BZ303" s="12"/>
      <c r="CA303" s="12"/>
      <c r="CB303" s="11">
        <v>234</v>
      </c>
      <c r="CC303" s="13">
        <v>5740.84</v>
      </c>
      <c r="CD303" s="11">
        <v>35</v>
      </c>
      <c r="CE303" s="11"/>
      <c r="CF303" s="13"/>
      <c r="CG303" s="11"/>
      <c r="CH303" s="12"/>
      <c r="CI303" s="12"/>
      <c r="CJ303" s="11">
        <v>46</v>
      </c>
      <c r="CK303" s="13">
        <v>1843.78</v>
      </c>
      <c r="CL303" s="11">
        <v>35</v>
      </c>
      <c r="CM303" s="11"/>
      <c r="CN303" s="13"/>
      <c r="CO303" s="11"/>
      <c r="CP303" s="12"/>
      <c r="CQ303" s="12"/>
      <c r="CR303" s="11"/>
      <c r="CS303" s="13"/>
      <c r="CT303" s="11"/>
      <c r="CU303" s="11"/>
      <c r="CV303" s="13"/>
      <c r="CW303" s="11"/>
      <c r="CX303" s="12"/>
      <c r="CY303" s="12"/>
      <c r="CZ303" s="11"/>
      <c r="DA303" s="13"/>
      <c r="DB303" s="11"/>
      <c r="DC303" s="11"/>
      <c r="DD303" s="13"/>
      <c r="DE303" s="11"/>
      <c r="DF303" s="12"/>
      <c r="DG303" s="12"/>
      <c r="DH303" s="11">
        <v>35</v>
      </c>
      <c r="DI303" s="13">
        <v>910.21</v>
      </c>
      <c r="DJ303" s="11">
        <v>29</v>
      </c>
      <c r="DK303" s="11"/>
      <c r="DL303" s="13"/>
      <c r="DM303" s="11"/>
      <c r="DN303" s="12"/>
      <c r="DO303" s="12"/>
      <c r="DP303" s="11">
        <v>114</v>
      </c>
      <c r="DQ303" s="13">
        <v>3165.97</v>
      </c>
      <c r="DR303" s="11">
        <v>35</v>
      </c>
      <c r="DS303" s="11"/>
      <c r="DT303" s="13"/>
      <c r="DU303" s="11"/>
      <c r="DV303" s="12"/>
      <c r="DW303" s="12"/>
      <c r="DX303" s="11">
        <v>4</v>
      </c>
      <c r="DY303" s="13">
        <v>119.56</v>
      </c>
      <c r="DZ303" s="11">
        <v>2</v>
      </c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>
        <v>29</v>
      </c>
      <c r="EO303" s="13">
        <v>1496.71</v>
      </c>
      <c r="EP303" s="11">
        <v>35</v>
      </c>
      <c r="EQ303" s="11"/>
      <c r="ER303" s="13"/>
      <c r="ES303" s="11"/>
      <c r="ET303" s="12"/>
      <c r="EU303" s="12"/>
      <c r="EV303" s="11">
        <v>74</v>
      </c>
      <c r="EW303" s="13">
        <v>1459.29</v>
      </c>
      <c r="EX303" s="11">
        <v>10</v>
      </c>
      <c r="EY303" s="11"/>
      <c r="EZ303" s="13"/>
      <c r="FA303" s="11"/>
      <c r="FB303" s="12"/>
      <c r="FC303" s="12"/>
      <c r="FD303" s="11">
        <v>317</v>
      </c>
      <c r="FE303" s="13">
        <v>8551.97</v>
      </c>
      <c r="FF303" s="11">
        <v>20</v>
      </c>
      <c r="FG303" s="11"/>
      <c r="FH303" s="13"/>
      <c r="FI303" s="11"/>
      <c r="FJ303" s="12"/>
      <c r="FK303" s="12"/>
      <c r="FL303" s="11">
        <v>30</v>
      </c>
      <c r="FM303" s="13">
        <v>942.82</v>
      </c>
      <c r="FN303" s="11">
        <v>1</v>
      </c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/>
      <c r="GE303" s="11"/>
      <c r="GF303" s="13"/>
      <c r="GG303" s="11"/>
      <c r="GH303" s="12"/>
      <c r="GI303" s="12"/>
      <c r="GJ303" s="11"/>
      <c r="GK303" s="13"/>
      <c r="GL303" s="11"/>
      <c r="GM303" s="11"/>
      <c r="GN303" s="13"/>
      <c r="GO303" s="11"/>
      <c r="GP303" s="12"/>
      <c r="GQ303" s="12"/>
      <c r="GR303" s="11"/>
      <c r="GS303" s="13"/>
      <c r="GT303" s="11">
        <v>29</v>
      </c>
      <c r="GU303" s="11"/>
      <c r="GV303" s="13"/>
      <c r="GW303" s="11"/>
      <c r="GX303" s="12"/>
      <c r="GY303" s="12"/>
      <c r="GZ303" s="11">
        <v>17</v>
      </c>
      <c r="HA303" s="13">
        <v>464.31</v>
      </c>
      <c r="HB303" s="11">
        <v>4</v>
      </c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/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>
        <v>13</v>
      </c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/>
      <c r="JP303" s="13"/>
      <c r="JQ303" s="11"/>
      <c r="JR303" s="12"/>
      <c r="JS303" s="12"/>
      <c r="JT303" s="11"/>
      <c r="JU303" s="13"/>
      <c r="JV303" s="11"/>
      <c r="JW303" s="11"/>
      <c r="JX303" s="13"/>
      <c r="JY303" s="11"/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/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  <c r="LH303" s="11"/>
      <c r="LI303" s="13"/>
      <c r="LJ303" s="11"/>
      <c r="LK303" s="11"/>
      <c r="LL303" s="13"/>
      <c r="LM303" s="11"/>
      <c r="LN303" s="12"/>
      <c r="LO303" s="12"/>
      <c r="LP303" s="11"/>
      <c r="LQ303" s="13"/>
      <c r="LR303" s="11"/>
      <c r="LS303" s="11"/>
      <c r="LT303" s="13"/>
      <c r="LU303" s="11"/>
      <c r="LV303" s="12"/>
      <c r="LW303" s="12"/>
    </row>
    <row r="304">
      <c r="A304" s="10" t="s">
        <v>193</v>
      </c>
      <c r="B304" s="10" t="s">
        <v>122</v>
      </c>
      <c r="C304" s="10" t="s">
        <v>93</v>
      </c>
      <c r="D304" s="11"/>
      <c r="E304" s="11">
        <f>=ROUNDDOWN({0},0)</f>
      </c>
      <c r="F304" s="11"/>
      <c r="G304" s="12"/>
      <c r="H304" s="11"/>
      <c r="I304" s="11">
        <f>=ROUNDDOWN({0},0)</f>
      </c>
      <c r="J304" s="11"/>
      <c r="K304" s="12"/>
      <c r="L304" s="11"/>
      <c r="M304" s="13"/>
      <c r="N304" s="11"/>
      <c r="O304" s="14"/>
      <c r="P304" s="11"/>
      <c r="Q304" s="13"/>
      <c r="R304" s="11"/>
      <c r="S304" s="14"/>
      <c r="T304" s="12"/>
      <c r="U304" s="12"/>
      <c r="V304" s="12"/>
      <c r="W304" s="12"/>
      <c r="X304" s="11"/>
      <c r="Y304" s="13"/>
      <c r="Z304" s="11"/>
      <c r="AA304" s="11"/>
      <c r="AB304" s="13"/>
      <c r="AC304" s="11"/>
      <c r="AD304" s="12"/>
      <c r="AE304" s="12"/>
      <c r="AF304" s="11"/>
      <c r="AG304" s="13"/>
      <c r="AH304" s="11"/>
      <c r="AI304" s="11"/>
      <c r="AJ304" s="13"/>
      <c r="AK304" s="11"/>
      <c r="AL304" s="12"/>
      <c r="AM304" s="12"/>
      <c r="AN304" s="11"/>
      <c r="AO304" s="13"/>
      <c r="AP304" s="11"/>
      <c r="AQ304" s="11"/>
      <c r="AR304" s="13"/>
      <c r="AS304" s="11"/>
      <c r="AT304" s="12"/>
      <c r="AU304" s="12"/>
      <c r="AV304" s="11"/>
      <c r="AW304" s="13"/>
      <c r="AX304" s="11"/>
      <c r="AY304" s="11"/>
      <c r="AZ304" s="13"/>
      <c r="BA304" s="11"/>
      <c r="BB304" s="12"/>
      <c r="BC304" s="12"/>
      <c r="BD304" s="11"/>
      <c r="BE304" s="13"/>
      <c r="BF304" s="11"/>
      <c r="BG304" s="11"/>
      <c r="BH304" s="13"/>
      <c r="BI304" s="11"/>
      <c r="BJ304" s="12"/>
      <c r="BK304" s="12"/>
      <c r="BL304" s="11"/>
      <c r="BM304" s="13"/>
      <c r="BN304" s="11"/>
      <c r="BO304" s="11"/>
      <c r="BP304" s="13"/>
      <c r="BQ304" s="11"/>
      <c r="BR304" s="12"/>
      <c r="BS304" s="12"/>
      <c r="BT304" s="11"/>
      <c r="BU304" s="13"/>
      <c r="BV304" s="11"/>
      <c r="BW304" s="11"/>
      <c r="BX304" s="13"/>
      <c r="BY304" s="11"/>
      <c r="BZ304" s="12"/>
      <c r="CA304" s="12"/>
      <c r="CB304" s="11"/>
      <c r="CC304" s="13"/>
      <c r="CD304" s="11"/>
      <c r="CE304" s="11"/>
      <c r="CF304" s="13"/>
      <c r="CG304" s="11"/>
      <c r="CH304" s="12"/>
      <c r="CI304" s="12"/>
      <c r="CJ304" s="11"/>
      <c r="CK304" s="13"/>
      <c r="CL304" s="11"/>
      <c r="CM304" s="11"/>
      <c r="CN304" s="13"/>
      <c r="CO304" s="11"/>
      <c r="CP304" s="12"/>
      <c r="CQ304" s="12"/>
      <c r="CR304" s="11"/>
      <c r="CS304" s="13"/>
      <c r="CT304" s="11"/>
      <c r="CU304" s="11"/>
      <c r="CV304" s="13"/>
      <c r="CW304" s="11"/>
      <c r="CX304" s="12"/>
      <c r="CY304" s="12"/>
      <c r="CZ304" s="11"/>
      <c r="DA304" s="13"/>
      <c r="DB304" s="11"/>
      <c r="DC304" s="11"/>
      <c r="DD304" s="13"/>
      <c r="DE304" s="11"/>
      <c r="DF304" s="12"/>
      <c r="DG304" s="12"/>
      <c r="DH304" s="11"/>
      <c r="DI304" s="13"/>
      <c r="DJ304" s="11"/>
      <c r="DK304" s="11"/>
      <c r="DL304" s="13"/>
      <c r="DM304" s="11"/>
      <c r="DN304" s="12"/>
      <c r="DO304" s="12"/>
      <c r="DP304" s="11"/>
      <c r="DQ304" s="13"/>
      <c r="DR304" s="11"/>
      <c r="DS304" s="11"/>
      <c r="DT304" s="13"/>
      <c r="DU304" s="11"/>
      <c r="DV304" s="12"/>
      <c r="DW304" s="12"/>
      <c r="DX304" s="11"/>
      <c r="DY304" s="13"/>
      <c r="DZ304" s="11"/>
      <c r="EA304" s="11"/>
      <c r="EB304" s="13"/>
      <c r="EC304" s="11"/>
      <c r="ED304" s="12"/>
      <c r="EE304" s="12"/>
      <c r="EF304" s="11"/>
      <c r="EG304" s="13"/>
      <c r="EH304" s="11"/>
      <c r="EI304" s="11"/>
      <c r="EJ304" s="13"/>
      <c r="EK304" s="11"/>
      <c r="EL304" s="12"/>
      <c r="EM304" s="12"/>
      <c r="EN304" s="11"/>
      <c r="EO304" s="13"/>
      <c r="EP304" s="11"/>
      <c r="EQ304" s="11"/>
      <c r="ER304" s="13"/>
      <c r="ES304" s="11"/>
      <c r="ET304" s="12"/>
      <c r="EU304" s="12"/>
      <c r="EV304" s="11"/>
      <c r="EW304" s="13"/>
      <c r="EX304" s="11"/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/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/>
      <c r="GE304" s="11"/>
      <c r="GF304" s="13"/>
      <c r="GG304" s="11"/>
      <c r="GH304" s="12"/>
      <c r="GI304" s="12"/>
      <c r="GJ304" s="11"/>
      <c r="GK304" s="13"/>
      <c r="GL304" s="11"/>
      <c r="GM304" s="11"/>
      <c r="GN304" s="13"/>
      <c r="GO304" s="11"/>
      <c r="GP304" s="12"/>
      <c r="GQ304" s="12"/>
      <c r="GR304" s="11"/>
      <c r="GS304" s="13"/>
      <c r="GT304" s="11"/>
      <c r="GU304" s="11"/>
      <c r="GV304" s="13"/>
      <c r="GW304" s="11"/>
      <c r="GX304" s="12"/>
      <c r="GY304" s="12"/>
      <c r="GZ304" s="11"/>
      <c r="HA304" s="13"/>
      <c r="HB304" s="11"/>
      <c r="HC304" s="11"/>
      <c r="HD304" s="13"/>
      <c r="HE304" s="11"/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/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/>
      <c r="JR304" s="12"/>
      <c r="JS304" s="12"/>
      <c r="JT304" s="11"/>
      <c r="JU304" s="13"/>
      <c r="JV304" s="11"/>
      <c r="JW304" s="11"/>
      <c r="JX304" s="13"/>
      <c r="JY304" s="11"/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/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  <c r="LH304" s="11"/>
      <c r="LI304" s="13"/>
      <c r="LJ304" s="11"/>
      <c r="LK304" s="11"/>
      <c r="LL304" s="13"/>
      <c r="LM304" s="11"/>
      <c r="LN304" s="12"/>
      <c r="LO304" s="12"/>
      <c r="LP304" s="11"/>
      <c r="LQ304" s="13"/>
      <c r="LR304" s="11"/>
      <c r="LS304" s="11"/>
      <c r="LT304" s="13"/>
      <c r="LU304" s="11"/>
      <c r="LV304" s="12"/>
      <c r="LW304" s="12"/>
    </row>
    <row r="305">
      <c r="A305" s="10" t="s">
        <v>193</v>
      </c>
      <c r="B305" s="10" t="s">
        <v>123</v>
      </c>
      <c r="C305" s="10" t="s">
        <v>77</v>
      </c>
      <c r="D305" s="11"/>
      <c r="E305" s="11">
        <f>=ROUNDDOWN({0},0)</f>
      </c>
      <c r="F305" s="11"/>
      <c r="G305" s="12"/>
      <c r="H305" s="11"/>
      <c r="I305" s="11">
        <f>=ROUNDDOWN({0},0)</f>
      </c>
      <c r="J305" s="11"/>
      <c r="K305" s="12"/>
      <c r="L305" s="11"/>
      <c r="M305" s="13"/>
      <c r="N305" s="11"/>
      <c r="O305" s="14"/>
      <c r="P305" s="11"/>
      <c r="Q305" s="13"/>
      <c r="R305" s="11"/>
      <c r="S305" s="14"/>
      <c r="T305" s="12"/>
      <c r="U305" s="12"/>
      <c r="V305" s="12"/>
      <c r="W305" s="12"/>
      <c r="X305" s="11"/>
      <c r="Y305" s="13"/>
      <c r="Z305" s="11"/>
      <c r="AA305" s="11"/>
      <c r="AB305" s="13"/>
      <c r="AC305" s="11"/>
      <c r="AD305" s="12"/>
      <c r="AE305" s="12"/>
      <c r="AF305" s="11"/>
      <c r="AG305" s="13"/>
      <c r="AH305" s="11"/>
      <c r="AI305" s="11"/>
      <c r="AJ305" s="13"/>
      <c r="AK305" s="11"/>
      <c r="AL305" s="12"/>
      <c r="AM305" s="12"/>
      <c r="AN305" s="11"/>
      <c r="AO305" s="13"/>
      <c r="AP305" s="11"/>
      <c r="AQ305" s="11"/>
      <c r="AR305" s="13"/>
      <c r="AS305" s="11"/>
      <c r="AT305" s="12"/>
      <c r="AU305" s="12"/>
      <c r="AV305" s="11"/>
      <c r="AW305" s="13"/>
      <c r="AX305" s="11"/>
      <c r="AY305" s="11"/>
      <c r="AZ305" s="13"/>
      <c r="BA305" s="11"/>
      <c r="BB305" s="12"/>
      <c r="BC305" s="12"/>
      <c r="BD305" s="11"/>
      <c r="BE305" s="13"/>
      <c r="BF305" s="11"/>
      <c r="BG305" s="11"/>
      <c r="BH305" s="13"/>
      <c r="BI305" s="11"/>
      <c r="BJ305" s="12"/>
      <c r="BK305" s="12"/>
      <c r="BL305" s="11"/>
      <c r="BM305" s="13"/>
      <c r="BN305" s="11"/>
      <c r="BO305" s="11"/>
      <c r="BP305" s="13"/>
      <c r="BQ305" s="11"/>
      <c r="BR305" s="12"/>
      <c r="BS305" s="12"/>
      <c r="BT305" s="11"/>
      <c r="BU305" s="13"/>
      <c r="BV305" s="11"/>
      <c r="BW305" s="11"/>
      <c r="BX305" s="13"/>
      <c r="BY305" s="11"/>
      <c r="BZ305" s="12"/>
      <c r="CA305" s="12"/>
      <c r="CB305" s="11"/>
      <c r="CC305" s="13"/>
      <c r="CD305" s="11"/>
      <c r="CE305" s="11"/>
      <c r="CF305" s="13"/>
      <c r="CG305" s="11"/>
      <c r="CH305" s="12"/>
      <c r="CI305" s="12"/>
      <c r="CJ305" s="11"/>
      <c r="CK305" s="13"/>
      <c r="CL305" s="11"/>
      <c r="CM305" s="11"/>
      <c r="CN305" s="13"/>
      <c r="CO305" s="11"/>
      <c r="CP305" s="12"/>
      <c r="CQ305" s="12"/>
      <c r="CR305" s="11"/>
      <c r="CS305" s="13"/>
      <c r="CT305" s="11"/>
      <c r="CU305" s="11"/>
      <c r="CV305" s="13"/>
      <c r="CW305" s="11"/>
      <c r="CX305" s="12"/>
      <c r="CY305" s="12"/>
      <c r="CZ305" s="11"/>
      <c r="DA305" s="13"/>
      <c r="DB305" s="11"/>
      <c r="DC305" s="11"/>
      <c r="DD305" s="13"/>
      <c r="DE305" s="11"/>
      <c r="DF305" s="12"/>
      <c r="DG305" s="12"/>
      <c r="DH305" s="11"/>
      <c r="DI305" s="13"/>
      <c r="DJ305" s="11"/>
      <c r="DK305" s="11"/>
      <c r="DL305" s="13"/>
      <c r="DM305" s="11"/>
      <c r="DN305" s="12"/>
      <c r="DO305" s="12"/>
      <c r="DP305" s="11"/>
      <c r="DQ305" s="13"/>
      <c r="DR305" s="11"/>
      <c r="DS305" s="11"/>
      <c r="DT305" s="13"/>
      <c r="DU305" s="11"/>
      <c r="DV305" s="12"/>
      <c r="DW305" s="12"/>
      <c r="DX305" s="11"/>
      <c r="DY305" s="13"/>
      <c r="DZ305" s="11"/>
      <c r="EA305" s="11"/>
      <c r="EB305" s="13"/>
      <c r="EC305" s="11"/>
      <c r="ED305" s="12"/>
      <c r="EE305" s="12"/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/>
      <c r="EQ305" s="11"/>
      <c r="ER305" s="13"/>
      <c r="ES305" s="11"/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/>
      <c r="FJ305" s="12"/>
      <c r="FK305" s="12"/>
      <c r="FL305" s="11"/>
      <c r="FM305" s="13"/>
      <c r="FN305" s="11"/>
      <c r="FO305" s="11"/>
      <c r="FP305" s="13"/>
      <c r="FQ305" s="11"/>
      <c r="FR305" s="12"/>
      <c r="FS305" s="12"/>
      <c r="FT305" s="11"/>
      <c r="FU305" s="13"/>
      <c r="FV305" s="11"/>
      <c r="FW305" s="11"/>
      <c r="FX305" s="13"/>
      <c r="FY305" s="11"/>
      <c r="FZ305" s="12"/>
      <c r="GA305" s="12"/>
      <c r="GB305" s="11"/>
      <c r="GC305" s="13"/>
      <c r="GD305" s="11"/>
      <c r="GE305" s="11"/>
      <c r="GF305" s="13"/>
      <c r="GG305" s="11"/>
      <c r="GH305" s="12"/>
      <c r="GI305" s="12"/>
      <c r="GJ305" s="11"/>
      <c r="GK305" s="13"/>
      <c r="GL305" s="11"/>
      <c r="GM305" s="11"/>
      <c r="GN305" s="13"/>
      <c r="GO305" s="11"/>
      <c r="GP305" s="12"/>
      <c r="GQ305" s="12"/>
      <c r="GR305" s="11"/>
      <c r="GS305" s="13"/>
      <c r="GT305" s="11"/>
      <c r="GU305" s="11"/>
      <c r="GV305" s="13"/>
      <c r="GW305" s="11"/>
      <c r="GX305" s="12"/>
      <c r="GY305" s="12"/>
      <c r="GZ305" s="11"/>
      <c r="HA305" s="13"/>
      <c r="HB305" s="11"/>
      <c r="HC305" s="11"/>
      <c r="HD305" s="13"/>
      <c r="HE305" s="11"/>
      <c r="HF305" s="12"/>
      <c r="HG305" s="12"/>
      <c r="HH305" s="11"/>
      <c r="HI305" s="13"/>
      <c r="HJ305" s="11"/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/>
      <c r="JO305" s="11"/>
      <c r="JP305" s="13"/>
      <c r="JQ305" s="11"/>
      <c r="JR305" s="12"/>
      <c r="JS305" s="12"/>
      <c r="JT305" s="11"/>
      <c r="JU305" s="13"/>
      <c r="JV305" s="11"/>
      <c r="JW305" s="11"/>
      <c r="JX305" s="13"/>
      <c r="JY305" s="11"/>
      <c r="JZ305" s="12"/>
      <c r="KA305" s="12"/>
      <c r="KB305" s="11"/>
      <c r="KC305" s="13"/>
      <c r="KD305" s="11"/>
      <c r="KE305" s="11"/>
      <c r="KF305" s="13"/>
      <c r="KG305" s="11"/>
      <c r="KH305" s="12"/>
      <c r="KI305" s="12"/>
      <c r="KJ305" s="11"/>
      <c r="KK305" s="13"/>
      <c r="KL305" s="11"/>
      <c r="KM305" s="11"/>
      <c r="KN305" s="13"/>
      <c r="KO305" s="11"/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  <c r="LH305" s="11"/>
      <c r="LI305" s="13"/>
      <c r="LJ305" s="11"/>
      <c r="LK305" s="11"/>
      <c r="LL305" s="13"/>
      <c r="LM305" s="11"/>
      <c r="LN305" s="12"/>
      <c r="LO305" s="12"/>
      <c r="LP305" s="11"/>
      <c r="LQ305" s="13"/>
      <c r="LR305" s="11"/>
      <c r="LS305" s="11"/>
      <c r="LT305" s="13"/>
      <c r="LU305" s="11"/>
      <c r="LV305" s="12"/>
      <c r="LW305" s="12"/>
    </row>
    <row r="306">
      <c r="A306" s="10" t="s">
        <v>193</v>
      </c>
      <c r="B306" s="10" t="s">
        <v>130</v>
      </c>
      <c r="C306" s="10" t="s">
        <v>172</v>
      </c>
      <c r="D306" s="11">
        <v>12580</v>
      </c>
      <c r="E306" s="11">
        <f>=ROUNDDOWN(234.701492537313,0)</f>
      </c>
      <c r="F306" s="11"/>
      <c r="G306" s="12">
        <v>1</v>
      </c>
      <c r="H306" s="11"/>
      <c r="I306" s="11">
        <f>=ROUNDDOWN({0},0)</f>
      </c>
      <c r="J306" s="11"/>
      <c r="K306" s="12"/>
      <c r="L306" s="11">
        <v>6</v>
      </c>
      <c r="M306" s="13">
        <v>75.05</v>
      </c>
      <c r="N306" s="11"/>
      <c r="O306" s="14"/>
      <c r="P306" s="11"/>
      <c r="Q306" s="13"/>
      <c r="R306" s="11"/>
      <c r="S306" s="14"/>
      <c r="T306" s="12"/>
      <c r="U306" s="12"/>
      <c r="V306" s="12"/>
      <c r="W306" s="12"/>
      <c r="X306" s="11"/>
      <c r="Y306" s="13"/>
      <c r="Z306" s="11"/>
      <c r="AA306" s="11"/>
      <c r="AB306" s="13"/>
      <c r="AC306" s="11"/>
      <c r="AD306" s="12"/>
      <c r="AE306" s="12"/>
      <c r="AF306" s="11"/>
      <c r="AG306" s="13"/>
      <c r="AH306" s="11"/>
      <c r="AI306" s="11"/>
      <c r="AJ306" s="13"/>
      <c r="AK306" s="11"/>
      <c r="AL306" s="12"/>
      <c r="AM306" s="12"/>
      <c r="AN306" s="11"/>
      <c r="AO306" s="13"/>
      <c r="AP306" s="11"/>
      <c r="AQ306" s="11"/>
      <c r="AR306" s="13"/>
      <c r="AS306" s="11"/>
      <c r="AT306" s="12"/>
      <c r="AU306" s="12"/>
      <c r="AV306" s="11"/>
      <c r="AW306" s="13"/>
      <c r="AX306" s="11"/>
      <c r="AY306" s="11"/>
      <c r="AZ306" s="13"/>
      <c r="BA306" s="11"/>
      <c r="BB306" s="12"/>
      <c r="BC306" s="12"/>
      <c r="BD306" s="11">
        <v>6</v>
      </c>
      <c r="BE306" s="13">
        <v>75.05</v>
      </c>
      <c r="BF306" s="11"/>
      <c r="BG306" s="11"/>
      <c r="BH306" s="13"/>
      <c r="BI306" s="11"/>
      <c r="BJ306" s="12"/>
      <c r="BK306" s="12"/>
      <c r="BL306" s="11"/>
      <c r="BM306" s="13"/>
      <c r="BN306" s="11"/>
      <c r="BO306" s="11"/>
      <c r="BP306" s="13"/>
      <c r="BQ306" s="11"/>
      <c r="BR306" s="12"/>
      <c r="BS306" s="12"/>
      <c r="BT306" s="11"/>
      <c r="BU306" s="13"/>
      <c r="BV306" s="11"/>
      <c r="BW306" s="11"/>
      <c r="BX306" s="13"/>
      <c r="BY306" s="11"/>
      <c r="BZ306" s="12"/>
      <c r="CA306" s="12"/>
      <c r="CB306" s="11"/>
      <c r="CC306" s="13"/>
      <c r="CD306" s="11"/>
      <c r="CE306" s="11"/>
      <c r="CF306" s="13"/>
      <c r="CG306" s="11"/>
      <c r="CH306" s="12"/>
      <c r="CI306" s="12"/>
      <c r="CJ306" s="11"/>
      <c r="CK306" s="13"/>
      <c r="CL306" s="11"/>
      <c r="CM306" s="11"/>
      <c r="CN306" s="13"/>
      <c r="CO306" s="11"/>
      <c r="CP306" s="12"/>
      <c r="CQ306" s="12"/>
      <c r="CR306" s="11"/>
      <c r="CS306" s="13"/>
      <c r="CT306" s="11"/>
      <c r="CU306" s="11"/>
      <c r="CV306" s="13"/>
      <c r="CW306" s="11"/>
      <c r="CX306" s="12"/>
      <c r="CY306" s="12"/>
      <c r="CZ306" s="11"/>
      <c r="DA306" s="13"/>
      <c r="DB306" s="11"/>
      <c r="DC306" s="11"/>
      <c r="DD306" s="13"/>
      <c r="DE306" s="11"/>
      <c r="DF306" s="12"/>
      <c r="DG306" s="12"/>
      <c r="DH306" s="11"/>
      <c r="DI306" s="13"/>
      <c r="DJ306" s="11"/>
      <c r="DK306" s="11"/>
      <c r="DL306" s="13"/>
      <c r="DM306" s="11"/>
      <c r="DN306" s="12"/>
      <c r="DO306" s="12"/>
      <c r="DP306" s="11"/>
      <c r="DQ306" s="13"/>
      <c r="DR306" s="11"/>
      <c r="DS306" s="11"/>
      <c r="DT306" s="13"/>
      <c r="DU306" s="11"/>
      <c r="DV306" s="12"/>
      <c r="DW306" s="12"/>
      <c r="DX306" s="11"/>
      <c r="DY306" s="13"/>
      <c r="DZ306" s="11"/>
      <c r="EA306" s="11"/>
      <c r="EB306" s="13"/>
      <c r="EC306" s="11"/>
      <c r="ED306" s="12"/>
      <c r="EE306" s="12"/>
      <c r="EF306" s="11"/>
      <c r="EG306" s="13"/>
      <c r="EH306" s="11"/>
      <c r="EI306" s="11"/>
      <c r="EJ306" s="13"/>
      <c r="EK306" s="11"/>
      <c r="EL306" s="12"/>
      <c r="EM306" s="12"/>
      <c r="EN306" s="11"/>
      <c r="EO306" s="13"/>
      <c r="EP306" s="11"/>
      <c r="EQ306" s="11"/>
      <c r="ER306" s="13"/>
      <c r="ES306" s="11"/>
      <c r="ET306" s="12"/>
      <c r="EU306" s="12"/>
      <c r="EV306" s="11"/>
      <c r="EW306" s="13"/>
      <c r="EX306" s="11"/>
      <c r="EY306" s="11"/>
      <c r="EZ306" s="13"/>
      <c r="FA306" s="11"/>
      <c r="FB306" s="12"/>
      <c r="FC306" s="12"/>
      <c r="FD306" s="11"/>
      <c r="FE306" s="13"/>
      <c r="FF306" s="11"/>
      <c r="FG306" s="11"/>
      <c r="FH306" s="13"/>
      <c r="FI306" s="11"/>
      <c r="FJ306" s="12"/>
      <c r="FK306" s="12"/>
      <c r="FL306" s="11"/>
      <c r="FM306" s="13"/>
      <c r="FN306" s="11"/>
      <c r="FO306" s="11"/>
      <c r="FP306" s="13"/>
      <c r="FQ306" s="11"/>
      <c r="FR306" s="12"/>
      <c r="FS306" s="12"/>
      <c r="FT306" s="11"/>
      <c r="FU306" s="13"/>
      <c r="FV306" s="11"/>
      <c r="FW306" s="11"/>
      <c r="FX306" s="13"/>
      <c r="FY306" s="11"/>
      <c r="FZ306" s="12"/>
      <c r="GA306" s="12"/>
      <c r="GB306" s="11"/>
      <c r="GC306" s="13"/>
      <c r="GD306" s="11"/>
      <c r="GE306" s="11"/>
      <c r="GF306" s="13"/>
      <c r="GG306" s="11"/>
      <c r="GH306" s="12"/>
      <c r="GI306" s="12"/>
      <c r="GJ306" s="11"/>
      <c r="GK306" s="13"/>
      <c r="GL306" s="11"/>
      <c r="GM306" s="11"/>
      <c r="GN306" s="13"/>
      <c r="GO306" s="11"/>
      <c r="GP306" s="12"/>
      <c r="GQ306" s="12"/>
      <c r="GR306" s="11"/>
      <c r="GS306" s="13"/>
      <c r="GT306" s="11"/>
      <c r="GU306" s="11"/>
      <c r="GV306" s="13"/>
      <c r="GW306" s="11"/>
      <c r="GX306" s="12"/>
      <c r="GY306" s="12"/>
      <c r="GZ306" s="11"/>
      <c r="HA306" s="13"/>
      <c r="HB306" s="11"/>
      <c r="HC306" s="11"/>
      <c r="HD306" s="13"/>
      <c r="HE306" s="11"/>
      <c r="HF306" s="12"/>
      <c r="HG306" s="12"/>
      <c r="HH306" s="11"/>
      <c r="HI306" s="13"/>
      <c r="HJ306" s="11"/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/>
      <c r="JO306" s="11"/>
      <c r="JP306" s="13"/>
      <c r="JQ306" s="11"/>
      <c r="JR306" s="12"/>
      <c r="JS306" s="12"/>
      <c r="JT306" s="11"/>
      <c r="JU306" s="13"/>
      <c r="JV306" s="11"/>
      <c r="JW306" s="11"/>
      <c r="JX306" s="13"/>
      <c r="JY306" s="11"/>
      <c r="JZ306" s="12"/>
      <c r="KA306" s="12"/>
      <c r="KB306" s="11"/>
      <c r="KC306" s="13"/>
      <c r="KD306" s="11"/>
      <c r="KE306" s="11"/>
      <c r="KF306" s="13"/>
      <c r="KG306" s="11"/>
      <c r="KH306" s="12"/>
      <c r="KI306" s="12"/>
      <c r="KJ306" s="11"/>
      <c r="KK306" s="13"/>
      <c r="KL306" s="11"/>
      <c r="KM306" s="11"/>
      <c r="KN306" s="13"/>
      <c r="KO306" s="11"/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  <c r="LH306" s="11"/>
      <c r="LI306" s="13"/>
      <c r="LJ306" s="11"/>
      <c r="LK306" s="11"/>
      <c r="LL306" s="13"/>
      <c r="LM306" s="11"/>
      <c r="LN306" s="12"/>
      <c r="LO306" s="12"/>
      <c r="LP306" s="11"/>
      <c r="LQ306" s="13"/>
      <c r="LR306" s="11"/>
      <c r="LS306" s="11"/>
      <c r="LT306" s="13"/>
      <c r="LU306" s="11"/>
      <c r="LV306" s="12"/>
      <c r="LW306" s="12"/>
    </row>
    <row r="307">
      <c r="A307" s="10" t="s">
        <v>193</v>
      </c>
      <c r="B307" s="10" t="s">
        <v>130</v>
      </c>
      <c r="C307" s="10" t="s">
        <v>197</v>
      </c>
      <c r="D307" s="11"/>
      <c r="E307" s="11">
        <f>=ROUNDDOWN({0},0)</f>
      </c>
      <c r="F307" s="11"/>
      <c r="G307" s="12"/>
      <c r="H307" s="11"/>
      <c r="I307" s="11">
        <f>=ROUNDDOWN({0},0)</f>
      </c>
      <c r="J307" s="11"/>
      <c r="K307" s="12"/>
      <c r="L307" s="11">
        <v>1350</v>
      </c>
      <c r="M307" s="13">
        <v>55247.5</v>
      </c>
      <c r="N307" s="11"/>
      <c r="O307" s="14"/>
      <c r="P307" s="11"/>
      <c r="Q307" s="13"/>
      <c r="R307" s="11"/>
      <c r="S307" s="14"/>
      <c r="T307" s="12"/>
      <c r="U307" s="12"/>
      <c r="V307" s="12"/>
      <c r="W307" s="12"/>
      <c r="X307" s="11"/>
      <c r="Y307" s="13"/>
      <c r="Z307" s="11"/>
      <c r="AA307" s="11"/>
      <c r="AB307" s="13"/>
      <c r="AC307" s="11"/>
      <c r="AD307" s="12"/>
      <c r="AE307" s="12"/>
      <c r="AF307" s="11"/>
      <c r="AG307" s="13"/>
      <c r="AH307" s="11"/>
      <c r="AI307" s="11"/>
      <c r="AJ307" s="13"/>
      <c r="AK307" s="11"/>
      <c r="AL307" s="12"/>
      <c r="AM307" s="12"/>
      <c r="AN307" s="11"/>
      <c r="AO307" s="13"/>
      <c r="AP307" s="11"/>
      <c r="AQ307" s="11"/>
      <c r="AR307" s="13"/>
      <c r="AS307" s="11"/>
      <c r="AT307" s="12"/>
      <c r="AU307" s="12"/>
      <c r="AV307" s="11"/>
      <c r="AW307" s="13"/>
      <c r="AX307" s="11"/>
      <c r="AY307" s="11"/>
      <c r="AZ307" s="13"/>
      <c r="BA307" s="11"/>
      <c r="BB307" s="12"/>
      <c r="BC307" s="12"/>
      <c r="BD307" s="11"/>
      <c r="BE307" s="13"/>
      <c r="BF307" s="11"/>
      <c r="BG307" s="11"/>
      <c r="BH307" s="13"/>
      <c r="BI307" s="11"/>
      <c r="BJ307" s="12"/>
      <c r="BK307" s="12"/>
      <c r="BL307" s="11"/>
      <c r="BM307" s="13"/>
      <c r="BN307" s="11"/>
      <c r="BO307" s="11"/>
      <c r="BP307" s="13"/>
      <c r="BQ307" s="11"/>
      <c r="BR307" s="12"/>
      <c r="BS307" s="12"/>
      <c r="BT307" s="11"/>
      <c r="BU307" s="13"/>
      <c r="BV307" s="11"/>
      <c r="BW307" s="11"/>
      <c r="BX307" s="13"/>
      <c r="BY307" s="11"/>
      <c r="BZ307" s="12"/>
      <c r="CA307" s="12"/>
      <c r="CB307" s="11"/>
      <c r="CC307" s="13"/>
      <c r="CD307" s="11"/>
      <c r="CE307" s="11"/>
      <c r="CF307" s="13"/>
      <c r="CG307" s="11"/>
      <c r="CH307" s="12"/>
      <c r="CI307" s="12"/>
      <c r="CJ307" s="11"/>
      <c r="CK307" s="13"/>
      <c r="CL307" s="11"/>
      <c r="CM307" s="11"/>
      <c r="CN307" s="13"/>
      <c r="CO307" s="11"/>
      <c r="CP307" s="12"/>
      <c r="CQ307" s="12"/>
      <c r="CR307" s="11">
        <v>1350</v>
      </c>
      <c r="CS307" s="13">
        <v>55247.5</v>
      </c>
      <c r="CT307" s="11"/>
      <c r="CU307" s="11"/>
      <c r="CV307" s="13"/>
      <c r="CW307" s="11"/>
      <c r="CX307" s="12"/>
      <c r="CY307" s="12"/>
      <c r="CZ307" s="11"/>
      <c r="DA307" s="13"/>
      <c r="DB307" s="11"/>
      <c r="DC307" s="11"/>
      <c r="DD307" s="13"/>
      <c r="DE307" s="11"/>
      <c r="DF307" s="12"/>
      <c r="DG307" s="12"/>
      <c r="DH307" s="11"/>
      <c r="DI307" s="13"/>
      <c r="DJ307" s="11"/>
      <c r="DK307" s="11"/>
      <c r="DL307" s="13"/>
      <c r="DM307" s="11"/>
      <c r="DN307" s="12"/>
      <c r="DO307" s="12"/>
      <c r="DP307" s="11"/>
      <c r="DQ307" s="13"/>
      <c r="DR307" s="11"/>
      <c r="DS307" s="11"/>
      <c r="DT307" s="13"/>
      <c r="DU307" s="11"/>
      <c r="DV307" s="12"/>
      <c r="DW307" s="12"/>
      <c r="DX307" s="11"/>
      <c r="DY307" s="13"/>
      <c r="DZ307" s="11"/>
      <c r="EA307" s="11"/>
      <c r="EB307" s="13"/>
      <c r="EC307" s="11"/>
      <c r="ED307" s="12"/>
      <c r="EE307" s="12"/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/>
      <c r="EQ307" s="11"/>
      <c r="ER307" s="13"/>
      <c r="ES307" s="11"/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/>
      <c r="FE307" s="13"/>
      <c r="FF307" s="11"/>
      <c r="FG307" s="11"/>
      <c r="FH307" s="13"/>
      <c r="FI307" s="11"/>
      <c r="FJ307" s="12"/>
      <c r="FK307" s="12"/>
      <c r="FL307" s="11"/>
      <c r="FM307" s="13"/>
      <c r="FN307" s="11"/>
      <c r="FO307" s="11"/>
      <c r="FP307" s="13"/>
      <c r="FQ307" s="11"/>
      <c r="FR307" s="12"/>
      <c r="FS307" s="12"/>
      <c r="FT307" s="11"/>
      <c r="FU307" s="13"/>
      <c r="FV307" s="11"/>
      <c r="FW307" s="11"/>
      <c r="FX307" s="13"/>
      <c r="FY307" s="11"/>
      <c r="FZ307" s="12"/>
      <c r="GA307" s="12"/>
      <c r="GB307" s="11"/>
      <c r="GC307" s="13"/>
      <c r="GD307" s="11"/>
      <c r="GE307" s="11"/>
      <c r="GF307" s="13"/>
      <c r="GG307" s="11"/>
      <c r="GH307" s="12"/>
      <c r="GI307" s="12"/>
      <c r="GJ307" s="11"/>
      <c r="GK307" s="13"/>
      <c r="GL307" s="11"/>
      <c r="GM307" s="11"/>
      <c r="GN307" s="13"/>
      <c r="GO307" s="11"/>
      <c r="GP307" s="12"/>
      <c r="GQ307" s="12"/>
      <c r="GR307" s="11"/>
      <c r="GS307" s="13"/>
      <c r="GT307" s="11"/>
      <c r="GU307" s="11"/>
      <c r="GV307" s="13"/>
      <c r="GW307" s="11"/>
      <c r="GX307" s="12"/>
      <c r="GY307" s="12"/>
      <c r="GZ307" s="11"/>
      <c r="HA307" s="13"/>
      <c r="HB307" s="11"/>
      <c r="HC307" s="11"/>
      <c r="HD307" s="13"/>
      <c r="HE307" s="11"/>
      <c r="HF307" s="12"/>
      <c r="HG307" s="12"/>
      <c r="HH307" s="11"/>
      <c r="HI307" s="13"/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/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/>
      <c r="JP307" s="13"/>
      <c r="JQ307" s="11"/>
      <c r="JR307" s="12"/>
      <c r="JS307" s="12"/>
      <c r="JT307" s="11"/>
      <c r="JU307" s="13"/>
      <c r="JV307" s="11"/>
      <c r="JW307" s="11"/>
      <c r="JX307" s="13"/>
      <c r="JY307" s="11"/>
      <c r="JZ307" s="12"/>
      <c r="KA307" s="12"/>
      <c r="KB307" s="11"/>
      <c r="KC307" s="13"/>
      <c r="KD307" s="11"/>
      <c r="KE307" s="11"/>
      <c r="KF307" s="13"/>
      <c r="KG307" s="11"/>
      <c r="KH307" s="12"/>
      <c r="KI307" s="12"/>
      <c r="KJ307" s="11"/>
      <c r="KK307" s="13"/>
      <c r="KL307" s="11"/>
      <c r="KM307" s="11"/>
      <c r="KN307" s="13"/>
      <c r="KO307" s="11"/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  <c r="LH307" s="11"/>
      <c r="LI307" s="13"/>
      <c r="LJ307" s="11"/>
      <c r="LK307" s="11"/>
      <c r="LL307" s="13"/>
      <c r="LM307" s="11"/>
      <c r="LN307" s="12"/>
      <c r="LO307" s="12"/>
      <c r="LP307" s="11"/>
      <c r="LQ307" s="13"/>
      <c r="LR307" s="11"/>
      <c r="LS307" s="11"/>
      <c r="LT307" s="13"/>
      <c r="LU307" s="11"/>
      <c r="LV307" s="12"/>
      <c r="LW307" s="12"/>
    </row>
    <row r="308">
      <c r="A308" s="10" t="s">
        <v>193</v>
      </c>
      <c r="B308" s="10" t="s">
        <v>130</v>
      </c>
      <c r="C308" s="10" t="s">
        <v>198</v>
      </c>
      <c r="D308" s="11">
        <v>1051</v>
      </c>
      <c r="E308" s="11">
        <f>=ROUNDDOWN(3.09299587992937,0)</f>
      </c>
      <c r="F308" s="11"/>
      <c r="G308" s="12">
        <v>0.2162</v>
      </c>
      <c r="H308" s="11"/>
      <c r="I308" s="11">
        <f>=ROUNDDOWN({0},0)</f>
      </c>
      <c r="J308" s="11"/>
      <c r="K308" s="12"/>
      <c r="L308" s="11">
        <v>2869</v>
      </c>
      <c r="M308" s="13">
        <v>63033.14</v>
      </c>
      <c r="N308" s="11"/>
      <c r="O308" s="14"/>
      <c r="P308" s="11"/>
      <c r="Q308" s="13"/>
      <c r="R308" s="11"/>
      <c r="S308" s="14"/>
      <c r="T308" s="12"/>
      <c r="U308" s="12"/>
      <c r="V308" s="12"/>
      <c r="W308" s="12"/>
      <c r="X308" s="11"/>
      <c r="Y308" s="13"/>
      <c r="Z308" s="11"/>
      <c r="AA308" s="11"/>
      <c r="AB308" s="13"/>
      <c r="AC308" s="11"/>
      <c r="AD308" s="12"/>
      <c r="AE308" s="12"/>
      <c r="AF308" s="11"/>
      <c r="AG308" s="13"/>
      <c r="AH308" s="11"/>
      <c r="AI308" s="11"/>
      <c r="AJ308" s="13"/>
      <c r="AK308" s="11"/>
      <c r="AL308" s="12"/>
      <c r="AM308" s="12"/>
      <c r="AN308" s="11"/>
      <c r="AO308" s="13"/>
      <c r="AP308" s="11"/>
      <c r="AQ308" s="11"/>
      <c r="AR308" s="13"/>
      <c r="AS308" s="11"/>
      <c r="AT308" s="12"/>
      <c r="AU308" s="12"/>
      <c r="AV308" s="11"/>
      <c r="AW308" s="13"/>
      <c r="AX308" s="11"/>
      <c r="AY308" s="11"/>
      <c r="AZ308" s="13"/>
      <c r="BA308" s="11"/>
      <c r="BB308" s="12"/>
      <c r="BC308" s="12"/>
      <c r="BD308" s="11">
        <v>25</v>
      </c>
      <c r="BE308" s="13">
        <v>948.62</v>
      </c>
      <c r="BF308" s="11"/>
      <c r="BG308" s="11"/>
      <c r="BH308" s="13"/>
      <c r="BI308" s="11"/>
      <c r="BJ308" s="12"/>
      <c r="BK308" s="12"/>
      <c r="BL308" s="11"/>
      <c r="BM308" s="13"/>
      <c r="BN308" s="11"/>
      <c r="BO308" s="11"/>
      <c r="BP308" s="13"/>
      <c r="BQ308" s="11"/>
      <c r="BR308" s="12"/>
      <c r="BS308" s="12"/>
      <c r="BT308" s="11"/>
      <c r="BU308" s="13"/>
      <c r="BV308" s="11"/>
      <c r="BW308" s="11"/>
      <c r="BX308" s="13"/>
      <c r="BY308" s="11"/>
      <c r="BZ308" s="12"/>
      <c r="CA308" s="12"/>
      <c r="CB308" s="11"/>
      <c r="CC308" s="13"/>
      <c r="CD308" s="11"/>
      <c r="CE308" s="11"/>
      <c r="CF308" s="13"/>
      <c r="CG308" s="11"/>
      <c r="CH308" s="12"/>
      <c r="CI308" s="12"/>
      <c r="CJ308" s="11"/>
      <c r="CK308" s="13"/>
      <c r="CL308" s="11"/>
      <c r="CM308" s="11"/>
      <c r="CN308" s="13"/>
      <c r="CO308" s="11"/>
      <c r="CP308" s="12"/>
      <c r="CQ308" s="12"/>
      <c r="CR308" s="11">
        <v>2844</v>
      </c>
      <c r="CS308" s="13">
        <v>62084.52</v>
      </c>
      <c r="CT308" s="11"/>
      <c r="CU308" s="11"/>
      <c r="CV308" s="13"/>
      <c r="CW308" s="11"/>
      <c r="CX308" s="12"/>
      <c r="CY308" s="12"/>
      <c r="CZ308" s="11"/>
      <c r="DA308" s="13"/>
      <c r="DB308" s="11"/>
      <c r="DC308" s="11"/>
      <c r="DD308" s="13"/>
      <c r="DE308" s="11"/>
      <c r="DF308" s="12"/>
      <c r="DG308" s="12"/>
      <c r="DH308" s="11"/>
      <c r="DI308" s="13"/>
      <c r="DJ308" s="11"/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/>
      <c r="DY308" s="13"/>
      <c r="DZ308" s="11"/>
      <c r="EA308" s="11"/>
      <c r="EB308" s="13"/>
      <c r="EC308" s="11"/>
      <c r="ED308" s="12"/>
      <c r="EE308" s="12"/>
      <c r="EF308" s="11"/>
      <c r="EG308" s="13"/>
      <c r="EH308" s="11"/>
      <c r="EI308" s="11"/>
      <c r="EJ308" s="13"/>
      <c r="EK308" s="11"/>
      <c r="EL308" s="12"/>
      <c r="EM308" s="12"/>
      <c r="EN308" s="11"/>
      <c r="EO308" s="13"/>
      <c r="EP308" s="11"/>
      <c r="EQ308" s="11"/>
      <c r="ER308" s="13"/>
      <c r="ES308" s="11"/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/>
      <c r="FG308" s="11"/>
      <c r="FH308" s="13"/>
      <c r="FI308" s="11"/>
      <c r="FJ308" s="12"/>
      <c r="FK308" s="12"/>
      <c r="FL308" s="11"/>
      <c r="FM308" s="13"/>
      <c r="FN308" s="11"/>
      <c r="FO308" s="11"/>
      <c r="FP308" s="13"/>
      <c r="FQ308" s="11"/>
      <c r="FR308" s="12"/>
      <c r="FS308" s="12"/>
      <c r="FT308" s="11"/>
      <c r="FU308" s="13"/>
      <c r="FV308" s="11"/>
      <c r="FW308" s="11"/>
      <c r="FX308" s="13"/>
      <c r="FY308" s="11"/>
      <c r="FZ308" s="12"/>
      <c r="GA308" s="12"/>
      <c r="GB308" s="11"/>
      <c r="GC308" s="13"/>
      <c r="GD308" s="11"/>
      <c r="GE308" s="11"/>
      <c r="GF308" s="13"/>
      <c r="GG308" s="11"/>
      <c r="GH308" s="12"/>
      <c r="GI308" s="12"/>
      <c r="GJ308" s="11"/>
      <c r="GK308" s="13"/>
      <c r="GL308" s="11"/>
      <c r="GM308" s="11"/>
      <c r="GN308" s="13"/>
      <c r="GO308" s="11"/>
      <c r="GP308" s="12"/>
      <c r="GQ308" s="12"/>
      <c r="GR308" s="11"/>
      <c r="GS308" s="13"/>
      <c r="GT308" s="11"/>
      <c r="GU308" s="11"/>
      <c r="GV308" s="13"/>
      <c r="GW308" s="11"/>
      <c r="GX308" s="12"/>
      <c r="GY308" s="12"/>
      <c r="GZ308" s="11"/>
      <c r="HA308" s="13"/>
      <c r="HB308" s="11"/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/>
      <c r="JR308" s="12"/>
      <c r="JS308" s="12"/>
      <c r="JT308" s="11"/>
      <c r="JU308" s="13"/>
      <c r="JV308" s="11"/>
      <c r="JW308" s="11"/>
      <c r="JX308" s="13"/>
      <c r="JY308" s="11"/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/>
      <c r="KM308" s="11"/>
      <c r="KN308" s="13"/>
      <c r="KO308" s="11"/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  <c r="LH308" s="11"/>
      <c r="LI308" s="13"/>
      <c r="LJ308" s="11"/>
      <c r="LK308" s="11"/>
      <c r="LL308" s="13"/>
      <c r="LM308" s="11"/>
      <c r="LN308" s="12"/>
      <c r="LO308" s="12"/>
      <c r="LP308" s="11"/>
      <c r="LQ308" s="13"/>
      <c r="LR308" s="11"/>
      <c r="LS308" s="11"/>
      <c r="LT308" s="13"/>
      <c r="LU308" s="11"/>
      <c r="LV308" s="12"/>
      <c r="LW308" s="12"/>
    </row>
    <row r="309">
      <c r="A309" s="10" t="s">
        <v>193</v>
      </c>
      <c r="B309" s="10" t="s">
        <v>131</v>
      </c>
      <c r="C309" s="10" t="s">
        <v>77</v>
      </c>
      <c r="D309" s="11">
        <v>13631</v>
      </c>
      <c r="E309" s="11">
        <f>=ROUNDDOWN({0},0)</f>
      </c>
      <c r="F309" s="11"/>
      <c r="G309" s="12"/>
      <c r="H309" s="11"/>
      <c r="I309" s="11">
        <f>=ROUNDDOWN({0},0)</f>
      </c>
      <c r="J309" s="11"/>
      <c r="K309" s="12"/>
      <c r="L309" s="11">
        <v>4225</v>
      </c>
      <c r="M309" s="13">
        <v>118355.69</v>
      </c>
      <c r="N309" s="11"/>
      <c r="O309" s="14"/>
      <c r="P309" s="11"/>
      <c r="Q309" s="13"/>
      <c r="R309" s="11"/>
      <c r="S309" s="14"/>
      <c r="T309" s="12"/>
      <c r="U309" s="12"/>
      <c r="V309" s="12"/>
      <c r="W309" s="12"/>
      <c r="X309" s="11"/>
      <c r="Y309" s="13"/>
      <c r="Z309" s="11"/>
      <c r="AA309" s="11"/>
      <c r="AB309" s="13"/>
      <c r="AC309" s="11"/>
      <c r="AD309" s="12"/>
      <c r="AE309" s="12"/>
      <c r="AF309" s="11"/>
      <c r="AG309" s="13"/>
      <c r="AH309" s="11"/>
      <c r="AI309" s="11"/>
      <c r="AJ309" s="13"/>
      <c r="AK309" s="11"/>
      <c r="AL309" s="12"/>
      <c r="AM309" s="12"/>
      <c r="AN309" s="11"/>
      <c r="AO309" s="13"/>
      <c r="AP309" s="11"/>
      <c r="AQ309" s="11"/>
      <c r="AR309" s="13"/>
      <c r="AS309" s="11"/>
      <c r="AT309" s="12"/>
      <c r="AU309" s="12"/>
      <c r="AV309" s="11"/>
      <c r="AW309" s="13"/>
      <c r="AX309" s="11"/>
      <c r="AY309" s="11"/>
      <c r="AZ309" s="13"/>
      <c r="BA309" s="11"/>
      <c r="BB309" s="12"/>
      <c r="BC309" s="12"/>
      <c r="BD309" s="11">
        <v>31</v>
      </c>
      <c r="BE309" s="13">
        <v>1023.67</v>
      </c>
      <c r="BF309" s="11"/>
      <c r="BG309" s="11"/>
      <c r="BH309" s="13"/>
      <c r="BI309" s="11"/>
      <c r="BJ309" s="12"/>
      <c r="BK309" s="12"/>
      <c r="BL309" s="11"/>
      <c r="BM309" s="13"/>
      <c r="BN309" s="11"/>
      <c r="BO309" s="11"/>
      <c r="BP309" s="13"/>
      <c r="BQ309" s="11"/>
      <c r="BR309" s="12"/>
      <c r="BS309" s="12"/>
      <c r="BT309" s="11"/>
      <c r="BU309" s="13"/>
      <c r="BV309" s="11"/>
      <c r="BW309" s="11"/>
      <c r="BX309" s="13"/>
      <c r="BY309" s="11"/>
      <c r="BZ309" s="12"/>
      <c r="CA309" s="12"/>
      <c r="CB309" s="11"/>
      <c r="CC309" s="13"/>
      <c r="CD309" s="11"/>
      <c r="CE309" s="11"/>
      <c r="CF309" s="13"/>
      <c r="CG309" s="11"/>
      <c r="CH309" s="12"/>
      <c r="CI309" s="12"/>
      <c r="CJ309" s="11"/>
      <c r="CK309" s="13"/>
      <c r="CL309" s="11"/>
      <c r="CM309" s="11"/>
      <c r="CN309" s="13"/>
      <c r="CO309" s="11"/>
      <c r="CP309" s="12"/>
      <c r="CQ309" s="12"/>
      <c r="CR309" s="11">
        <v>4194</v>
      </c>
      <c r="CS309" s="13">
        <v>117332.02</v>
      </c>
      <c r="CT309" s="11"/>
      <c r="CU309" s="11"/>
      <c r="CV309" s="13"/>
      <c r="CW309" s="11"/>
      <c r="CX309" s="12"/>
      <c r="CY309" s="12"/>
      <c r="CZ309" s="11"/>
      <c r="DA309" s="13"/>
      <c r="DB309" s="11"/>
      <c r="DC309" s="11"/>
      <c r="DD309" s="13"/>
      <c r="DE309" s="11"/>
      <c r="DF309" s="12"/>
      <c r="DG309" s="12"/>
      <c r="DH309" s="11"/>
      <c r="DI309" s="13"/>
      <c r="DJ309" s="11"/>
      <c r="DK309" s="11"/>
      <c r="DL309" s="13"/>
      <c r="DM309" s="11"/>
      <c r="DN309" s="12"/>
      <c r="DO309" s="12"/>
      <c r="DP309" s="11"/>
      <c r="DQ309" s="13"/>
      <c r="DR309" s="11"/>
      <c r="DS309" s="11"/>
      <c r="DT309" s="13"/>
      <c r="DU309" s="11"/>
      <c r="DV309" s="12"/>
      <c r="DW309" s="12"/>
      <c r="DX309" s="11"/>
      <c r="DY309" s="13"/>
      <c r="DZ309" s="11"/>
      <c r="EA309" s="11"/>
      <c r="EB309" s="13"/>
      <c r="EC309" s="11"/>
      <c r="ED309" s="12"/>
      <c r="EE309" s="12"/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/>
      <c r="FG309" s="11"/>
      <c r="FH309" s="13"/>
      <c r="FI309" s="11"/>
      <c r="FJ309" s="12"/>
      <c r="FK309" s="12"/>
      <c r="FL309" s="11"/>
      <c r="FM309" s="13"/>
      <c r="FN309" s="11"/>
      <c r="FO309" s="11"/>
      <c r="FP309" s="13"/>
      <c r="FQ309" s="11"/>
      <c r="FR309" s="12"/>
      <c r="FS309" s="12"/>
      <c r="FT309" s="11"/>
      <c r="FU309" s="13"/>
      <c r="FV309" s="11"/>
      <c r="FW309" s="11"/>
      <c r="FX309" s="13"/>
      <c r="FY309" s="11"/>
      <c r="FZ309" s="12"/>
      <c r="GA309" s="12"/>
      <c r="GB309" s="11"/>
      <c r="GC309" s="13"/>
      <c r="GD309" s="11"/>
      <c r="GE309" s="11"/>
      <c r="GF309" s="13"/>
      <c r="GG309" s="11"/>
      <c r="GH309" s="12"/>
      <c r="GI309" s="12"/>
      <c r="GJ309" s="11"/>
      <c r="GK309" s="13"/>
      <c r="GL309" s="11"/>
      <c r="GM309" s="11"/>
      <c r="GN309" s="13"/>
      <c r="GO309" s="11"/>
      <c r="GP309" s="12"/>
      <c r="GQ309" s="12"/>
      <c r="GR309" s="11"/>
      <c r="GS309" s="13"/>
      <c r="GT309" s="11"/>
      <c r="GU309" s="11"/>
      <c r="GV309" s="13"/>
      <c r="GW309" s="11"/>
      <c r="GX309" s="12"/>
      <c r="GY309" s="12"/>
      <c r="GZ309" s="11"/>
      <c r="HA309" s="13"/>
      <c r="HB309" s="11"/>
      <c r="HC309" s="11"/>
      <c r="HD309" s="13"/>
      <c r="HE309" s="11"/>
      <c r="HF309" s="12"/>
      <c r="HG309" s="12"/>
      <c r="HH309" s="11"/>
      <c r="HI309" s="13"/>
      <c r="HJ309" s="11"/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/>
      <c r="JR309" s="12"/>
      <c r="JS309" s="12"/>
      <c r="JT309" s="11"/>
      <c r="JU309" s="13"/>
      <c r="JV309" s="11"/>
      <c r="JW309" s="11"/>
      <c r="JX309" s="13"/>
      <c r="JY309" s="11"/>
      <c r="JZ309" s="12"/>
      <c r="KA309" s="12"/>
      <c r="KB309" s="11"/>
      <c r="KC309" s="13"/>
      <c r="KD309" s="11"/>
      <c r="KE309" s="11"/>
      <c r="KF309" s="13"/>
      <c r="KG309" s="11"/>
      <c r="KH309" s="12"/>
      <c r="KI309" s="12"/>
      <c r="KJ309" s="11"/>
      <c r="KK309" s="13"/>
      <c r="KL309" s="11"/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  <c r="LH309" s="11"/>
      <c r="LI309" s="13"/>
      <c r="LJ309" s="11"/>
      <c r="LK309" s="11"/>
      <c r="LL309" s="13"/>
      <c r="LM309" s="11"/>
      <c r="LN309" s="12"/>
      <c r="LO309" s="12"/>
      <c r="LP309" s="11"/>
      <c r="LQ309" s="13"/>
      <c r="LR309" s="11"/>
      <c r="LS309" s="11"/>
      <c r="LT309" s="13"/>
      <c r="LU309" s="11"/>
      <c r="LV309" s="12"/>
      <c r="LW309" s="12"/>
    </row>
    <row r="310">
      <c r="A310" s="10" t="s">
        <v>193</v>
      </c>
      <c r="B310" s="10" t="s">
        <v>132</v>
      </c>
      <c r="C310" s="10" t="s">
        <v>115</v>
      </c>
      <c r="D310" s="11">
        <v>6386</v>
      </c>
      <c r="E310" s="11">
        <f>=ROUNDDOWN(686.666666666667,0)</f>
      </c>
      <c r="F310" s="11"/>
      <c r="G310" s="12">
        <v>1</v>
      </c>
      <c r="H310" s="11"/>
      <c r="I310" s="11">
        <f>=ROUNDDOWN({0},0)</f>
      </c>
      <c r="J310" s="11"/>
      <c r="K310" s="12"/>
      <c r="L310" s="11">
        <v>3</v>
      </c>
      <c r="M310" s="13">
        <v>119.97</v>
      </c>
      <c r="N310" s="11"/>
      <c r="O310" s="14"/>
      <c r="P310" s="11"/>
      <c r="Q310" s="13"/>
      <c r="R310" s="11"/>
      <c r="S310" s="14"/>
      <c r="T310" s="12"/>
      <c r="U310" s="12"/>
      <c r="V310" s="12"/>
      <c r="W310" s="12"/>
      <c r="X310" s="11"/>
      <c r="Y310" s="13"/>
      <c r="Z310" s="11"/>
      <c r="AA310" s="11"/>
      <c r="AB310" s="13"/>
      <c r="AC310" s="11"/>
      <c r="AD310" s="12"/>
      <c r="AE310" s="12"/>
      <c r="AF310" s="11"/>
      <c r="AG310" s="13"/>
      <c r="AH310" s="11"/>
      <c r="AI310" s="11"/>
      <c r="AJ310" s="13"/>
      <c r="AK310" s="11"/>
      <c r="AL310" s="12"/>
      <c r="AM310" s="12"/>
      <c r="AN310" s="11"/>
      <c r="AO310" s="13"/>
      <c r="AP310" s="11"/>
      <c r="AQ310" s="11"/>
      <c r="AR310" s="13"/>
      <c r="AS310" s="11"/>
      <c r="AT310" s="12"/>
      <c r="AU310" s="12"/>
      <c r="AV310" s="11"/>
      <c r="AW310" s="13"/>
      <c r="AX310" s="11"/>
      <c r="AY310" s="11"/>
      <c r="AZ310" s="13"/>
      <c r="BA310" s="11"/>
      <c r="BB310" s="12"/>
      <c r="BC310" s="12"/>
      <c r="BD310" s="11"/>
      <c r="BE310" s="13"/>
      <c r="BF310" s="11"/>
      <c r="BG310" s="11"/>
      <c r="BH310" s="13"/>
      <c r="BI310" s="11"/>
      <c r="BJ310" s="12"/>
      <c r="BK310" s="12"/>
      <c r="BL310" s="11"/>
      <c r="BM310" s="13"/>
      <c r="BN310" s="11"/>
      <c r="BO310" s="11"/>
      <c r="BP310" s="13"/>
      <c r="BQ310" s="11"/>
      <c r="BR310" s="12"/>
      <c r="BS310" s="12"/>
      <c r="BT310" s="11"/>
      <c r="BU310" s="13"/>
      <c r="BV310" s="11"/>
      <c r="BW310" s="11"/>
      <c r="BX310" s="13"/>
      <c r="BY310" s="11"/>
      <c r="BZ310" s="12"/>
      <c r="CA310" s="12"/>
      <c r="CB310" s="11"/>
      <c r="CC310" s="13"/>
      <c r="CD310" s="11"/>
      <c r="CE310" s="11"/>
      <c r="CF310" s="13"/>
      <c r="CG310" s="11"/>
      <c r="CH310" s="12"/>
      <c r="CI310" s="12"/>
      <c r="CJ310" s="11">
        <v>3</v>
      </c>
      <c r="CK310" s="13">
        <v>119.97</v>
      </c>
      <c r="CL310" s="11"/>
      <c r="CM310" s="11"/>
      <c r="CN310" s="13"/>
      <c r="CO310" s="11"/>
      <c r="CP310" s="12"/>
      <c r="CQ310" s="12"/>
      <c r="CR310" s="11"/>
      <c r="CS310" s="13"/>
      <c r="CT310" s="11"/>
      <c r="CU310" s="11"/>
      <c r="CV310" s="13"/>
      <c r="CW310" s="11"/>
      <c r="CX310" s="12"/>
      <c r="CY310" s="12"/>
      <c r="CZ310" s="11"/>
      <c r="DA310" s="13"/>
      <c r="DB310" s="11"/>
      <c r="DC310" s="11"/>
      <c r="DD310" s="13"/>
      <c r="DE310" s="11"/>
      <c r="DF310" s="12"/>
      <c r="DG310" s="12"/>
      <c r="DH310" s="11"/>
      <c r="DI310" s="13"/>
      <c r="DJ310" s="11"/>
      <c r="DK310" s="11"/>
      <c r="DL310" s="13"/>
      <c r="DM310" s="11"/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/>
      <c r="DY310" s="13"/>
      <c r="DZ310" s="11"/>
      <c r="EA310" s="11"/>
      <c r="EB310" s="13"/>
      <c r="EC310" s="11"/>
      <c r="ED310" s="12"/>
      <c r="EE310" s="12"/>
      <c r="EF310" s="11"/>
      <c r="EG310" s="13"/>
      <c r="EH310" s="11"/>
      <c r="EI310" s="11"/>
      <c r="EJ310" s="13"/>
      <c r="EK310" s="11"/>
      <c r="EL310" s="12"/>
      <c r="EM310" s="12"/>
      <c r="EN310" s="11"/>
      <c r="EO310" s="13"/>
      <c r="EP310" s="11"/>
      <c r="EQ310" s="11"/>
      <c r="ER310" s="13"/>
      <c r="ES310" s="11"/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/>
      <c r="FG310" s="11"/>
      <c r="FH310" s="13"/>
      <c r="FI310" s="11"/>
      <c r="FJ310" s="12"/>
      <c r="FK310" s="12"/>
      <c r="FL310" s="11"/>
      <c r="FM310" s="13"/>
      <c r="FN310" s="11"/>
      <c r="FO310" s="11"/>
      <c r="FP310" s="13"/>
      <c r="FQ310" s="11"/>
      <c r="FR310" s="12"/>
      <c r="FS310" s="12"/>
      <c r="FT310" s="11"/>
      <c r="FU310" s="13"/>
      <c r="FV310" s="11"/>
      <c r="FW310" s="11"/>
      <c r="FX310" s="13"/>
      <c r="FY310" s="11"/>
      <c r="FZ310" s="12"/>
      <c r="GA310" s="12"/>
      <c r="GB310" s="11"/>
      <c r="GC310" s="13"/>
      <c r="GD310" s="11"/>
      <c r="GE310" s="11"/>
      <c r="GF310" s="13"/>
      <c r="GG310" s="11"/>
      <c r="GH310" s="12"/>
      <c r="GI310" s="12"/>
      <c r="GJ310" s="11"/>
      <c r="GK310" s="13"/>
      <c r="GL310" s="11"/>
      <c r="GM310" s="11"/>
      <c r="GN310" s="13"/>
      <c r="GO310" s="11"/>
      <c r="GP310" s="12"/>
      <c r="GQ310" s="12"/>
      <c r="GR310" s="11"/>
      <c r="GS310" s="13"/>
      <c r="GT310" s="11"/>
      <c r="GU310" s="11"/>
      <c r="GV310" s="13"/>
      <c r="GW310" s="11"/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/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/>
      <c r="JO310" s="11"/>
      <c r="JP310" s="13"/>
      <c r="JQ310" s="11"/>
      <c r="JR310" s="12"/>
      <c r="JS310" s="12"/>
      <c r="JT310" s="11"/>
      <c r="JU310" s="13"/>
      <c r="JV310" s="11"/>
      <c r="JW310" s="11"/>
      <c r="JX310" s="13"/>
      <c r="JY310" s="11"/>
      <c r="JZ310" s="12"/>
      <c r="KA310" s="12"/>
      <c r="KB310" s="11"/>
      <c r="KC310" s="13"/>
      <c r="KD310" s="11"/>
      <c r="KE310" s="11"/>
      <c r="KF310" s="13"/>
      <c r="KG310" s="11"/>
      <c r="KH310" s="12"/>
      <c r="KI310" s="12"/>
      <c r="KJ310" s="11"/>
      <c r="KK310" s="13"/>
      <c r="KL310" s="11"/>
      <c r="KM310" s="11"/>
      <c r="KN310" s="13"/>
      <c r="KO310" s="11"/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  <c r="LH310" s="11"/>
      <c r="LI310" s="13"/>
      <c r="LJ310" s="11"/>
      <c r="LK310" s="11"/>
      <c r="LL310" s="13"/>
      <c r="LM310" s="11"/>
      <c r="LN310" s="12"/>
      <c r="LO310" s="12"/>
      <c r="LP310" s="11"/>
      <c r="LQ310" s="13"/>
      <c r="LR310" s="11"/>
      <c r="LS310" s="11"/>
      <c r="LT310" s="13"/>
      <c r="LU310" s="11"/>
      <c r="LV310" s="12"/>
      <c r="LW310" s="12"/>
    </row>
    <row r="311">
      <c r="A311" s="10" t="s">
        <v>193</v>
      </c>
      <c r="B311" s="10" t="s">
        <v>133</v>
      </c>
      <c r="C311" s="10" t="s">
        <v>77</v>
      </c>
      <c r="D311" s="11">
        <v>6386</v>
      </c>
      <c r="E311" s="11">
        <f>=ROUNDDOWN({0},0)</f>
      </c>
      <c r="F311" s="11"/>
      <c r="G311" s="12"/>
      <c r="H311" s="11"/>
      <c r="I311" s="11">
        <f>=ROUNDDOWN({0},0)</f>
      </c>
      <c r="J311" s="11"/>
      <c r="K311" s="12"/>
      <c r="L311" s="11">
        <v>3</v>
      </c>
      <c r="M311" s="13">
        <v>119.97</v>
      </c>
      <c r="N311" s="11"/>
      <c r="O311" s="14"/>
      <c r="P311" s="11"/>
      <c r="Q311" s="13"/>
      <c r="R311" s="11"/>
      <c r="S311" s="14"/>
      <c r="T311" s="12"/>
      <c r="U311" s="12"/>
      <c r="V311" s="12"/>
      <c r="W311" s="12"/>
      <c r="X311" s="11"/>
      <c r="Y311" s="13"/>
      <c r="Z311" s="11"/>
      <c r="AA311" s="11"/>
      <c r="AB311" s="13"/>
      <c r="AC311" s="11"/>
      <c r="AD311" s="12"/>
      <c r="AE311" s="12"/>
      <c r="AF311" s="11"/>
      <c r="AG311" s="13"/>
      <c r="AH311" s="11"/>
      <c r="AI311" s="11"/>
      <c r="AJ311" s="13"/>
      <c r="AK311" s="11"/>
      <c r="AL311" s="12"/>
      <c r="AM311" s="12"/>
      <c r="AN311" s="11"/>
      <c r="AO311" s="13"/>
      <c r="AP311" s="11"/>
      <c r="AQ311" s="11"/>
      <c r="AR311" s="13"/>
      <c r="AS311" s="11"/>
      <c r="AT311" s="12"/>
      <c r="AU311" s="12"/>
      <c r="AV311" s="11"/>
      <c r="AW311" s="13"/>
      <c r="AX311" s="11"/>
      <c r="AY311" s="11"/>
      <c r="AZ311" s="13"/>
      <c r="BA311" s="11"/>
      <c r="BB311" s="12"/>
      <c r="BC311" s="12"/>
      <c r="BD311" s="11"/>
      <c r="BE311" s="13"/>
      <c r="BF311" s="11"/>
      <c r="BG311" s="11"/>
      <c r="BH311" s="13"/>
      <c r="BI311" s="11"/>
      <c r="BJ311" s="12"/>
      <c r="BK311" s="12"/>
      <c r="BL311" s="11"/>
      <c r="BM311" s="13"/>
      <c r="BN311" s="11"/>
      <c r="BO311" s="11"/>
      <c r="BP311" s="13"/>
      <c r="BQ311" s="11"/>
      <c r="BR311" s="12"/>
      <c r="BS311" s="12"/>
      <c r="BT311" s="11"/>
      <c r="BU311" s="13"/>
      <c r="BV311" s="11"/>
      <c r="BW311" s="11"/>
      <c r="BX311" s="13"/>
      <c r="BY311" s="11"/>
      <c r="BZ311" s="12"/>
      <c r="CA311" s="12"/>
      <c r="CB311" s="11"/>
      <c r="CC311" s="13"/>
      <c r="CD311" s="11"/>
      <c r="CE311" s="11"/>
      <c r="CF311" s="13"/>
      <c r="CG311" s="11"/>
      <c r="CH311" s="12"/>
      <c r="CI311" s="12"/>
      <c r="CJ311" s="11">
        <v>3</v>
      </c>
      <c r="CK311" s="13">
        <v>119.97</v>
      </c>
      <c r="CL311" s="11"/>
      <c r="CM311" s="11"/>
      <c r="CN311" s="13"/>
      <c r="CO311" s="11"/>
      <c r="CP311" s="12"/>
      <c r="CQ311" s="12"/>
      <c r="CR311" s="11"/>
      <c r="CS311" s="13"/>
      <c r="CT311" s="11"/>
      <c r="CU311" s="11"/>
      <c r="CV311" s="13"/>
      <c r="CW311" s="11"/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/>
      <c r="DK311" s="11"/>
      <c r="DL311" s="13"/>
      <c r="DM311" s="11"/>
      <c r="DN311" s="12"/>
      <c r="DO311" s="12"/>
      <c r="DP311" s="11"/>
      <c r="DQ311" s="13"/>
      <c r="DR311" s="11"/>
      <c r="DS311" s="11"/>
      <c r="DT311" s="13"/>
      <c r="DU311" s="11"/>
      <c r="DV311" s="12"/>
      <c r="DW311" s="12"/>
      <c r="DX311" s="11"/>
      <c r="DY311" s="13"/>
      <c r="DZ311" s="11"/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/>
      <c r="EO311" s="13"/>
      <c r="EP311" s="11"/>
      <c r="EQ311" s="11"/>
      <c r="ER311" s="13"/>
      <c r="ES311" s="11"/>
      <c r="ET311" s="12"/>
      <c r="EU311" s="12"/>
      <c r="EV311" s="11"/>
      <c r="EW311" s="13"/>
      <c r="EX311" s="11"/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/>
      <c r="FM311" s="13"/>
      <c r="FN311" s="11"/>
      <c r="FO311" s="11"/>
      <c r="FP311" s="13"/>
      <c r="FQ311" s="11"/>
      <c r="FR311" s="12"/>
      <c r="FS311" s="12"/>
      <c r="FT311" s="11"/>
      <c r="FU311" s="13"/>
      <c r="FV311" s="11"/>
      <c r="FW311" s="11"/>
      <c r="FX311" s="13"/>
      <c r="FY311" s="11"/>
      <c r="FZ311" s="12"/>
      <c r="GA311" s="12"/>
      <c r="GB311" s="11"/>
      <c r="GC311" s="13"/>
      <c r="GD311" s="11"/>
      <c r="GE311" s="11"/>
      <c r="GF311" s="13"/>
      <c r="GG311" s="11"/>
      <c r="GH311" s="12"/>
      <c r="GI311" s="12"/>
      <c r="GJ311" s="11"/>
      <c r="GK311" s="13"/>
      <c r="GL311" s="11"/>
      <c r="GM311" s="11"/>
      <c r="GN311" s="13"/>
      <c r="GO311" s="11"/>
      <c r="GP311" s="12"/>
      <c r="GQ311" s="12"/>
      <c r="GR311" s="11"/>
      <c r="GS311" s="13"/>
      <c r="GT311" s="11"/>
      <c r="GU311" s="11"/>
      <c r="GV311" s="13"/>
      <c r="GW311" s="11"/>
      <c r="GX311" s="12"/>
      <c r="GY311" s="12"/>
      <c r="GZ311" s="11"/>
      <c r="HA311" s="13"/>
      <c r="HB311" s="11"/>
      <c r="HC311" s="11"/>
      <c r="HD311" s="13"/>
      <c r="HE311" s="11"/>
      <c r="HF311" s="12"/>
      <c r="HG311" s="12"/>
      <c r="HH311" s="11"/>
      <c r="HI311" s="13"/>
      <c r="HJ311" s="11"/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/>
      <c r="JO311" s="11"/>
      <c r="JP311" s="13"/>
      <c r="JQ311" s="11"/>
      <c r="JR311" s="12"/>
      <c r="JS311" s="12"/>
      <c r="JT311" s="11"/>
      <c r="JU311" s="13"/>
      <c r="JV311" s="11"/>
      <c r="JW311" s="11"/>
      <c r="JX311" s="13"/>
      <c r="JY311" s="11"/>
      <c r="JZ311" s="12"/>
      <c r="KA311" s="12"/>
      <c r="KB311" s="11"/>
      <c r="KC311" s="13"/>
      <c r="KD311" s="11"/>
      <c r="KE311" s="11"/>
      <c r="KF311" s="13"/>
      <c r="KG311" s="11"/>
      <c r="KH311" s="12"/>
      <c r="KI311" s="12"/>
      <c r="KJ311" s="11"/>
      <c r="KK311" s="13"/>
      <c r="KL311" s="11"/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  <c r="LH311" s="11"/>
      <c r="LI311" s="13"/>
      <c r="LJ311" s="11"/>
      <c r="LK311" s="11"/>
      <c r="LL311" s="13"/>
      <c r="LM311" s="11"/>
      <c r="LN311" s="12"/>
      <c r="LO311" s="12"/>
      <c r="LP311" s="11"/>
      <c r="LQ311" s="13"/>
      <c r="LR311" s="11"/>
      <c r="LS311" s="11"/>
      <c r="LT311" s="13"/>
      <c r="LU311" s="11"/>
      <c r="LV311" s="12"/>
      <c r="LW311" s="12"/>
    </row>
    <row r="312">
      <c r="A312" s="10" t="s">
        <v>193</v>
      </c>
      <c r="B312" s="10" t="s">
        <v>206</v>
      </c>
      <c r="C312" s="10" t="s">
        <v>197</v>
      </c>
      <c r="D312" s="11">
        <v>31207</v>
      </c>
      <c r="E312" s="11">
        <f>=ROUNDDOWN(24.3253566139216,0)</f>
      </c>
      <c r="F312" s="11">
        <v>11570</v>
      </c>
      <c r="G312" s="12">
        <v>0.9312</v>
      </c>
      <c r="H312" s="11"/>
      <c r="I312" s="11">
        <f>=ROUNDDOWN({0},0)</f>
      </c>
      <c r="J312" s="11"/>
      <c r="K312" s="12"/>
      <c r="L312" s="11">
        <v>11437</v>
      </c>
      <c r="M312" s="13">
        <v>759630.87</v>
      </c>
      <c r="N312" s="11">
        <v>36</v>
      </c>
      <c r="O312" s="14">
        <v>21100.86</v>
      </c>
      <c r="P312" s="11"/>
      <c r="Q312" s="13"/>
      <c r="R312" s="11"/>
      <c r="S312" s="14"/>
      <c r="T312" s="12"/>
      <c r="U312" s="12"/>
      <c r="V312" s="12"/>
      <c r="W312" s="12"/>
      <c r="X312" s="11">
        <v>9510</v>
      </c>
      <c r="Y312" s="13">
        <v>633405.31</v>
      </c>
      <c r="Z312" s="11">
        <v>18</v>
      </c>
      <c r="AA312" s="11"/>
      <c r="AB312" s="13"/>
      <c r="AC312" s="11"/>
      <c r="AD312" s="12"/>
      <c r="AE312" s="12"/>
      <c r="AF312" s="11">
        <v>167</v>
      </c>
      <c r="AG312" s="13">
        <v>9434.44</v>
      </c>
      <c r="AH312" s="11">
        <v>18</v>
      </c>
      <c r="AI312" s="11"/>
      <c r="AJ312" s="13"/>
      <c r="AK312" s="11"/>
      <c r="AL312" s="12"/>
      <c r="AM312" s="12"/>
      <c r="AN312" s="11">
        <v>578</v>
      </c>
      <c r="AO312" s="13">
        <v>37943.62</v>
      </c>
      <c r="AP312" s="11">
        <v>18</v>
      </c>
      <c r="AQ312" s="11"/>
      <c r="AR312" s="13"/>
      <c r="AS312" s="11"/>
      <c r="AT312" s="12"/>
      <c r="AU312" s="12"/>
      <c r="AV312" s="11">
        <v>49</v>
      </c>
      <c r="AW312" s="13">
        <v>2967.27</v>
      </c>
      <c r="AX312" s="11">
        <v>14</v>
      </c>
      <c r="AY312" s="11"/>
      <c r="AZ312" s="13"/>
      <c r="BA312" s="11"/>
      <c r="BB312" s="12"/>
      <c r="BC312" s="12"/>
      <c r="BD312" s="11">
        <v>224</v>
      </c>
      <c r="BE312" s="13">
        <v>14589.11</v>
      </c>
      <c r="BF312" s="11">
        <v>18</v>
      </c>
      <c r="BG312" s="11"/>
      <c r="BH312" s="13"/>
      <c r="BI312" s="11"/>
      <c r="BJ312" s="12"/>
      <c r="BK312" s="12"/>
      <c r="BL312" s="11">
        <v>365</v>
      </c>
      <c r="BM312" s="13">
        <v>23632.85</v>
      </c>
      <c r="BN312" s="11">
        <v>18</v>
      </c>
      <c r="BO312" s="11"/>
      <c r="BP312" s="13"/>
      <c r="BQ312" s="11"/>
      <c r="BR312" s="12"/>
      <c r="BS312" s="12"/>
      <c r="BT312" s="11">
        <v>39</v>
      </c>
      <c r="BU312" s="13">
        <v>1862.4</v>
      </c>
      <c r="BV312" s="11">
        <v>18</v>
      </c>
      <c r="BW312" s="11"/>
      <c r="BX312" s="13"/>
      <c r="BY312" s="11"/>
      <c r="BZ312" s="12"/>
      <c r="CA312" s="12"/>
      <c r="CB312" s="11">
        <v>284</v>
      </c>
      <c r="CC312" s="13">
        <v>17675.34</v>
      </c>
      <c r="CD312" s="11">
        <v>18</v>
      </c>
      <c r="CE312" s="11"/>
      <c r="CF312" s="13"/>
      <c r="CG312" s="11"/>
      <c r="CH312" s="12"/>
      <c r="CI312" s="12"/>
      <c r="CJ312" s="11"/>
      <c r="CK312" s="13"/>
      <c r="CL312" s="11">
        <v>5</v>
      </c>
      <c r="CM312" s="11"/>
      <c r="CN312" s="13"/>
      <c r="CO312" s="11"/>
      <c r="CP312" s="12"/>
      <c r="CQ312" s="12"/>
      <c r="CR312" s="11"/>
      <c r="CS312" s="13"/>
      <c r="CT312" s="11"/>
      <c r="CU312" s="11"/>
      <c r="CV312" s="13"/>
      <c r="CW312" s="11"/>
      <c r="CX312" s="12"/>
      <c r="CY312" s="12"/>
      <c r="CZ312" s="11"/>
      <c r="DA312" s="13"/>
      <c r="DB312" s="11"/>
      <c r="DC312" s="11"/>
      <c r="DD312" s="13"/>
      <c r="DE312" s="11"/>
      <c r="DF312" s="12"/>
      <c r="DG312" s="12"/>
      <c r="DH312" s="11"/>
      <c r="DI312" s="13"/>
      <c r="DJ312" s="11"/>
      <c r="DK312" s="11"/>
      <c r="DL312" s="13"/>
      <c r="DM312" s="11"/>
      <c r="DN312" s="12"/>
      <c r="DO312" s="12"/>
      <c r="DP312" s="11">
        <v>38</v>
      </c>
      <c r="DQ312" s="13">
        <v>2469.74</v>
      </c>
      <c r="DR312" s="11">
        <v>18</v>
      </c>
      <c r="DS312" s="11"/>
      <c r="DT312" s="13"/>
      <c r="DU312" s="11"/>
      <c r="DV312" s="12"/>
      <c r="DW312" s="12"/>
      <c r="DX312" s="11">
        <v>2</v>
      </c>
      <c r="DY312" s="13">
        <v>117.54</v>
      </c>
      <c r="DZ312" s="11">
        <v>18</v>
      </c>
      <c r="EA312" s="11"/>
      <c r="EB312" s="13"/>
      <c r="EC312" s="11"/>
      <c r="ED312" s="12"/>
      <c r="EE312" s="12"/>
      <c r="EF312" s="11"/>
      <c r="EG312" s="13"/>
      <c r="EH312" s="11"/>
      <c r="EI312" s="11"/>
      <c r="EJ312" s="13"/>
      <c r="EK312" s="11"/>
      <c r="EL312" s="12"/>
      <c r="EM312" s="12"/>
      <c r="EN312" s="11">
        <v>58</v>
      </c>
      <c r="EO312" s="13">
        <v>7397.42</v>
      </c>
      <c r="EP312" s="11">
        <v>30</v>
      </c>
      <c r="EQ312" s="11"/>
      <c r="ER312" s="13"/>
      <c r="ES312" s="11"/>
      <c r="ET312" s="12"/>
      <c r="EU312" s="12"/>
      <c r="EV312" s="11">
        <v>56</v>
      </c>
      <c r="EW312" s="13">
        <v>3724.89</v>
      </c>
      <c r="EX312" s="11">
        <v>8</v>
      </c>
      <c r="EY312" s="11"/>
      <c r="EZ312" s="13"/>
      <c r="FA312" s="11"/>
      <c r="FB312" s="12"/>
      <c r="FC312" s="12"/>
      <c r="FD312" s="11">
        <v>67</v>
      </c>
      <c r="FE312" s="13">
        <v>4410.94</v>
      </c>
      <c r="FF312" s="11">
        <v>10</v>
      </c>
      <c r="FG312" s="11"/>
      <c r="FH312" s="13"/>
      <c r="FI312" s="11"/>
      <c r="FJ312" s="12"/>
      <c r="FK312" s="12"/>
      <c r="FL312" s="11"/>
      <c r="FM312" s="13"/>
      <c r="FN312" s="11"/>
      <c r="FO312" s="11"/>
      <c r="FP312" s="13"/>
      <c r="FQ312" s="11"/>
      <c r="FR312" s="12"/>
      <c r="FS312" s="12"/>
      <c r="FT312" s="11"/>
      <c r="FU312" s="13"/>
      <c r="FV312" s="11"/>
      <c r="FW312" s="11"/>
      <c r="FX312" s="13"/>
      <c r="FY312" s="11"/>
      <c r="FZ312" s="12"/>
      <c r="GA312" s="12"/>
      <c r="GB312" s="11"/>
      <c r="GC312" s="13"/>
      <c r="GD312" s="11"/>
      <c r="GE312" s="11"/>
      <c r="GF312" s="13"/>
      <c r="GG312" s="11"/>
      <c r="GH312" s="12"/>
      <c r="GI312" s="12"/>
      <c r="GJ312" s="11"/>
      <c r="GK312" s="13"/>
      <c r="GL312" s="11"/>
      <c r="GM312" s="11"/>
      <c r="GN312" s="13"/>
      <c r="GO312" s="11"/>
      <c r="GP312" s="12"/>
      <c r="GQ312" s="12"/>
      <c r="GR312" s="11"/>
      <c r="GS312" s="13"/>
      <c r="GT312" s="11">
        <v>10</v>
      </c>
      <c r="GU312" s="11"/>
      <c r="GV312" s="13"/>
      <c r="GW312" s="11"/>
      <c r="GX312" s="12"/>
      <c r="GY312" s="12"/>
      <c r="GZ312" s="11"/>
      <c r="HA312" s="13"/>
      <c r="HB312" s="11"/>
      <c r="HC312" s="11"/>
      <c r="HD312" s="13"/>
      <c r="HE312" s="11"/>
      <c r="HF312" s="12"/>
      <c r="HG312" s="12"/>
      <c r="HH312" s="11"/>
      <c r="HI312" s="13"/>
      <c r="HJ312" s="11"/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/>
      <c r="IQ312" s="11"/>
      <c r="IR312" s="13"/>
      <c r="IS312" s="11"/>
      <c r="IT312" s="12"/>
      <c r="IU312" s="12"/>
      <c r="IV312" s="11"/>
      <c r="IW312" s="13"/>
      <c r="IX312" s="11"/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/>
      <c r="JO312" s="11"/>
      <c r="JP312" s="13"/>
      <c r="JQ312" s="11"/>
      <c r="JR312" s="12"/>
      <c r="JS312" s="12"/>
      <c r="JT312" s="11"/>
      <c r="JU312" s="13"/>
      <c r="JV312" s="11"/>
      <c r="JW312" s="11"/>
      <c r="JX312" s="13"/>
      <c r="JY312" s="11"/>
      <c r="JZ312" s="12"/>
      <c r="KA312" s="12"/>
      <c r="KB312" s="11"/>
      <c r="KC312" s="13"/>
      <c r="KD312" s="11"/>
      <c r="KE312" s="11"/>
      <c r="KF312" s="13"/>
      <c r="KG312" s="11"/>
      <c r="KH312" s="12"/>
      <c r="KI312" s="12"/>
      <c r="KJ312" s="11"/>
      <c r="KK312" s="13"/>
      <c r="KL312" s="11"/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  <c r="LH312" s="11"/>
      <c r="LI312" s="13"/>
      <c r="LJ312" s="11"/>
      <c r="LK312" s="11"/>
      <c r="LL312" s="13"/>
      <c r="LM312" s="11"/>
      <c r="LN312" s="12"/>
      <c r="LO312" s="12"/>
      <c r="LP312" s="11"/>
      <c r="LQ312" s="13"/>
      <c r="LR312" s="11"/>
      <c r="LS312" s="11"/>
      <c r="LT312" s="13"/>
      <c r="LU312" s="11"/>
      <c r="LV312" s="12"/>
      <c r="LW312" s="12"/>
    </row>
    <row r="313">
      <c r="A313" s="10" t="s">
        <v>193</v>
      </c>
      <c r="B313" s="10" t="s">
        <v>206</v>
      </c>
      <c r="C313" s="10" t="s">
        <v>198</v>
      </c>
      <c r="D313" s="11">
        <v>60163</v>
      </c>
      <c r="E313" s="11">
        <f>=ROUNDDOWN(34.6321667050426,0)</f>
      </c>
      <c r="F313" s="11">
        <v>1733</v>
      </c>
      <c r="G313" s="12">
        <v>0.9852</v>
      </c>
      <c r="H313" s="11"/>
      <c r="I313" s="11">
        <f>=ROUNDDOWN({0},0)</f>
      </c>
      <c r="J313" s="11"/>
      <c r="K313" s="12"/>
      <c r="L313" s="11">
        <v>8582</v>
      </c>
      <c r="M313" s="13">
        <v>408886.64</v>
      </c>
      <c r="N313" s="11">
        <v>194</v>
      </c>
      <c r="O313" s="14">
        <v>2107.66</v>
      </c>
      <c r="P313" s="11"/>
      <c r="Q313" s="13"/>
      <c r="R313" s="11"/>
      <c r="S313" s="14"/>
      <c r="T313" s="12"/>
      <c r="U313" s="12"/>
      <c r="V313" s="12"/>
      <c r="W313" s="12"/>
      <c r="X313" s="11">
        <v>3015</v>
      </c>
      <c r="Y313" s="13">
        <v>141943.83</v>
      </c>
      <c r="Z313" s="11">
        <v>99</v>
      </c>
      <c r="AA313" s="11"/>
      <c r="AB313" s="13"/>
      <c r="AC313" s="11"/>
      <c r="AD313" s="12"/>
      <c r="AE313" s="12"/>
      <c r="AF313" s="11">
        <v>262</v>
      </c>
      <c r="AG313" s="13">
        <v>12455.56</v>
      </c>
      <c r="AH313" s="11">
        <v>95</v>
      </c>
      <c r="AI313" s="11"/>
      <c r="AJ313" s="13"/>
      <c r="AK313" s="11"/>
      <c r="AL313" s="12"/>
      <c r="AM313" s="12"/>
      <c r="AN313" s="11">
        <v>3312</v>
      </c>
      <c r="AO313" s="13">
        <v>136908.21</v>
      </c>
      <c r="AP313" s="11">
        <v>95</v>
      </c>
      <c r="AQ313" s="11"/>
      <c r="AR313" s="13"/>
      <c r="AS313" s="11"/>
      <c r="AT313" s="12"/>
      <c r="AU313" s="12"/>
      <c r="AV313" s="11">
        <v>131</v>
      </c>
      <c r="AW313" s="13">
        <v>6184.76</v>
      </c>
      <c r="AX313" s="11">
        <v>85</v>
      </c>
      <c r="AY313" s="11"/>
      <c r="AZ313" s="13"/>
      <c r="BA313" s="11"/>
      <c r="BB313" s="12"/>
      <c r="BC313" s="12"/>
      <c r="BD313" s="11">
        <v>508</v>
      </c>
      <c r="BE313" s="13">
        <v>32954.98</v>
      </c>
      <c r="BF313" s="11">
        <v>95</v>
      </c>
      <c r="BG313" s="11"/>
      <c r="BH313" s="13"/>
      <c r="BI313" s="11"/>
      <c r="BJ313" s="12"/>
      <c r="BK313" s="12"/>
      <c r="BL313" s="11">
        <v>282</v>
      </c>
      <c r="BM313" s="13">
        <v>18611.95</v>
      </c>
      <c r="BN313" s="11">
        <v>123</v>
      </c>
      <c r="BO313" s="11"/>
      <c r="BP313" s="13"/>
      <c r="BQ313" s="11"/>
      <c r="BR313" s="12"/>
      <c r="BS313" s="12"/>
      <c r="BT313" s="11">
        <v>75</v>
      </c>
      <c r="BU313" s="13">
        <v>3436.39</v>
      </c>
      <c r="BV313" s="11">
        <v>95</v>
      </c>
      <c r="BW313" s="11"/>
      <c r="BX313" s="13"/>
      <c r="BY313" s="11"/>
      <c r="BZ313" s="12"/>
      <c r="CA313" s="12"/>
      <c r="CB313" s="11">
        <v>612</v>
      </c>
      <c r="CC313" s="13">
        <v>32252.59</v>
      </c>
      <c r="CD313" s="11">
        <v>95</v>
      </c>
      <c r="CE313" s="11"/>
      <c r="CF313" s="13"/>
      <c r="CG313" s="11"/>
      <c r="CH313" s="12"/>
      <c r="CI313" s="12"/>
      <c r="CJ313" s="11"/>
      <c r="CK313" s="13"/>
      <c r="CL313" s="11">
        <v>72</v>
      </c>
      <c r="CM313" s="11"/>
      <c r="CN313" s="13"/>
      <c r="CO313" s="11"/>
      <c r="CP313" s="12"/>
      <c r="CQ313" s="12"/>
      <c r="CR313" s="11"/>
      <c r="CS313" s="13"/>
      <c r="CT313" s="11"/>
      <c r="CU313" s="11"/>
      <c r="CV313" s="13"/>
      <c r="CW313" s="11"/>
      <c r="CX313" s="12"/>
      <c r="CY313" s="12"/>
      <c r="CZ313" s="11">
        <v>2</v>
      </c>
      <c r="DA313" s="13">
        <v>64</v>
      </c>
      <c r="DB313" s="11">
        <v>2</v>
      </c>
      <c r="DC313" s="11"/>
      <c r="DD313" s="13"/>
      <c r="DE313" s="11"/>
      <c r="DF313" s="12"/>
      <c r="DG313" s="12"/>
      <c r="DH313" s="11"/>
      <c r="DI313" s="13"/>
      <c r="DJ313" s="11"/>
      <c r="DK313" s="11"/>
      <c r="DL313" s="13"/>
      <c r="DM313" s="11"/>
      <c r="DN313" s="12"/>
      <c r="DO313" s="12"/>
      <c r="DP313" s="11">
        <v>52</v>
      </c>
      <c r="DQ313" s="13">
        <v>3675.64</v>
      </c>
      <c r="DR313" s="11">
        <v>87</v>
      </c>
      <c r="DS313" s="11"/>
      <c r="DT313" s="13"/>
      <c r="DU313" s="11"/>
      <c r="DV313" s="12"/>
      <c r="DW313" s="12"/>
      <c r="DX313" s="11"/>
      <c r="DY313" s="13"/>
      <c r="DZ313" s="11">
        <v>75</v>
      </c>
      <c r="EA313" s="11"/>
      <c r="EB313" s="13"/>
      <c r="EC313" s="11"/>
      <c r="ED313" s="12"/>
      <c r="EE313" s="12"/>
      <c r="EF313" s="11"/>
      <c r="EG313" s="13"/>
      <c r="EH313" s="11"/>
      <c r="EI313" s="11"/>
      <c r="EJ313" s="13"/>
      <c r="EK313" s="11"/>
      <c r="EL313" s="12"/>
      <c r="EM313" s="12"/>
      <c r="EN313" s="11">
        <v>81</v>
      </c>
      <c r="EO313" s="13">
        <v>7505.74</v>
      </c>
      <c r="EP313" s="11">
        <v>167</v>
      </c>
      <c r="EQ313" s="11"/>
      <c r="ER313" s="13"/>
      <c r="ES313" s="11"/>
      <c r="ET313" s="12"/>
      <c r="EU313" s="12"/>
      <c r="EV313" s="11">
        <v>38</v>
      </c>
      <c r="EW313" s="13">
        <v>2343.32</v>
      </c>
      <c r="EX313" s="11">
        <v>74</v>
      </c>
      <c r="EY313" s="11"/>
      <c r="EZ313" s="13"/>
      <c r="FA313" s="11"/>
      <c r="FB313" s="12"/>
      <c r="FC313" s="12"/>
      <c r="FD313" s="11">
        <v>198</v>
      </c>
      <c r="FE313" s="13">
        <v>9984.13</v>
      </c>
      <c r="FF313" s="11">
        <v>79</v>
      </c>
      <c r="FG313" s="11"/>
      <c r="FH313" s="13"/>
      <c r="FI313" s="11"/>
      <c r="FJ313" s="12"/>
      <c r="FK313" s="12"/>
      <c r="FL313" s="11"/>
      <c r="FM313" s="13"/>
      <c r="FN313" s="11"/>
      <c r="FO313" s="11"/>
      <c r="FP313" s="13"/>
      <c r="FQ313" s="11"/>
      <c r="FR313" s="12"/>
      <c r="FS313" s="12"/>
      <c r="FT313" s="11"/>
      <c r="FU313" s="13"/>
      <c r="FV313" s="11"/>
      <c r="FW313" s="11"/>
      <c r="FX313" s="13"/>
      <c r="FY313" s="11"/>
      <c r="FZ313" s="12"/>
      <c r="GA313" s="12"/>
      <c r="GB313" s="11"/>
      <c r="GC313" s="13"/>
      <c r="GD313" s="11"/>
      <c r="GE313" s="11"/>
      <c r="GF313" s="13"/>
      <c r="GG313" s="11"/>
      <c r="GH313" s="12"/>
      <c r="GI313" s="12"/>
      <c r="GJ313" s="11"/>
      <c r="GK313" s="13"/>
      <c r="GL313" s="11"/>
      <c r="GM313" s="11"/>
      <c r="GN313" s="13"/>
      <c r="GO313" s="11"/>
      <c r="GP313" s="12"/>
      <c r="GQ313" s="12"/>
      <c r="GR313" s="11"/>
      <c r="GS313" s="13"/>
      <c r="GT313" s="11">
        <v>79</v>
      </c>
      <c r="GU313" s="11"/>
      <c r="GV313" s="13"/>
      <c r="GW313" s="11"/>
      <c r="GX313" s="12"/>
      <c r="GY313" s="12"/>
      <c r="GZ313" s="11">
        <v>14</v>
      </c>
      <c r="HA313" s="13">
        <v>565.54</v>
      </c>
      <c r="HB313" s="11">
        <v>9</v>
      </c>
      <c r="HC313" s="11"/>
      <c r="HD313" s="13"/>
      <c r="HE313" s="11"/>
      <c r="HF313" s="12"/>
      <c r="HG313" s="12"/>
      <c r="HH313" s="11"/>
      <c r="HI313" s="13"/>
      <c r="HJ313" s="11"/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/>
      <c r="JO313" s="11"/>
      <c r="JP313" s="13"/>
      <c r="JQ313" s="11"/>
      <c r="JR313" s="12"/>
      <c r="JS313" s="12"/>
      <c r="JT313" s="11"/>
      <c r="JU313" s="13"/>
      <c r="JV313" s="11"/>
      <c r="JW313" s="11"/>
      <c r="JX313" s="13"/>
      <c r="JY313" s="11"/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/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  <c r="LH313" s="11"/>
      <c r="LI313" s="13"/>
      <c r="LJ313" s="11"/>
      <c r="LK313" s="11"/>
      <c r="LL313" s="13"/>
      <c r="LM313" s="11"/>
      <c r="LN313" s="12"/>
      <c r="LO313" s="12"/>
      <c r="LP313" s="11"/>
      <c r="LQ313" s="13"/>
      <c r="LR313" s="11"/>
      <c r="LS313" s="11"/>
      <c r="LT313" s="13"/>
      <c r="LU313" s="11"/>
      <c r="LV313" s="12"/>
      <c r="LW313" s="12"/>
    </row>
    <row r="314">
      <c r="A314" s="10" t="s">
        <v>193</v>
      </c>
      <c r="B314" s="10" t="s">
        <v>207</v>
      </c>
      <c r="C314" s="10" t="s">
        <v>77</v>
      </c>
      <c r="D314" s="11">
        <v>91370</v>
      </c>
      <c r="E314" s="11">
        <f>=ROUNDDOWN({0},0)</f>
      </c>
      <c r="F314" s="11">
        <v>13303</v>
      </c>
      <c r="G314" s="12"/>
      <c r="H314" s="11"/>
      <c r="I314" s="11">
        <f>=ROUNDDOWN({0},0)</f>
      </c>
      <c r="J314" s="11"/>
      <c r="K314" s="12"/>
      <c r="L314" s="11">
        <v>20019</v>
      </c>
      <c r="M314" s="13">
        <v>1168517.51</v>
      </c>
      <c r="N314" s="11">
        <v>230</v>
      </c>
      <c r="O314" s="14">
        <v>5080.51</v>
      </c>
      <c r="P314" s="11"/>
      <c r="Q314" s="13"/>
      <c r="R314" s="11"/>
      <c r="S314" s="14"/>
      <c r="T314" s="12"/>
      <c r="U314" s="12"/>
      <c r="V314" s="12"/>
      <c r="W314" s="12"/>
      <c r="X314" s="11">
        <v>12525</v>
      </c>
      <c r="Y314" s="13">
        <v>775349.14</v>
      </c>
      <c r="Z314" s="11">
        <v>117</v>
      </c>
      <c r="AA314" s="11"/>
      <c r="AB314" s="13"/>
      <c r="AC314" s="11"/>
      <c r="AD314" s="12"/>
      <c r="AE314" s="12"/>
      <c r="AF314" s="11">
        <v>429</v>
      </c>
      <c r="AG314" s="13">
        <v>21890</v>
      </c>
      <c r="AH314" s="11">
        <v>113</v>
      </c>
      <c r="AI314" s="11"/>
      <c r="AJ314" s="13"/>
      <c r="AK314" s="11"/>
      <c r="AL314" s="12"/>
      <c r="AM314" s="12"/>
      <c r="AN314" s="11">
        <v>3890</v>
      </c>
      <c r="AO314" s="13">
        <v>174851.83</v>
      </c>
      <c r="AP314" s="11">
        <v>113</v>
      </c>
      <c r="AQ314" s="11"/>
      <c r="AR314" s="13"/>
      <c r="AS314" s="11"/>
      <c r="AT314" s="12"/>
      <c r="AU314" s="12"/>
      <c r="AV314" s="11">
        <v>180</v>
      </c>
      <c r="AW314" s="13">
        <v>9152.03</v>
      </c>
      <c r="AX314" s="11">
        <v>99</v>
      </c>
      <c r="AY314" s="11"/>
      <c r="AZ314" s="13"/>
      <c r="BA314" s="11"/>
      <c r="BB314" s="12"/>
      <c r="BC314" s="12"/>
      <c r="BD314" s="11">
        <v>732</v>
      </c>
      <c r="BE314" s="13">
        <v>47544.09</v>
      </c>
      <c r="BF314" s="11">
        <v>113</v>
      </c>
      <c r="BG314" s="11"/>
      <c r="BH314" s="13"/>
      <c r="BI314" s="11"/>
      <c r="BJ314" s="12"/>
      <c r="BK314" s="12"/>
      <c r="BL314" s="11">
        <v>647</v>
      </c>
      <c r="BM314" s="13">
        <v>42244.8</v>
      </c>
      <c r="BN314" s="11">
        <v>141</v>
      </c>
      <c r="BO314" s="11"/>
      <c r="BP314" s="13"/>
      <c r="BQ314" s="11"/>
      <c r="BR314" s="12"/>
      <c r="BS314" s="12"/>
      <c r="BT314" s="11">
        <v>114</v>
      </c>
      <c r="BU314" s="13">
        <v>5298.79</v>
      </c>
      <c r="BV314" s="11">
        <v>113</v>
      </c>
      <c r="BW314" s="11"/>
      <c r="BX314" s="13"/>
      <c r="BY314" s="11"/>
      <c r="BZ314" s="12"/>
      <c r="CA314" s="12"/>
      <c r="CB314" s="11">
        <v>896</v>
      </c>
      <c r="CC314" s="13">
        <v>49927.93</v>
      </c>
      <c r="CD314" s="11">
        <v>113</v>
      </c>
      <c r="CE314" s="11"/>
      <c r="CF314" s="13"/>
      <c r="CG314" s="11"/>
      <c r="CH314" s="12"/>
      <c r="CI314" s="12"/>
      <c r="CJ314" s="11"/>
      <c r="CK314" s="13"/>
      <c r="CL314" s="11">
        <v>77</v>
      </c>
      <c r="CM314" s="11"/>
      <c r="CN314" s="13"/>
      <c r="CO314" s="11"/>
      <c r="CP314" s="12"/>
      <c r="CQ314" s="12"/>
      <c r="CR314" s="11"/>
      <c r="CS314" s="13"/>
      <c r="CT314" s="11"/>
      <c r="CU314" s="11"/>
      <c r="CV314" s="13"/>
      <c r="CW314" s="11"/>
      <c r="CX314" s="12"/>
      <c r="CY314" s="12"/>
      <c r="CZ314" s="11">
        <v>2</v>
      </c>
      <c r="DA314" s="13">
        <v>64</v>
      </c>
      <c r="DB314" s="11">
        <v>2</v>
      </c>
      <c r="DC314" s="11"/>
      <c r="DD314" s="13"/>
      <c r="DE314" s="11"/>
      <c r="DF314" s="12"/>
      <c r="DG314" s="12"/>
      <c r="DH314" s="11"/>
      <c r="DI314" s="13"/>
      <c r="DJ314" s="11"/>
      <c r="DK314" s="11"/>
      <c r="DL314" s="13"/>
      <c r="DM314" s="11"/>
      <c r="DN314" s="12"/>
      <c r="DO314" s="12"/>
      <c r="DP314" s="11">
        <v>90</v>
      </c>
      <c r="DQ314" s="13">
        <v>6145.38</v>
      </c>
      <c r="DR314" s="11">
        <v>105</v>
      </c>
      <c r="DS314" s="11"/>
      <c r="DT314" s="13"/>
      <c r="DU314" s="11"/>
      <c r="DV314" s="12"/>
      <c r="DW314" s="12"/>
      <c r="DX314" s="11">
        <v>2</v>
      </c>
      <c r="DY314" s="13">
        <v>117.54</v>
      </c>
      <c r="DZ314" s="11">
        <v>93</v>
      </c>
      <c r="EA314" s="11"/>
      <c r="EB314" s="13"/>
      <c r="EC314" s="11"/>
      <c r="ED314" s="12"/>
      <c r="EE314" s="12"/>
      <c r="EF314" s="11"/>
      <c r="EG314" s="13"/>
      <c r="EH314" s="11"/>
      <c r="EI314" s="11"/>
      <c r="EJ314" s="13"/>
      <c r="EK314" s="11"/>
      <c r="EL314" s="12"/>
      <c r="EM314" s="12"/>
      <c r="EN314" s="11">
        <v>139</v>
      </c>
      <c r="EO314" s="13">
        <v>14903.16</v>
      </c>
      <c r="EP314" s="11">
        <v>197</v>
      </c>
      <c r="EQ314" s="11"/>
      <c r="ER314" s="13"/>
      <c r="ES314" s="11"/>
      <c r="ET314" s="12"/>
      <c r="EU314" s="12"/>
      <c r="EV314" s="11">
        <v>94</v>
      </c>
      <c r="EW314" s="13">
        <v>6068.21</v>
      </c>
      <c r="EX314" s="11">
        <v>82</v>
      </c>
      <c r="EY314" s="11"/>
      <c r="EZ314" s="13"/>
      <c r="FA314" s="11"/>
      <c r="FB314" s="12"/>
      <c r="FC314" s="12"/>
      <c r="FD314" s="11">
        <v>265</v>
      </c>
      <c r="FE314" s="13">
        <v>14395.07</v>
      </c>
      <c r="FF314" s="11">
        <v>89</v>
      </c>
      <c r="FG314" s="11"/>
      <c r="FH314" s="13"/>
      <c r="FI314" s="11"/>
      <c r="FJ314" s="12"/>
      <c r="FK314" s="12"/>
      <c r="FL314" s="11"/>
      <c r="FM314" s="13"/>
      <c r="FN314" s="11"/>
      <c r="FO314" s="11"/>
      <c r="FP314" s="13"/>
      <c r="FQ314" s="11"/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/>
      <c r="GE314" s="11"/>
      <c r="GF314" s="13"/>
      <c r="GG314" s="11"/>
      <c r="GH314" s="12"/>
      <c r="GI314" s="12"/>
      <c r="GJ314" s="11"/>
      <c r="GK314" s="13"/>
      <c r="GL314" s="11"/>
      <c r="GM314" s="11"/>
      <c r="GN314" s="13"/>
      <c r="GO314" s="11"/>
      <c r="GP314" s="12"/>
      <c r="GQ314" s="12"/>
      <c r="GR314" s="11"/>
      <c r="GS314" s="13"/>
      <c r="GT314" s="11">
        <v>89</v>
      </c>
      <c r="GU314" s="11"/>
      <c r="GV314" s="13"/>
      <c r="GW314" s="11"/>
      <c r="GX314" s="12"/>
      <c r="GY314" s="12"/>
      <c r="GZ314" s="11">
        <v>14</v>
      </c>
      <c r="HA314" s="13">
        <v>565.54</v>
      </c>
      <c r="HB314" s="11">
        <v>9</v>
      </c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/>
      <c r="JR314" s="12"/>
      <c r="JS314" s="12"/>
      <c r="JT314" s="11"/>
      <c r="JU314" s="13"/>
      <c r="JV314" s="11"/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  <c r="LH314" s="11"/>
      <c r="LI314" s="13"/>
      <c r="LJ314" s="11"/>
      <c r="LK314" s="11"/>
      <c r="LL314" s="13"/>
      <c r="LM314" s="11"/>
      <c r="LN314" s="12"/>
      <c r="LO314" s="12"/>
      <c r="LP314" s="11"/>
      <c r="LQ314" s="13"/>
      <c r="LR314" s="11"/>
      <c r="LS314" s="11"/>
      <c r="LT314" s="13"/>
      <c r="LU314" s="11"/>
      <c r="LV314" s="12"/>
      <c r="LW314" s="12"/>
    </row>
    <row r="315">
      <c r="A315" s="10" t="s">
        <v>193</v>
      </c>
      <c r="B315" s="10" t="s">
        <v>174</v>
      </c>
      <c r="C315" s="10" t="s">
        <v>197</v>
      </c>
      <c r="D315" s="11">
        <v>4298</v>
      </c>
      <c r="E315" s="11">
        <f>=ROUNDDOWN(32.3157894736842,0)</f>
      </c>
      <c r="F315" s="11"/>
      <c r="G315" s="12"/>
      <c r="H315" s="11"/>
      <c r="I315" s="11">
        <f>=ROUNDDOWN({0},0)</f>
      </c>
      <c r="J315" s="11"/>
      <c r="K315" s="12"/>
      <c r="L315" s="11"/>
      <c r="M315" s="13"/>
      <c r="N315" s="11">
        <v>2</v>
      </c>
      <c r="O315" s="14"/>
      <c r="P315" s="11"/>
      <c r="Q315" s="13"/>
      <c r="R315" s="11"/>
      <c r="S315" s="14"/>
      <c r="T315" s="12"/>
      <c r="U315" s="12"/>
      <c r="V315" s="12"/>
      <c r="W315" s="12"/>
      <c r="X315" s="11"/>
      <c r="Y315" s="13"/>
      <c r="Z315" s="11">
        <v>2</v>
      </c>
      <c r="AA315" s="11"/>
      <c r="AB315" s="13"/>
      <c r="AC315" s="11"/>
      <c r="AD315" s="12"/>
      <c r="AE315" s="12"/>
      <c r="AF315" s="11"/>
      <c r="AG315" s="13"/>
      <c r="AH315" s="11">
        <v>2</v>
      </c>
      <c r="AI315" s="11"/>
      <c r="AJ315" s="13"/>
      <c r="AK315" s="11"/>
      <c r="AL315" s="12"/>
      <c r="AM315" s="12"/>
      <c r="AN315" s="11"/>
      <c r="AO315" s="13"/>
      <c r="AP315" s="11">
        <v>2</v>
      </c>
      <c r="AQ315" s="11"/>
      <c r="AR315" s="13"/>
      <c r="AS315" s="11"/>
      <c r="AT315" s="12"/>
      <c r="AU315" s="12"/>
      <c r="AV315" s="11"/>
      <c r="AW315" s="13"/>
      <c r="AX315" s="11">
        <v>2</v>
      </c>
      <c r="AY315" s="11"/>
      <c r="AZ315" s="13"/>
      <c r="BA315" s="11"/>
      <c r="BB315" s="12"/>
      <c r="BC315" s="12"/>
      <c r="BD315" s="11"/>
      <c r="BE315" s="13"/>
      <c r="BF315" s="11">
        <v>2</v>
      </c>
      <c r="BG315" s="11"/>
      <c r="BH315" s="13"/>
      <c r="BI315" s="11"/>
      <c r="BJ315" s="12"/>
      <c r="BK315" s="12"/>
      <c r="BL315" s="11"/>
      <c r="BM315" s="13"/>
      <c r="BN315" s="11">
        <v>2</v>
      </c>
      <c r="BO315" s="11"/>
      <c r="BP315" s="13"/>
      <c r="BQ315" s="11"/>
      <c r="BR315" s="12"/>
      <c r="BS315" s="12"/>
      <c r="BT315" s="11"/>
      <c r="BU315" s="13"/>
      <c r="BV315" s="11">
        <v>2</v>
      </c>
      <c r="BW315" s="11"/>
      <c r="BX315" s="13"/>
      <c r="BY315" s="11"/>
      <c r="BZ315" s="12"/>
      <c r="CA315" s="12"/>
      <c r="CB315" s="11"/>
      <c r="CC315" s="13"/>
      <c r="CD315" s="11"/>
      <c r="CE315" s="11"/>
      <c r="CF315" s="13"/>
      <c r="CG315" s="11"/>
      <c r="CH315" s="12"/>
      <c r="CI315" s="12"/>
      <c r="CJ315" s="11"/>
      <c r="CK315" s="13"/>
      <c r="CL315" s="11">
        <v>2</v>
      </c>
      <c r="CM315" s="11"/>
      <c r="CN315" s="13"/>
      <c r="CO315" s="11"/>
      <c r="CP315" s="12"/>
      <c r="CQ315" s="12"/>
      <c r="CR315" s="11"/>
      <c r="CS315" s="13"/>
      <c r="CT315" s="11"/>
      <c r="CU315" s="11"/>
      <c r="CV315" s="13"/>
      <c r="CW315" s="11"/>
      <c r="CX315" s="12"/>
      <c r="CY315" s="12"/>
      <c r="CZ315" s="11"/>
      <c r="DA315" s="13"/>
      <c r="DB315" s="11"/>
      <c r="DC315" s="11"/>
      <c r="DD315" s="13"/>
      <c r="DE315" s="11"/>
      <c r="DF315" s="12"/>
      <c r="DG315" s="12"/>
      <c r="DH315" s="11"/>
      <c r="DI315" s="13"/>
      <c r="DJ315" s="11"/>
      <c r="DK315" s="11"/>
      <c r="DL315" s="13"/>
      <c r="DM315" s="11"/>
      <c r="DN315" s="12"/>
      <c r="DO315" s="12"/>
      <c r="DP315" s="11"/>
      <c r="DQ315" s="13"/>
      <c r="DR315" s="11">
        <v>2</v>
      </c>
      <c r="DS315" s="11"/>
      <c r="DT315" s="13"/>
      <c r="DU315" s="11"/>
      <c r="DV315" s="12"/>
      <c r="DW315" s="12"/>
      <c r="DX315" s="11"/>
      <c r="DY315" s="13"/>
      <c r="DZ315" s="11">
        <v>2</v>
      </c>
      <c r="EA315" s="11"/>
      <c r="EB315" s="13"/>
      <c r="EC315" s="11"/>
      <c r="ED315" s="12"/>
      <c r="EE315" s="12"/>
      <c r="EF315" s="11"/>
      <c r="EG315" s="13"/>
      <c r="EH315" s="11"/>
      <c r="EI315" s="11"/>
      <c r="EJ315" s="13"/>
      <c r="EK315" s="11"/>
      <c r="EL315" s="12"/>
      <c r="EM315" s="12"/>
      <c r="EN315" s="11"/>
      <c r="EO315" s="13"/>
      <c r="EP315" s="11">
        <v>2</v>
      </c>
      <c r="EQ315" s="11"/>
      <c r="ER315" s="13"/>
      <c r="ES315" s="11"/>
      <c r="ET315" s="12"/>
      <c r="EU315" s="12"/>
      <c r="EV315" s="11"/>
      <c r="EW315" s="13"/>
      <c r="EX315" s="11"/>
      <c r="EY315" s="11"/>
      <c r="EZ315" s="13"/>
      <c r="FA315" s="11"/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/>
      <c r="FM315" s="13"/>
      <c r="FN315" s="11"/>
      <c r="FO315" s="11"/>
      <c r="FP315" s="13"/>
      <c r="FQ315" s="11"/>
      <c r="FR315" s="12"/>
      <c r="FS315" s="12"/>
      <c r="FT315" s="11"/>
      <c r="FU315" s="13"/>
      <c r="FV315" s="11"/>
      <c r="FW315" s="11"/>
      <c r="FX315" s="13"/>
      <c r="FY315" s="11"/>
      <c r="FZ315" s="12"/>
      <c r="GA315" s="12"/>
      <c r="GB315" s="11"/>
      <c r="GC315" s="13"/>
      <c r="GD315" s="11"/>
      <c r="GE315" s="11"/>
      <c r="GF315" s="13"/>
      <c r="GG315" s="11"/>
      <c r="GH315" s="12"/>
      <c r="GI315" s="12"/>
      <c r="GJ315" s="11"/>
      <c r="GK315" s="13"/>
      <c r="GL315" s="11"/>
      <c r="GM315" s="11"/>
      <c r="GN315" s="13"/>
      <c r="GO315" s="11"/>
      <c r="GP315" s="12"/>
      <c r="GQ315" s="12"/>
      <c r="GR315" s="11"/>
      <c r="GS315" s="13"/>
      <c r="GT315" s="11"/>
      <c r="GU315" s="11"/>
      <c r="GV315" s="13"/>
      <c r="GW315" s="11"/>
      <c r="GX315" s="12"/>
      <c r="GY315" s="12"/>
      <c r="GZ315" s="11"/>
      <c r="HA315" s="13"/>
      <c r="HB315" s="11"/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/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/>
      <c r="JP315" s="13"/>
      <c r="JQ315" s="11"/>
      <c r="JR315" s="12"/>
      <c r="JS315" s="12"/>
      <c r="JT315" s="11"/>
      <c r="JU315" s="13"/>
      <c r="JV315" s="11"/>
      <c r="JW315" s="11"/>
      <c r="JX315" s="13"/>
      <c r="JY315" s="11"/>
      <c r="JZ315" s="12"/>
      <c r="KA315" s="12"/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/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  <c r="LH315" s="11"/>
      <c r="LI315" s="13"/>
      <c r="LJ315" s="11"/>
      <c r="LK315" s="11"/>
      <c r="LL315" s="13"/>
      <c r="LM315" s="11"/>
      <c r="LN315" s="12"/>
      <c r="LO315" s="12"/>
      <c r="LP315" s="11"/>
      <c r="LQ315" s="13"/>
      <c r="LR315" s="11"/>
      <c r="LS315" s="11"/>
      <c r="LT315" s="13"/>
      <c r="LU315" s="11"/>
      <c r="LV315" s="12"/>
      <c r="LW315" s="12"/>
    </row>
    <row r="316">
      <c r="A316" s="10" t="s">
        <v>193</v>
      </c>
      <c r="B316" s="10" t="s">
        <v>174</v>
      </c>
      <c r="C316" s="10" t="s">
        <v>198</v>
      </c>
      <c r="D316" s="11">
        <v>6347</v>
      </c>
      <c r="E316" s="11">
        <f>=ROUNDDOWN(59.9905482041588,0)</f>
      </c>
      <c r="F316" s="11"/>
      <c r="G316" s="12">
        <v>0.8889</v>
      </c>
      <c r="H316" s="11"/>
      <c r="I316" s="11">
        <f>=ROUNDDOWN({0},0)</f>
      </c>
      <c r="J316" s="11"/>
      <c r="K316" s="12"/>
      <c r="L316" s="11">
        <v>4</v>
      </c>
      <c r="M316" s="13">
        <v>106.84</v>
      </c>
      <c r="N316" s="11">
        <v>4</v>
      </c>
      <c r="O316" s="14">
        <v>26.71</v>
      </c>
      <c r="P316" s="11"/>
      <c r="Q316" s="13"/>
      <c r="R316" s="11"/>
      <c r="S316" s="14"/>
      <c r="T316" s="12"/>
      <c r="U316" s="12"/>
      <c r="V316" s="12"/>
      <c r="W316" s="12"/>
      <c r="X316" s="11"/>
      <c r="Y316" s="13"/>
      <c r="Z316" s="11">
        <v>4</v>
      </c>
      <c r="AA316" s="11"/>
      <c r="AB316" s="13"/>
      <c r="AC316" s="11"/>
      <c r="AD316" s="12"/>
      <c r="AE316" s="12"/>
      <c r="AF316" s="11"/>
      <c r="AG316" s="13"/>
      <c r="AH316" s="11">
        <v>4</v>
      </c>
      <c r="AI316" s="11"/>
      <c r="AJ316" s="13"/>
      <c r="AK316" s="11"/>
      <c r="AL316" s="12"/>
      <c r="AM316" s="12"/>
      <c r="AN316" s="11"/>
      <c r="AO316" s="13"/>
      <c r="AP316" s="11">
        <v>4</v>
      </c>
      <c r="AQ316" s="11"/>
      <c r="AR316" s="13"/>
      <c r="AS316" s="11"/>
      <c r="AT316" s="12"/>
      <c r="AU316" s="12"/>
      <c r="AV316" s="11"/>
      <c r="AW316" s="13"/>
      <c r="AX316" s="11">
        <v>4</v>
      </c>
      <c r="AY316" s="11"/>
      <c r="AZ316" s="13"/>
      <c r="BA316" s="11"/>
      <c r="BB316" s="12"/>
      <c r="BC316" s="12"/>
      <c r="BD316" s="11">
        <v>4</v>
      </c>
      <c r="BE316" s="13">
        <v>106.84</v>
      </c>
      <c r="BF316" s="11">
        <v>4</v>
      </c>
      <c r="BG316" s="11"/>
      <c r="BH316" s="13"/>
      <c r="BI316" s="11"/>
      <c r="BJ316" s="12"/>
      <c r="BK316" s="12"/>
      <c r="BL316" s="11"/>
      <c r="BM316" s="13"/>
      <c r="BN316" s="11">
        <v>4</v>
      </c>
      <c r="BO316" s="11"/>
      <c r="BP316" s="13"/>
      <c r="BQ316" s="11"/>
      <c r="BR316" s="12"/>
      <c r="BS316" s="12"/>
      <c r="BT316" s="11"/>
      <c r="BU316" s="13"/>
      <c r="BV316" s="11">
        <v>4</v>
      </c>
      <c r="BW316" s="11"/>
      <c r="BX316" s="13"/>
      <c r="BY316" s="11"/>
      <c r="BZ316" s="12"/>
      <c r="CA316" s="12"/>
      <c r="CB316" s="11"/>
      <c r="CC316" s="13"/>
      <c r="CD316" s="11"/>
      <c r="CE316" s="11"/>
      <c r="CF316" s="13"/>
      <c r="CG316" s="11"/>
      <c r="CH316" s="12"/>
      <c r="CI316" s="12"/>
      <c r="CJ316" s="11"/>
      <c r="CK316" s="13"/>
      <c r="CL316" s="11">
        <v>4</v>
      </c>
      <c r="CM316" s="11"/>
      <c r="CN316" s="13"/>
      <c r="CO316" s="11"/>
      <c r="CP316" s="12"/>
      <c r="CQ316" s="12"/>
      <c r="CR316" s="11"/>
      <c r="CS316" s="13"/>
      <c r="CT316" s="11"/>
      <c r="CU316" s="11"/>
      <c r="CV316" s="13"/>
      <c r="CW316" s="11"/>
      <c r="CX316" s="12"/>
      <c r="CY316" s="12"/>
      <c r="CZ316" s="11"/>
      <c r="DA316" s="13"/>
      <c r="DB316" s="11"/>
      <c r="DC316" s="11"/>
      <c r="DD316" s="13"/>
      <c r="DE316" s="11"/>
      <c r="DF316" s="12"/>
      <c r="DG316" s="12"/>
      <c r="DH316" s="11"/>
      <c r="DI316" s="13"/>
      <c r="DJ316" s="11"/>
      <c r="DK316" s="11"/>
      <c r="DL316" s="13"/>
      <c r="DM316" s="11"/>
      <c r="DN316" s="12"/>
      <c r="DO316" s="12"/>
      <c r="DP316" s="11"/>
      <c r="DQ316" s="13"/>
      <c r="DR316" s="11">
        <v>4</v>
      </c>
      <c r="DS316" s="11"/>
      <c r="DT316" s="13"/>
      <c r="DU316" s="11"/>
      <c r="DV316" s="12"/>
      <c r="DW316" s="12"/>
      <c r="DX316" s="11"/>
      <c r="DY316" s="13"/>
      <c r="DZ316" s="11">
        <v>4</v>
      </c>
      <c r="EA316" s="11"/>
      <c r="EB316" s="13"/>
      <c r="EC316" s="11"/>
      <c r="ED316" s="12"/>
      <c r="EE316" s="12"/>
      <c r="EF316" s="11"/>
      <c r="EG316" s="13"/>
      <c r="EH316" s="11"/>
      <c r="EI316" s="11"/>
      <c r="EJ316" s="13"/>
      <c r="EK316" s="11"/>
      <c r="EL316" s="12"/>
      <c r="EM316" s="12"/>
      <c r="EN316" s="11"/>
      <c r="EO316" s="13"/>
      <c r="EP316" s="11">
        <v>4</v>
      </c>
      <c r="EQ316" s="11"/>
      <c r="ER316" s="13"/>
      <c r="ES316" s="11"/>
      <c r="ET316" s="12"/>
      <c r="EU316" s="12"/>
      <c r="EV316" s="11"/>
      <c r="EW316" s="13"/>
      <c r="EX316" s="11"/>
      <c r="EY316" s="11"/>
      <c r="EZ316" s="13"/>
      <c r="FA316" s="11"/>
      <c r="FB316" s="12"/>
      <c r="FC316" s="12"/>
      <c r="FD316" s="11"/>
      <c r="FE316" s="13"/>
      <c r="FF316" s="11"/>
      <c r="FG316" s="11"/>
      <c r="FH316" s="13"/>
      <c r="FI316" s="11"/>
      <c r="FJ316" s="12"/>
      <c r="FK316" s="12"/>
      <c r="FL316" s="11"/>
      <c r="FM316" s="13"/>
      <c r="FN316" s="11"/>
      <c r="FO316" s="11"/>
      <c r="FP316" s="13"/>
      <c r="FQ316" s="11"/>
      <c r="FR316" s="12"/>
      <c r="FS316" s="12"/>
      <c r="FT316" s="11"/>
      <c r="FU316" s="13"/>
      <c r="FV316" s="11"/>
      <c r="FW316" s="11"/>
      <c r="FX316" s="13"/>
      <c r="FY316" s="11"/>
      <c r="FZ316" s="12"/>
      <c r="GA316" s="12"/>
      <c r="GB316" s="11"/>
      <c r="GC316" s="13"/>
      <c r="GD316" s="11"/>
      <c r="GE316" s="11"/>
      <c r="GF316" s="13"/>
      <c r="GG316" s="11"/>
      <c r="GH316" s="12"/>
      <c r="GI316" s="12"/>
      <c r="GJ316" s="11"/>
      <c r="GK316" s="13"/>
      <c r="GL316" s="11"/>
      <c r="GM316" s="11"/>
      <c r="GN316" s="13"/>
      <c r="GO316" s="11"/>
      <c r="GP316" s="12"/>
      <c r="GQ316" s="12"/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/>
      <c r="JO316" s="11"/>
      <c r="JP316" s="13"/>
      <c r="JQ316" s="11"/>
      <c r="JR316" s="12"/>
      <c r="JS316" s="12"/>
      <c r="JT316" s="11"/>
      <c r="JU316" s="13"/>
      <c r="JV316" s="11"/>
      <c r="JW316" s="11"/>
      <c r="JX316" s="13"/>
      <c r="JY316" s="11"/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  <c r="LH316" s="11"/>
      <c r="LI316" s="13"/>
      <c r="LJ316" s="11"/>
      <c r="LK316" s="11"/>
      <c r="LL316" s="13"/>
      <c r="LM316" s="11"/>
      <c r="LN316" s="12"/>
      <c r="LO316" s="12"/>
      <c r="LP316" s="11"/>
      <c r="LQ316" s="13"/>
      <c r="LR316" s="11"/>
      <c r="LS316" s="11"/>
      <c r="LT316" s="13"/>
      <c r="LU316" s="11"/>
      <c r="LV316" s="12"/>
      <c r="LW316" s="12"/>
    </row>
    <row r="317">
      <c r="A317" s="10" t="s">
        <v>193</v>
      </c>
      <c r="B317" s="10" t="s">
        <v>174</v>
      </c>
      <c r="C317" s="10" t="s">
        <v>208</v>
      </c>
      <c r="D317" s="11">
        <v>898</v>
      </c>
      <c r="E317" s="11">
        <f>=ROUNDDOWN(30.0334448160535,0)</f>
      </c>
      <c r="F317" s="11"/>
      <c r="G317" s="12">
        <v>0.8889</v>
      </c>
      <c r="H317" s="11"/>
      <c r="I317" s="11">
        <f>=ROUNDDOWN({0},0)</f>
      </c>
      <c r="J317" s="11"/>
      <c r="K317" s="12"/>
      <c r="L317" s="11">
        <v>9</v>
      </c>
      <c r="M317" s="13">
        <v>108.29</v>
      </c>
      <c r="N317" s="11"/>
      <c r="O317" s="14"/>
      <c r="P317" s="11"/>
      <c r="Q317" s="13"/>
      <c r="R317" s="11"/>
      <c r="S317" s="14"/>
      <c r="T317" s="12"/>
      <c r="U317" s="12"/>
      <c r="V317" s="12"/>
      <c r="W317" s="12"/>
      <c r="X317" s="11"/>
      <c r="Y317" s="13"/>
      <c r="Z317" s="11"/>
      <c r="AA317" s="11"/>
      <c r="AB317" s="13"/>
      <c r="AC317" s="11"/>
      <c r="AD317" s="12"/>
      <c r="AE317" s="12"/>
      <c r="AF317" s="11"/>
      <c r="AG317" s="13"/>
      <c r="AH317" s="11"/>
      <c r="AI317" s="11"/>
      <c r="AJ317" s="13"/>
      <c r="AK317" s="11"/>
      <c r="AL317" s="12"/>
      <c r="AM317" s="12"/>
      <c r="AN317" s="11"/>
      <c r="AO317" s="13"/>
      <c r="AP317" s="11"/>
      <c r="AQ317" s="11"/>
      <c r="AR317" s="13"/>
      <c r="AS317" s="11"/>
      <c r="AT317" s="12"/>
      <c r="AU317" s="12"/>
      <c r="AV317" s="11"/>
      <c r="AW317" s="13"/>
      <c r="AX317" s="11"/>
      <c r="AY317" s="11"/>
      <c r="AZ317" s="13"/>
      <c r="BA317" s="11"/>
      <c r="BB317" s="12"/>
      <c r="BC317" s="12"/>
      <c r="BD317" s="11">
        <v>9</v>
      </c>
      <c r="BE317" s="13">
        <v>108.29</v>
      </c>
      <c r="BF317" s="11"/>
      <c r="BG317" s="11"/>
      <c r="BH317" s="13"/>
      <c r="BI317" s="11"/>
      <c r="BJ317" s="12"/>
      <c r="BK317" s="12"/>
      <c r="BL317" s="11"/>
      <c r="BM317" s="13"/>
      <c r="BN317" s="11"/>
      <c r="BO317" s="11"/>
      <c r="BP317" s="13"/>
      <c r="BQ317" s="11"/>
      <c r="BR317" s="12"/>
      <c r="BS317" s="12"/>
      <c r="BT317" s="11"/>
      <c r="BU317" s="13"/>
      <c r="BV317" s="11"/>
      <c r="BW317" s="11"/>
      <c r="BX317" s="13"/>
      <c r="BY317" s="11"/>
      <c r="BZ317" s="12"/>
      <c r="CA317" s="12"/>
      <c r="CB317" s="11"/>
      <c r="CC317" s="13"/>
      <c r="CD317" s="11"/>
      <c r="CE317" s="11"/>
      <c r="CF317" s="13"/>
      <c r="CG317" s="11"/>
      <c r="CH317" s="12"/>
      <c r="CI317" s="12"/>
      <c r="CJ317" s="11"/>
      <c r="CK317" s="13"/>
      <c r="CL317" s="11"/>
      <c r="CM317" s="11"/>
      <c r="CN317" s="13"/>
      <c r="CO317" s="11"/>
      <c r="CP317" s="12"/>
      <c r="CQ317" s="12"/>
      <c r="CR317" s="11"/>
      <c r="CS317" s="13"/>
      <c r="CT317" s="11"/>
      <c r="CU317" s="11"/>
      <c r="CV317" s="13"/>
      <c r="CW317" s="11"/>
      <c r="CX317" s="12"/>
      <c r="CY317" s="12"/>
      <c r="CZ317" s="11"/>
      <c r="DA317" s="13"/>
      <c r="DB317" s="11"/>
      <c r="DC317" s="11"/>
      <c r="DD317" s="13"/>
      <c r="DE317" s="11"/>
      <c r="DF317" s="12"/>
      <c r="DG317" s="12"/>
      <c r="DH317" s="11"/>
      <c r="DI317" s="13"/>
      <c r="DJ317" s="11"/>
      <c r="DK317" s="11"/>
      <c r="DL317" s="13"/>
      <c r="DM317" s="11"/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/>
      <c r="DY317" s="13"/>
      <c r="DZ317" s="11"/>
      <c r="EA317" s="11"/>
      <c r="EB317" s="13"/>
      <c r="EC317" s="11"/>
      <c r="ED317" s="12"/>
      <c r="EE317" s="12"/>
      <c r="EF317" s="11"/>
      <c r="EG317" s="13"/>
      <c r="EH317" s="11"/>
      <c r="EI317" s="11"/>
      <c r="EJ317" s="13"/>
      <c r="EK317" s="11"/>
      <c r="EL317" s="12"/>
      <c r="EM317" s="12"/>
      <c r="EN317" s="11"/>
      <c r="EO317" s="13"/>
      <c r="EP317" s="11"/>
      <c r="EQ317" s="11"/>
      <c r="ER317" s="13"/>
      <c r="ES317" s="11"/>
      <c r="ET317" s="12"/>
      <c r="EU317" s="12"/>
      <c r="EV317" s="11"/>
      <c r="EW317" s="13"/>
      <c r="EX317" s="11"/>
      <c r="EY317" s="11"/>
      <c r="EZ317" s="13"/>
      <c r="FA317" s="11"/>
      <c r="FB317" s="12"/>
      <c r="FC317" s="12"/>
      <c r="FD317" s="11"/>
      <c r="FE317" s="13"/>
      <c r="FF317" s="11"/>
      <c r="FG317" s="11"/>
      <c r="FH317" s="13"/>
      <c r="FI317" s="11"/>
      <c r="FJ317" s="12"/>
      <c r="FK317" s="12"/>
      <c r="FL317" s="11"/>
      <c r="FM317" s="13"/>
      <c r="FN317" s="11"/>
      <c r="FO317" s="11"/>
      <c r="FP317" s="13"/>
      <c r="FQ317" s="11"/>
      <c r="FR317" s="12"/>
      <c r="FS317" s="12"/>
      <c r="FT317" s="11"/>
      <c r="FU317" s="13"/>
      <c r="FV317" s="11"/>
      <c r="FW317" s="11"/>
      <c r="FX317" s="13"/>
      <c r="FY317" s="11"/>
      <c r="FZ317" s="12"/>
      <c r="GA317" s="12"/>
      <c r="GB317" s="11"/>
      <c r="GC317" s="13"/>
      <c r="GD317" s="11"/>
      <c r="GE317" s="11"/>
      <c r="GF317" s="13"/>
      <c r="GG317" s="11"/>
      <c r="GH317" s="12"/>
      <c r="GI317" s="12"/>
      <c r="GJ317" s="11"/>
      <c r="GK317" s="13"/>
      <c r="GL317" s="11"/>
      <c r="GM317" s="11"/>
      <c r="GN317" s="13"/>
      <c r="GO317" s="11"/>
      <c r="GP317" s="12"/>
      <c r="GQ317" s="12"/>
      <c r="GR317" s="11"/>
      <c r="GS317" s="13"/>
      <c r="GT317" s="11"/>
      <c r="GU317" s="11"/>
      <c r="GV317" s="13"/>
      <c r="GW317" s="11"/>
      <c r="GX317" s="12"/>
      <c r="GY317" s="12"/>
      <c r="GZ317" s="11"/>
      <c r="HA317" s="13"/>
      <c r="HB317" s="11"/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/>
      <c r="JP317" s="13"/>
      <c r="JQ317" s="11"/>
      <c r="JR317" s="12"/>
      <c r="JS317" s="12"/>
      <c r="JT317" s="11"/>
      <c r="JU317" s="13"/>
      <c r="JV317" s="11"/>
      <c r="JW317" s="11"/>
      <c r="JX317" s="13"/>
      <c r="JY317" s="11"/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  <c r="LH317" s="11"/>
      <c r="LI317" s="13"/>
      <c r="LJ317" s="11"/>
      <c r="LK317" s="11"/>
      <c r="LL317" s="13"/>
      <c r="LM317" s="11"/>
      <c r="LN317" s="12"/>
      <c r="LO317" s="12"/>
      <c r="LP317" s="11"/>
      <c r="LQ317" s="13"/>
      <c r="LR317" s="11"/>
      <c r="LS317" s="11"/>
      <c r="LT317" s="13"/>
      <c r="LU317" s="11"/>
      <c r="LV317" s="12"/>
      <c r="LW317" s="12"/>
    </row>
    <row r="318">
      <c r="A318" s="10" t="s">
        <v>193</v>
      </c>
      <c r="B318" s="10" t="s">
        <v>175</v>
      </c>
      <c r="C318" s="10" t="s">
        <v>77</v>
      </c>
      <c r="D318" s="11">
        <v>11543</v>
      </c>
      <c r="E318" s="11">
        <f>=ROUNDDOWN({0},0)</f>
      </c>
      <c r="F318" s="11"/>
      <c r="G318" s="12"/>
      <c r="H318" s="11"/>
      <c r="I318" s="11">
        <f>=ROUNDDOWN({0},0)</f>
      </c>
      <c r="J318" s="11"/>
      <c r="K318" s="12"/>
      <c r="L318" s="11">
        <v>13</v>
      </c>
      <c r="M318" s="13">
        <v>215.13</v>
      </c>
      <c r="N318" s="11">
        <v>6</v>
      </c>
      <c r="O318" s="14">
        <v>35.86</v>
      </c>
      <c r="P318" s="11"/>
      <c r="Q318" s="13"/>
      <c r="R318" s="11"/>
      <c r="S318" s="14"/>
      <c r="T318" s="12"/>
      <c r="U318" s="12"/>
      <c r="V318" s="12"/>
      <c r="W318" s="12"/>
      <c r="X318" s="11"/>
      <c r="Y318" s="13"/>
      <c r="Z318" s="11">
        <v>6</v>
      </c>
      <c r="AA318" s="11"/>
      <c r="AB318" s="13"/>
      <c r="AC318" s="11"/>
      <c r="AD318" s="12"/>
      <c r="AE318" s="12"/>
      <c r="AF318" s="11"/>
      <c r="AG318" s="13"/>
      <c r="AH318" s="11">
        <v>6</v>
      </c>
      <c r="AI318" s="11"/>
      <c r="AJ318" s="13"/>
      <c r="AK318" s="11"/>
      <c r="AL318" s="12"/>
      <c r="AM318" s="12"/>
      <c r="AN318" s="11"/>
      <c r="AO318" s="13"/>
      <c r="AP318" s="11">
        <v>6</v>
      </c>
      <c r="AQ318" s="11"/>
      <c r="AR318" s="13"/>
      <c r="AS318" s="11"/>
      <c r="AT318" s="12"/>
      <c r="AU318" s="12"/>
      <c r="AV318" s="11"/>
      <c r="AW318" s="13"/>
      <c r="AX318" s="11">
        <v>6</v>
      </c>
      <c r="AY318" s="11"/>
      <c r="AZ318" s="13"/>
      <c r="BA318" s="11"/>
      <c r="BB318" s="12"/>
      <c r="BC318" s="12"/>
      <c r="BD318" s="11">
        <v>13</v>
      </c>
      <c r="BE318" s="13">
        <v>215.13</v>
      </c>
      <c r="BF318" s="11">
        <v>6</v>
      </c>
      <c r="BG318" s="11"/>
      <c r="BH318" s="13"/>
      <c r="BI318" s="11"/>
      <c r="BJ318" s="12"/>
      <c r="BK318" s="12"/>
      <c r="BL318" s="11"/>
      <c r="BM318" s="13"/>
      <c r="BN318" s="11">
        <v>6</v>
      </c>
      <c r="BO318" s="11"/>
      <c r="BP318" s="13"/>
      <c r="BQ318" s="11"/>
      <c r="BR318" s="12"/>
      <c r="BS318" s="12"/>
      <c r="BT318" s="11"/>
      <c r="BU318" s="13"/>
      <c r="BV318" s="11">
        <v>6</v>
      </c>
      <c r="BW318" s="11"/>
      <c r="BX318" s="13"/>
      <c r="BY318" s="11"/>
      <c r="BZ318" s="12"/>
      <c r="CA318" s="12"/>
      <c r="CB318" s="11"/>
      <c r="CC318" s="13"/>
      <c r="CD318" s="11"/>
      <c r="CE318" s="11"/>
      <c r="CF318" s="13"/>
      <c r="CG318" s="11"/>
      <c r="CH318" s="12"/>
      <c r="CI318" s="12"/>
      <c r="CJ318" s="11"/>
      <c r="CK318" s="13"/>
      <c r="CL318" s="11">
        <v>6</v>
      </c>
      <c r="CM318" s="11"/>
      <c r="CN318" s="13"/>
      <c r="CO318" s="11"/>
      <c r="CP318" s="12"/>
      <c r="CQ318" s="12"/>
      <c r="CR318" s="11"/>
      <c r="CS318" s="13"/>
      <c r="CT318" s="11"/>
      <c r="CU318" s="11"/>
      <c r="CV318" s="13"/>
      <c r="CW318" s="11"/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/>
      <c r="DI318" s="13"/>
      <c r="DJ318" s="11"/>
      <c r="DK318" s="11"/>
      <c r="DL318" s="13"/>
      <c r="DM318" s="11"/>
      <c r="DN318" s="12"/>
      <c r="DO318" s="12"/>
      <c r="DP318" s="11"/>
      <c r="DQ318" s="13"/>
      <c r="DR318" s="11">
        <v>6</v>
      </c>
      <c r="DS318" s="11"/>
      <c r="DT318" s="13"/>
      <c r="DU318" s="11"/>
      <c r="DV318" s="12"/>
      <c r="DW318" s="12"/>
      <c r="DX318" s="11"/>
      <c r="DY318" s="13"/>
      <c r="DZ318" s="11">
        <v>6</v>
      </c>
      <c r="EA318" s="11"/>
      <c r="EB318" s="13"/>
      <c r="EC318" s="11"/>
      <c r="ED318" s="12"/>
      <c r="EE318" s="12"/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>
        <v>6</v>
      </c>
      <c r="EQ318" s="11"/>
      <c r="ER318" s="13"/>
      <c r="ES318" s="11"/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/>
      <c r="FG318" s="11"/>
      <c r="FH318" s="13"/>
      <c r="FI318" s="11"/>
      <c r="FJ318" s="12"/>
      <c r="FK318" s="12"/>
      <c r="FL318" s="11"/>
      <c r="FM318" s="13"/>
      <c r="FN318" s="11"/>
      <c r="FO318" s="11"/>
      <c r="FP318" s="13"/>
      <c r="FQ318" s="11"/>
      <c r="FR318" s="12"/>
      <c r="FS318" s="12"/>
      <c r="FT318" s="11"/>
      <c r="FU318" s="13"/>
      <c r="FV318" s="11"/>
      <c r="FW318" s="11"/>
      <c r="FX318" s="13"/>
      <c r="FY318" s="11"/>
      <c r="FZ318" s="12"/>
      <c r="GA318" s="12"/>
      <c r="GB318" s="11"/>
      <c r="GC318" s="13"/>
      <c r="GD318" s="11"/>
      <c r="GE318" s="11"/>
      <c r="GF318" s="13"/>
      <c r="GG318" s="11"/>
      <c r="GH318" s="12"/>
      <c r="GI318" s="12"/>
      <c r="GJ318" s="11"/>
      <c r="GK318" s="13"/>
      <c r="GL318" s="11"/>
      <c r="GM318" s="11"/>
      <c r="GN318" s="13"/>
      <c r="GO318" s="11"/>
      <c r="GP318" s="12"/>
      <c r="GQ318" s="12"/>
      <c r="GR318" s="11"/>
      <c r="GS318" s="13"/>
      <c r="GT318" s="11"/>
      <c r="GU318" s="11"/>
      <c r="GV318" s="13"/>
      <c r="GW318" s="11"/>
      <c r="GX318" s="12"/>
      <c r="GY318" s="12"/>
      <c r="GZ318" s="11"/>
      <c r="HA318" s="13"/>
      <c r="HB318" s="11"/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/>
      <c r="JP318" s="13"/>
      <c r="JQ318" s="11"/>
      <c r="JR318" s="12"/>
      <c r="JS318" s="12"/>
      <c r="JT318" s="11"/>
      <c r="JU318" s="13"/>
      <c r="JV318" s="11"/>
      <c r="JW318" s="11"/>
      <c r="JX318" s="13"/>
      <c r="JY318" s="11"/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  <c r="LH318" s="11"/>
      <c r="LI318" s="13"/>
      <c r="LJ318" s="11"/>
      <c r="LK318" s="11"/>
      <c r="LL318" s="13"/>
      <c r="LM318" s="11"/>
      <c r="LN318" s="12"/>
      <c r="LO318" s="12"/>
      <c r="LP318" s="11"/>
      <c r="LQ318" s="13"/>
      <c r="LR318" s="11"/>
      <c r="LS318" s="11"/>
      <c r="LT318" s="13"/>
      <c r="LU318" s="11"/>
      <c r="LV318" s="12"/>
      <c r="LW318" s="12"/>
    </row>
    <row r="319">
      <c r="A319" s="10" t="s">
        <v>193</v>
      </c>
      <c r="B319" s="10" t="s">
        <v>134</v>
      </c>
      <c r="C319" s="10" t="s">
        <v>172</v>
      </c>
      <c r="D319" s="11"/>
      <c r="E319" s="11">
        <f>=ROUNDDOWN({0},0)</f>
      </c>
      <c r="F319" s="11">
        <v>18250</v>
      </c>
      <c r="G319" s="12"/>
      <c r="H319" s="11"/>
      <c r="I319" s="11">
        <f>=ROUNDDOWN({0},0)</f>
      </c>
      <c r="J319" s="11"/>
      <c r="K319" s="12"/>
      <c r="L319" s="11"/>
      <c r="M319" s="13"/>
      <c r="N319" s="11"/>
      <c r="O319" s="14"/>
      <c r="P319" s="11"/>
      <c r="Q319" s="13"/>
      <c r="R319" s="11"/>
      <c r="S319" s="14"/>
      <c r="T319" s="12"/>
      <c r="U319" s="12"/>
      <c r="V319" s="12"/>
      <c r="W319" s="12"/>
      <c r="X319" s="11"/>
      <c r="Y319" s="13"/>
      <c r="Z319" s="11"/>
      <c r="AA319" s="11"/>
      <c r="AB319" s="13"/>
      <c r="AC319" s="11"/>
      <c r="AD319" s="12"/>
      <c r="AE319" s="12"/>
      <c r="AF319" s="11"/>
      <c r="AG319" s="13"/>
      <c r="AH319" s="11"/>
      <c r="AI319" s="11"/>
      <c r="AJ319" s="13"/>
      <c r="AK319" s="11"/>
      <c r="AL319" s="12"/>
      <c r="AM319" s="12"/>
      <c r="AN319" s="11"/>
      <c r="AO319" s="13"/>
      <c r="AP319" s="11"/>
      <c r="AQ319" s="11"/>
      <c r="AR319" s="13"/>
      <c r="AS319" s="11"/>
      <c r="AT319" s="12"/>
      <c r="AU319" s="12"/>
      <c r="AV319" s="11"/>
      <c r="AW319" s="13"/>
      <c r="AX319" s="11"/>
      <c r="AY319" s="11"/>
      <c r="AZ319" s="13"/>
      <c r="BA319" s="11"/>
      <c r="BB319" s="12"/>
      <c r="BC319" s="12"/>
      <c r="BD319" s="11"/>
      <c r="BE319" s="13"/>
      <c r="BF319" s="11"/>
      <c r="BG319" s="11"/>
      <c r="BH319" s="13"/>
      <c r="BI319" s="11"/>
      <c r="BJ319" s="12"/>
      <c r="BK319" s="12"/>
      <c r="BL319" s="11"/>
      <c r="BM319" s="13"/>
      <c r="BN319" s="11"/>
      <c r="BO319" s="11"/>
      <c r="BP319" s="13"/>
      <c r="BQ319" s="11"/>
      <c r="BR319" s="12"/>
      <c r="BS319" s="12"/>
      <c r="BT319" s="11"/>
      <c r="BU319" s="13"/>
      <c r="BV319" s="11"/>
      <c r="BW319" s="11"/>
      <c r="BX319" s="13"/>
      <c r="BY319" s="11"/>
      <c r="BZ319" s="12"/>
      <c r="CA319" s="12"/>
      <c r="CB319" s="11"/>
      <c r="CC319" s="13"/>
      <c r="CD319" s="11"/>
      <c r="CE319" s="11"/>
      <c r="CF319" s="13"/>
      <c r="CG319" s="11"/>
      <c r="CH319" s="12"/>
      <c r="CI319" s="12"/>
      <c r="CJ319" s="11"/>
      <c r="CK319" s="13"/>
      <c r="CL319" s="11"/>
      <c r="CM319" s="11"/>
      <c r="CN319" s="13"/>
      <c r="CO319" s="11"/>
      <c r="CP319" s="12"/>
      <c r="CQ319" s="12"/>
      <c r="CR319" s="11"/>
      <c r="CS319" s="13"/>
      <c r="CT319" s="11"/>
      <c r="CU319" s="11"/>
      <c r="CV319" s="13"/>
      <c r="CW319" s="11"/>
      <c r="CX319" s="12"/>
      <c r="CY319" s="12"/>
      <c r="CZ319" s="11"/>
      <c r="DA319" s="13"/>
      <c r="DB319" s="11"/>
      <c r="DC319" s="11"/>
      <c r="DD319" s="13"/>
      <c r="DE319" s="11"/>
      <c r="DF319" s="12"/>
      <c r="DG319" s="12"/>
      <c r="DH319" s="11"/>
      <c r="DI319" s="13"/>
      <c r="DJ319" s="11"/>
      <c r="DK319" s="11"/>
      <c r="DL319" s="13"/>
      <c r="DM319" s="11"/>
      <c r="DN319" s="12"/>
      <c r="DO319" s="12"/>
      <c r="DP319" s="11"/>
      <c r="DQ319" s="13"/>
      <c r="DR319" s="11"/>
      <c r="DS319" s="11"/>
      <c r="DT319" s="13"/>
      <c r="DU319" s="11"/>
      <c r="DV319" s="12"/>
      <c r="DW319" s="12"/>
      <c r="DX319" s="11"/>
      <c r="DY319" s="13"/>
      <c r="DZ319" s="11"/>
      <c r="EA319" s="11"/>
      <c r="EB319" s="13"/>
      <c r="EC319" s="11"/>
      <c r="ED319" s="12"/>
      <c r="EE319" s="12"/>
      <c r="EF319" s="11"/>
      <c r="EG319" s="13"/>
      <c r="EH319" s="11"/>
      <c r="EI319" s="11"/>
      <c r="EJ319" s="13"/>
      <c r="EK319" s="11"/>
      <c r="EL319" s="12"/>
      <c r="EM319" s="12"/>
      <c r="EN319" s="11"/>
      <c r="EO319" s="13"/>
      <c r="EP319" s="11"/>
      <c r="EQ319" s="11"/>
      <c r="ER319" s="13"/>
      <c r="ES319" s="11"/>
      <c r="ET319" s="12"/>
      <c r="EU319" s="12"/>
      <c r="EV319" s="11"/>
      <c r="EW319" s="13"/>
      <c r="EX319" s="11"/>
      <c r="EY319" s="11"/>
      <c r="EZ319" s="13"/>
      <c r="FA319" s="11"/>
      <c r="FB319" s="12"/>
      <c r="FC319" s="12"/>
      <c r="FD319" s="11"/>
      <c r="FE319" s="13"/>
      <c r="FF319" s="11"/>
      <c r="FG319" s="11"/>
      <c r="FH319" s="13"/>
      <c r="FI319" s="11"/>
      <c r="FJ319" s="12"/>
      <c r="FK319" s="12"/>
      <c r="FL319" s="11"/>
      <c r="FM319" s="13"/>
      <c r="FN319" s="11"/>
      <c r="FO319" s="11"/>
      <c r="FP319" s="13"/>
      <c r="FQ319" s="11"/>
      <c r="FR319" s="12"/>
      <c r="FS319" s="12"/>
      <c r="FT319" s="11"/>
      <c r="FU319" s="13"/>
      <c r="FV319" s="11"/>
      <c r="FW319" s="11"/>
      <c r="FX319" s="13"/>
      <c r="FY319" s="11"/>
      <c r="FZ319" s="12"/>
      <c r="GA319" s="12"/>
      <c r="GB319" s="11"/>
      <c r="GC319" s="13"/>
      <c r="GD319" s="11"/>
      <c r="GE319" s="11"/>
      <c r="GF319" s="13"/>
      <c r="GG319" s="11"/>
      <c r="GH319" s="12"/>
      <c r="GI319" s="12"/>
      <c r="GJ319" s="11"/>
      <c r="GK319" s="13"/>
      <c r="GL319" s="11"/>
      <c r="GM319" s="11"/>
      <c r="GN319" s="13"/>
      <c r="GO319" s="11"/>
      <c r="GP319" s="12"/>
      <c r="GQ319" s="12"/>
      <c r="GR319" s="11"/>
      <c r="GS319" s="13"/>
      <c r="GT319" s="11"/>
      <c r="GU319" s="11"/>
      <c r="GV319" s="13"/>
      <c r="GW319" s="11"/>
      <c r="GX319" s="12"/>
      <c r="GY319" s="12"/>
      <c r="GZ319" s="11"/>
      <c r="HA319" s="13"/>
      <c r="HB319" s="11"/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/>
      <c r="HS319" s="11"/>
      <c r="HT319" s="13"/>
      <c r="HU319" s="11"/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/>
      <c r="JO319" s="11"/>
      <c r="JP319" s="13"/>
      <c r="JQ319" s="11"/>
      <c r="JR319" s="12"/>
      <c r="JS319" s="12"/>
      <c r="JT319" s="11"/>
      <c r="JU319" s="13"/>
      <c r="JV319" s="11"/>
      <c r="JW319" s="11"/>
      <c r="JX319" s="13"/>
      <c r="JY319" s="11"/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/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  <c r="LH319" s="11"/>
      <c r="LI319" s="13"/>
      <c r="LJ319" s="11"/>
      <c r="LK319" s="11"/>
      <c r="LL319" s="13"/>
      <c r="LM319" s="11"/>
      <c r="LN319" s="12"/>
      <c r="LO319" s="12"/>
      <c r="LP319" s="11"/>
      <c r="LQ319" s="13"/>
      <c r="LR319" s="11"/>
      <c r="LS319" s="11"/>
      <c r="LT319" s="13"/>
      <c r="LU319" s="11"/>
      <c r="LV319" s="12"/>
      <c r="LW319" s="12"/>
    </row>
    <row r="320">
      <c r="A320" s="10" t="s">
        <v>193</v>
      </c>
      <c r="B320" s="10" t="s">
        <v>134</v>
      </c>
      <c r="C320" s="10" t="s">
        <v>74</v>
      </c>
      <c r="D320" s="11">
        <v>17432</v>
      </c>
      <c r="E320" s="11">
        <f>=ROUNDDOWN(6.27750369116641,0)</f>
      </c>
      <c r="F320" s="11">
        <v>77663</v>
      </c>
      <c r="G320" s="12"/>
      <c r="H320" s="11"/>
      <c r="I320" s="11">
        <f>=ROUNDDOWN({0},0)</f>
      </c>
      <c r="J320" s="11"/>
      <c r="K320" s="12"/>
      <c r="L320" s="11">
        <v>9262</v>
      </c>
      <c r="M320" s="13">
        <v>310717.38</v>
      </c>
      <c r="N320" s="11">
        <v>36</v>
      </c>
      <c r="O320" s="14">
        <v>8631.04</v>
      </c>
      <c r="P320" s="11"/>
      <c r="Q320" s="13"/>
      <c r="R320" s="11"/>
      <c r="S320" s="14"/>
      <c r="T320" s="12"/>
      <c r="U320" s="12"/>
      <c r="V320" s="12"/>
      <c r="W320" s="12"/>
      <c r="X320" s="11">
        <v>954</v>
      </c>
      <c r="Y320" s="13">
        <v>35001.67</v>
      </c>
      <c r="Z320" s="11">
        <v>28</v>
      </c>
      <c r="AA320" s="11"/>
      <c r="AB320" s="13"/>
      <c r="AC320" s="11"/>
      <c r="AD320" s="12"/>
      <c r="AE320" s="12"/>
      <c r="AF320" s="11">
        <v>84</v>
      </c>
      <c r="AG320" s="13">
        <v>2871.25</v>
      </c>
      <c r="AH320" s="11">
        <v>36</v>
      </c>
      <c r="AI320" s="11"/>
      <c r="AJ320" s="13"/>
      <c r="AK320" s="11"/>
      <c r="AL320" s="12"/>
      <c r="AM320" s="12"/>
      <c r="AN320" s="11">
        <v>7364</v>
      </c>
      <c r="AO320" s="13">
        <v>244457.5</v>
      </c>
      <c r="AP320" s="11">
        <v>36</v>
      </c>
      <c r="AQ320" s="11"/>
      <c r="AR320" s="13"/>
      <c r="AS320" s="11"/>
      <c r="AT320" s="12"/>
      <c r="AU320" s="12"/>
      <c r="AV320" s="11"/>
      <c r="AW320" s="13"/>
      <c r="AX320" s="11">
        <v>36</v>
      </c>
      <c r="AY320" s="11"/>
      <c r="AZ320" s="13"/>
      <c r="BA320" s="11"/>
      <c r="BB320" s="12"/>
      <c r="BC320" s="12"/>
      <c r="BD320" s="11">
        <v>43</v>
      </c>
      <c r="BE320" s="13">
        <v>2105.2</v>
      </c>
      <c r="BF320" s="11">
        <v>36</v>
      </c>
      <c r="BG320" s="11"/>
      <c r="BH320" s="13"/>
      <c r="BI320" s="11"/>
      <c r="BJ320" s="12"/>
      <c r="BK320" s="12"/>
      <c r="BL320" s="11">
        <v>7</v>
      </c>
      <c r="BM320" s="13">
        <v>424.93</v>
      </c>
      <c r="BN320" s="11">
        <v>36</v>
      </c>
      <c r="BO320" s="11"/>
      <c r="BP320" s="13"/>
      <c r="BQ320" s="11"/>
      <c r="BR320" s="12"/>
      <c r="BS320" s="12"/>
      <c r="BT320" s="11"/>
      <c r="BU320" s="13"/>
      <c r="BV320" s="11"/>
      <c r="BW320" s="11"/>
      <c r="BX320" s="13"/>
      <c r="BY320" s="11"/>
      <c r="BZ320" s="12"/>
      <c r="CA320" s="12"/>
      <c r="CB320" s="11">
        <v>657</v>
      </c>
      <c r="CC320" s="13">
        <v>20941.65</v>
      </c>
      <c r="CD320" s="11">
        <v>36</v>
      </c>
      <c r="CE320" s="11"/>
      <c r="CF320" s="13"/>
      <c r="CG320" s="11"/>
      <c r="CH320" s="12"/>
      <c r="CI320" s="12"/>
      <c r="CJ320" s="11"/>
      <c r="CK320" s="13"/>
      <c r="CL320" s="11">
        <v>36</v>
      </c>
      <c r="CM320" s="11"/>
      <c r="CN320" s="13"/>
      <c r="CO320" s="11"/>
      <c r="CP320" s="12"/>
      <c r="CQ320" s="12"/>
      <c r="CR320" s="11"/>
      <c r="CS320" s="13"/>
      <c r="CT320" s="11"/>
      <c r="CU320" s="11"/>
      <c r="CV320" s="13"/>
      <c r="CW320" s="11"/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/>
      <c r="DK320" s="11"/>
      <c r="DL320" s="13"/>
      <c r="DM320" s="11"/>
      <c r="DN320" s="12"/>
      <c r="DO320" s="12"/>
      <c r="DP320" s="11">
        <v>4</v>
      </c>
      <c r="DQ320" s="13">
        <v>152.38</v>
      </c>
      <c r="DR320" s="11">
        <v>36</v>
      </c>
      <c r="DS320" s="11"/>
      <c r="DT320" s="13"/>
      <c r="DU320" s="11"/>
      <c r="DV320" s="12"/>
      <c r="DW320" s="12"/>
      <c r="DX320" s="11">
        <v>149</v>
      </c>
      <c r="DY320" s="13">
        <v>4762.8</v>
      </c>
      <c r="DZ320" s="11">
        <v>36</v>
      </c>
      <c r="EA320" s="11"/>
      <c r="EB320" s="13"/>
      <c r="EC320" s="11"/>
      <c r="ED320" s="12"/>
      <c r="EE320" s="12"/>
      <c r="EF320" s="11"/>
      <c r="EG320" s="13"/>
      <c r="EH320" s="11"/>
      <c r="EI320" s="11"/>
      <c r="EJ320" s="13"/>
      <c r="EK320" s="11"/>
      <c r="EL320" s="12"/>
      <c r="EM320" s="12"/>
      <c r="EN320" s="11"/>
      <c r="EO320" s="13"/>
      <c r="EP320" s="11">
        <v>36</v>
      </c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/>
      <c r="FM320" s="13"/>
      <c r="FN320" s="11"/>
      <c r="FO320" s="11"/>
      <c r="FP320" s="13"/>
      <c r="FQ320" s="11"/>
      <c r="FR320" s="12"/>
      <c r="FS320" s="12"/>
      <c r="FT320" s="11"/>
      <c r="FU320" s="13"/>
      <c r="FV320" s="11"/>
      <c r="FW320" s="11"/>
      <c r="FX320" s="13"/>
      <c r="FY320" s="11"/>
      <c r="FZ320" s="12"/>
      <c r="GA320" s="12"/>
      <c r="GB320" s="11"/>
      <c r="GC320" s="13"/>
      <c r="GD320" s="11"/>
      <c r="GE320" s="11"/>
      <c r="GF320" s="13"/>
      <c r="GG320" s="11"/>
      <c r="GH320" s="12"/>
      <c r="GI320" s="12"/>
      <c r="GJ320" s="11"/>
      <c r="GK320" s="13"/>
      <c r="GL320" s="11"/>
      <c r="GM320" s="11"/>
      <c r="GN320" s="13"/>
      <c r="GO320" s="11"/>
      <c r="GP320" s="12"/>
      <c r="GQ320" s="12"/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/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/>
      <c r="HS320" s="11"/>
      <c r="HT320" s="13"/>
      <c r="HU320" s="11"/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/>
      <c r="JP320" s="13"/>
      <c r="JQ320" s="11"/>
      <c r="JR320" s="12"/>
      <c r="JS320" s="12"/>
      <c r="JT320" s="11"/>
      <c r="JU320" s="13"/>
      <c r="JV320" s="11"/>
      <c r="JW320" s="11"/>
      <c r="JX320" s="13"/>
      <c r="JY320" s="11"/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  <c r="LH320" s="11"/>
      <c r="LI320" s="13"/>
      <c r="LJ320" s="11"/>
      <c r="LK320" s="11"/>
      <c r="LL320" s="13"/>
      <c r="LM320" s="11"/>
      <c r="LN320" s="12"/>
      <c r="LO320" s="12"/>
      <c r="LP320" s="11"/>
      <c r="LQ320" s="13"/>
      <c r="LR320" s="11"/>
      <c r="LS320" s="11"/>
      <c r="LT320" s="13"/>
      <c r="LU320" s="11"/>
      <c r="LV320" s="12"/>
      <c r="LW320" s="12"/>
    </row>
    <row r="321">
      <c r="A321" s="10" t="s">
        <v>193</v>
      </c>
      <c r="B321" s="10" t="s">
        <v>135</v>
      </c>
      <c r="C321" s="10" t="s">
        <v>77</v>
      </c>
      <c r="D321" s="11">
        <v>17432</v>
      </c>
      <c r="E321" s="11">
        <f>=ROUNDDOWN({0},0)</f>
      </c>
      <c r="F321" s="11">
        <v>95913</v>
      </c>
      <c r="G321" s="12"/>
      <c r="H321" s="11"/>
      <c r="I321" s="11">
        <f>=ROUNDDOWN({0},0)</f>
      </c>
      <c r="J321" s="11"/>
      <c r="K321" s="12"/>
      <c r="L321" s="11">
        <v>9262</v>
      </c>
      <c r="M321" s="13">
        <v>310717.38</v>
      </c>
      <c r="N321" s="11">
        <v>36</v>
      </c>
      <c r="O321" s="14">
        <v>8631.04</v>
      </c>
      <c r="P321" s="11"/>
      <c r="Q321" s="13"/>
      <c r="R321" s="11"/>
      <c r="S321" s="14"/>
      <c r="T321" s="12"/>
      <c r="U321" s="12"/>
      <c r="V321" s="12"/>
      <c r="W321" s="12"/>
      <c r="X321" s="11">
        <v>954</v>
      </c>
      <c r="Y321" s="13">
        <v>35001.67</v>
      </c>
      <c r="Z321" s="11">
        <v>28</v>
      </c>
      <c r="AA321" s="11"/>
      <c r="AB321" s="13"/>
      <c r="AC321" s="11"/>
      <c r="AD321" s="12"/>
      <c r="AE321" s="12"/>
      <c r="AF321" s="11">
        <v>84</v>
      </c>
      <c r="AG321" s="13">
        <v>2871.25</v>
      </c>
      <c r="AH321" s="11">
        <v>36</v>
      </c>
      <c r="AI321" s="11"/>
      <c r="AJ321" s="13"/>
      <c r="AK321" s="11"/>
      <c r="AL321" s="12"/>
      <c r="AM321" s="12"/>
      <c r="AN321" s="11">
        <v>7364</v>
      </c>
      <c r="AO321" s="13">
        <v>244457.5</v>
      </c>
      <c r="AP321" s="11">
        <v>36</v>
      </c>
      <c r="AQ321" s="11"/>
      <c r="AR321" s="13"/>
      <c r="AS321" s="11"/>
      <c r="AT321" s="12"/>
      <c r="AU321" s="12"/>
      <c r="AV321" s="11"/>
      <c r="AW321" s="13"/>
      <c r="AX321" s="11">
        <v>36</v>
      </c>
      <c r="AY321" s="11"/>
      <c r="AZ321" s="13"/>
      <c r="BA321" s="11"/>
      <c r="BB321" s="12"/>
      <c r="BC321" s="12"/>
      <c r="BD321" s="11">
        <v>43</v>
      </c>
      <c r="BE321" s="13">
        <v>2105.2</v>
      </c>
      <c r="BF321" s="11">
        <v>36</v>
      </c>
      <c r="BG321" s="11"/>
      <c r="BH321" s="13"/>
      <c r="BI321" s="11"/>
      <c r="BJ321" s="12"/>
      <c r="BK321" s="12"/>
      <c r="BL321" s="11">
        <v>7</v>
      </c>
      <c r="BM321" s="13">
        <v>424.93</v>
      </c>
      <c r="BN321" s="11">
        <v>36</v>
      </c>
      <c r="BO321" s="11"/>
      <c r="BP321" s="13"/>
      <c r="BQ321" s="11"/>
      <c r="BR321" s="12"/>
      <c r="BS321" s="12"/>
      <c r="BT321" s="11"/>
      <c r="BU321" s="13"/>
      <c r="BV321" s="11"/>
      <c r="BW321" s="11"/>
      <c r="BX321" s="13"/>
      <c r="BY321" s="11"/>
      <c r="BZ321" s="12"/>
      <c r="CA321" s="12"/>
      <c r="CB321" s="11">
        <v>657</v>
      </c>
      <c r="CC321" s="13">
        <v>20941.65</v>
      </c>
      <c r="CD321" s="11">
        <v>36</v>
      </c>
      <c r="CE321" s="11"/>
      <c r="CF321" s="13"/>
      <c r="CG321" s="11"/>
      <c r="CH321" s="12"/>
      <c r="CI321" s="12"/>
      <c r="CJ321" s="11"/>
      <c r="CK321" s="13"/>
      <c r="CL321" s="11">
        <v>36</v>
      </c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/>
      <c r="DK321" s="11"/>
      <c r="DL321" s="13"/>
      <c r="DM321" s="11"/>
      <c r="DN321" s="12"/>
      <c r="DO321" s="12"/>
      <c r="DP321" s="11">
        <v>4</v>
      </c>
      <c r="DQ321" s="13">
        <v>152.38</v>
      </c>
      <c r="DR321" s="11">
        <v>36</v>
      </c>
      <c r="DS321" s="11"/>
      <c r="DT321" s="13"/>
      <c r="DU321" s="11"/>
      <c r="DV321" s="12"/>
      <c r="DW321" s="12"/>
      <c r="DX321" s="11">
        <v>149</v>
      </c>
      <c r="DY321" s="13">
        <v>4762.8</v>
      </c>
      <c r="DZ321" s="11">
        <v>36</v>
      </c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>
        <v>36</v>
      </c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  <c r="LH321" s="11"/>
      <c r="LI321" s="13"/>
      <c r="LJ321" s="11"/>
      <c r="LK321" s="11"/>
      <c r="LL321" s="13"/>
      <c r="LM321" s="11"/>
      <c r="LN321" s="12"/>
      <c r="LO321" s="12"/>
      <c r="LP321" s="11"/>
      <c r="LQ321" s="13"/>
      <c r="LR321" s="11"/>
      <c r="LS321" s="11"/>
      <c r="LT321" s="13"/>
      <c r="LU321" s="11"/>
      <c r="LV321" s="12"/>
      <c r="LW321" s="12"/>
    </row>
    <row r="322">
      <c r="A322" s="10" t="s">
        <v>193</v>
      </c>
      <c r="B322" s="10" t="s">
        <v>178</v>
      </c>
      <c r="C322" s="10" t="s">
        <v>172</v>
      </c>
      <c r="D322" s="11">
        <v>121</v>
      </c>
      <c r="E322" s="11">
        <f>=ROUNDDOWN(0.77713551701991,0)</f>
      </c>
      <c r="F322" s="11">
        <v>5600</v>
      </c>
      <c r="G322" s="12"/>
      <c r="H322" s="11"/>
      <c r="I322" s="11">
        <f>=ROUNDDOWN({0},0)</f>
      </c>
      <c r="J322" s="11"/>
      <c r="K322" s="12"/>
      <c r="L322" s="11">
        <v>491</v>
      </c>
      <c r="M322" s="13">
        <v>6934.99</v>
      </c>
      <c r="N322" s="11">
        <v>12</v>
      </c>
      <c r="O322" s="14">
        <v>577.92</v>
      </c>
      <c r="P322" s="11"/>
      <c r="Q322" s="13"/>
      <c r="R322" s="11"/>
      <c r="S322" s="14"/>
      <c r="T322" s="12"/>
      <c r="U322" s="12"/>
      <c r="V322" s="12"/>
      <c r="W322" s="12"/>
      <c r="X322" s="11">
        <v>214</v>
      </c>
      <c r="Y322" s="13">
        <v>3154.53</v>
      </c>
      <c r="Z322" s="11">
        <v>12</v>
      </c>
      <c r="AA322" s="11"/>
      <c r="AB322" s="13"/>
      <c r="AC322" s="11"/>
      <c r="AD322" s="12"/>
      <c r="AE322" s="12"/>
      <c r="AF322" s="11">
        <v>5</v>
      </c>
      <c r="AG322" s="13">
        <v>63.78</v>
      </c>
      <c r="AH322" s="11">
        <v>12</v>
      </c>
      <c r="AI322" s="11"/>
      <c r="AJ322" s="13"/>
      <c r="AK322" s="11"/>
      <c r="AL322" s="12"/>
      <c r="AM322" s="12"/>
      <c r="AN322" s="11">
        <v>66</v>
      </c>
      <c r="AO322" s="13">
        <v>876.04</v>
      </c>
      <c r="AP322" s="11">
        <v>12</v>
      </c>
      <c r="AQ322" s="11"/>
      <c r="AR322" s="13"/>
      <c r="AS322" s="11"/>
      <c r="AT322" s="12"/>
      <c r="AU322" s="12"/>
      <c r="AV322" s="11">
        <v>60</v>
      </c>
      <c r="AW322" s="13">
        <v>824.81</v>
      </c>
      <c r="AX322" s="11">
        <v>12</v>
      </c>
      <c r="AY322" s="11"/>
      <c r="AZ322" s="13"/>
      <c r="BA322" s="11"/>
      <c r="BB322" s="12"/>
      <c r="BC322" s="12"/>
      <c r="BD322" s="11">
        <v>117</v>
      </c>
      <c r="BE322" s="13">
        <v>1592.31</v>
      </c>
      <c r="BF322" s="11">
        <v>12</v>
      </c>
      <c r="BG322" s="11"/>
      <c r="BH322" s="13"/>
      <c r="BI322" s="11"/>
      <c r="BJ322" s="12"/>
      <c r="BK322" s="12"/>
      <c r="BL322" s="11">
        <v>11</v>
      </c>
      <c r="BM322" s="13">
        <v>146.91</v>
      </c>
      <c r="BN322" s="11">
        <v>12</v>
      </c>
      <c r="BO322" s="11"/>
      <c r="BP322" s="13"/>
      <c r="BQ322" s="11"/>
      <c r="BR322" s="12"/>
      <c r="BS322" s="12"/>
      <c r="BT322" s="11">
        <v>9</v>
      </c>
      <c r="BU322" s="13">
        <v>177.19</v>
      </c>
      <c r="BV322" s="11">
        <v>12</v>
      </c>
      <c r="BW322" s="11"/>
      <c r="BX322" s="13"/>
      <c r="BY322" s="11"/>
      <c r="BZ322" s="12"/>
      <c r="CA322" s="12"/>
      <c r="CB322" s="11">
        <v>1</v>
      </c>
      <c r="CC322" s="13">
        <v>8.3</v>
      </c>
      <c r="CD322" s="11"/>
      <c r="CE322" s="11"/>
      <c r="CF322" s="13"/>
      <c r="CG322" s="11"/>
      <c r="CH322" s="12"/>
      <c r="CI322" s="12"/>
      <c r="CJ322" s="11"/>
      <c r="CK322" s="13"/>
      <c r="CL322" s="11">
        <v>12</v>
      </c>
      <c r="CM322" s="11"/>
      <c r="CN322" s="13"/>
      <c r="CO322" s="11"/>
      <c r="CP322" s="12"/>
      <c r="CQ322" s="12"/>
      <c r="CR322" s="11"/>
      <c r="CS322" s="13"/>
      <c r="CT322" s="11"/>
      <c r="CU322" s="11"/>
      <c r="CV322" s="13"/>
      <c r="CW322" s="11"/>
      <c r="CX322" s="12"/>
      <c r="CY322" s="12"/>
      <c r="CZ322" s="11"/>
      <c r="DA322" s="13"/>
      <c r="DB322" s="11"/>
      <c r="DC322" s="11"/>
      <c r="DD322" s="13"/>
      <c r="DE322" s="11"/>
      <c r="DF322" s="12"/>
      <c r="DG322" s="12"/>
      <c r="DH322" s="11"/>
      <c r="DI322" s="13"/>
      <c r="DJ322" s="11"/>
      <c r="DK322" s="11"/>
      <c r="DL322" s="13"/>
      <c r="DM322" s="11"/>
      <c r="DN322" s="12"/>
      <c r="DO322" s="12"/>
      <c r="DP322" s="11">
        <v>2</v>
      </c>
      <c r="DQ322" s="13">
        <v>23.28</v>
      </c>
      <c r="DR322" s="11">
        <v>12</v>
      </c>
      <c r="DS322" s="11"/>
      <c r="DT322" s="13"/>
      <c r="DU322" s="11"/>
      <c r="DV322" s="12"/>
      <c r="DW322" s="12"/>
      <c r="DX322" s="11"/>
      <c r="DY322" s="13"/>
      <c r="DZ322" s="11"/>
      <c r="EA322" s="11"/>
      <c r="EB322" s="13"/>
      <c r="EC322" s="11"/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>
        <v>1</v>
      </c>
      <c r="EO322" s="13">
        <v>12.49</v>
      </c>
      <c r="EP322" s="11">
        <v>12</v>
      </c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>
        <v>5</v>
      </c>
      <c r="FE322" s="13">
        <v>55.35</v>
      </c>
      <c r="FF322" s="11"/>
      <c r="FG322" s="11"/>
      <c r="FH322" s="13"/>
      <c r="FI322" s="11"/>
      <c r="FJ322" s="12"/>
      <c r="FK322" s="12"/>
      <c r="FL322" s="11"/>
      <c r="FM322" s="13"/>
      <c r="FN322" s="11"/>
      <c r="FO322" s="11"/>
      <c r="FP322" s="13"/>
      <c r="FQ322" s="11"/>
      <c r="FR322" s="12"/>
      <c r="FS322" s="12"/>
      <c r="FT322" s="11"/>
      <c r="FU322" s="13"/>
      <c r="FV322" s="11"/>
      <c r="FW322" s="11"/>
      <c r="FX322" s="13"/>
      <c r="FY322" s="11"/>
      <c r="FZ322" s="12"/>
      <c r="GA322" s="12"/>
      <c r="GB322" s="11"/>
      <c r="GC322" s="13"/>
      <c r="GD322" s="11"/>
      <c r="GE322" s="11"/>
      <c r="GF322" s="13"/>
      <c r="GG322" s="11"/>
      <c r="GH322" s="12"/>
      <c r="GI322" s="12"/>
      <c r="GJ322" s="11"/>
      <c r="GK322" s="13"/>
      <c r="GL322" s="11"/>
      <c r="GM322" s="11"/>
      <c r="GN322" s="13"/>
      <c r="GO322" s="11"/>
      <c r="GP322" s="12"/>
      <c r="GQ322" s="12"/>
      <c r="GR322" s="11"/>
      <c r="GS322" s="13"/>
      <c r="GT322" s="11"/>
      <c r="GU322" s="11"/>
      <c r="GV322" s="13"/>
      <c r="GW322" s="11"/>
      <c r="GX322" s="12"/>
      <c r="GY322" s="12"/>
      <c r="GZ322" s="11"/>
      <c r="HA322" s="13"/>
      <c r="HB322" s="11"/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/>
      <c r="JR322" s="12"/>
      <c r="JS322" s="12"/>
      <c r="JT322" s="11"/>
      <c r="JU322" s="13"/>
      <c r="JV322" s="11"/>
      <c r="JW322" s="11"/>
      <c r="JX322" s="13"/>
      <c r="JY322" s="11"/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  <c r="LH322" s="11"/>
      <c r="LI322" s="13"/>
      <c r="LJ322" s="11"/>
      <c r="LK322" s="11"/>
      <c r="LL322" s="13"/>
      <c r="LM322" s="11"/>
      <c r="LN322" s="12"/>
      <c r="LO322" s="12"/>
      <c r="LP322" s="11"/>
      <c r="LQ322" s="13"/>
      <c r="LR322" s="11"/>
      <c r="LS322" s="11"/>
      <c r="LT322" s="13"/>
      <c r="LU322" s="11"/>
      <c r="LV322" s="12"/>
      <c r="LW322" s="12"/>
    </row>
    <row r="323">
      <c r="A323" s="10" t="s">
        <v>193</v>
      </c>
      <c r="B323" s="10" t="s">
        <v>178</v>
      </c>
      <c r="C323" s="10" t="s">
        <v>74</v>
      </c>
      <c r="D323" s="11">
        <v>929</v>
      </c>
      <c r="E323" s="11">
        <f>=ROUNDDOWN(42.4200913242009,0)</f>
      </c>
      <c r="F323" s="11"/>
      <c r="G323" s="12"/>
      <c r="H323" s="11"/>
      <c r="I323" s="11">
        <f>=ROUNDDOWN({0},0)</f>
      </c>
      <c r="J323" s="11"/>
      <c r="K323" s="12"/>
      <c r="L323" s="11">
        <v>170</v>
      </c>
      <c r="M323" s="13">
        <v>6698.34</v>
      </c>
      <c r="N323" s="11">
        <v>6</v>
      </c>
      <c r="O323" s="14">
        <v>1116.39</v>
      </c>
      <c r="P323" s="11"/>
      <c r="Q323" s="13"/>
      <c r="R323" s="11"/>
      <c r="S323" s="14"/>
      <c r="T323" s="12"/>
      <c r="U323" s="12"/>
      <c r="V323" s="12"/>
      <c r="W323" s="12"/>
      <c r="X323" s="11">
        <v>3</v>
      </c>
      <c r="Y323" s="13">
        <v>97.56</v>
      </c>
      <c r="Z323" s="11">
        <v>3</v>
      </c>
      <c r="AA323" s="11"/>
      <c r="AB323" s="13"/>
      <c r="AC323" s="11"/>
      <c r="AD323" s="12"/>
      <c r="AE323" s="12"/>
      <c r="AF323" s="11">
        <v>16</v>
      </c>
      <c r="AG323" s="13">
        <v>544.87</v>
      </c>
      <c r="AH323" s="11">
        <v>6</v>
      </c>
      <c r="AI323" s="11"/>
      <c r="AJ323" s="13"/>
      <c r="AK323" s="11"/>
      <c r="AL323" s="12"/>
      <c r="AM323" s="12"/>
      <c r="AN323" s="11">
        <v>29</v>
      </c>
      <c r="AO323" s="13">
        <v>1043.77</v>
      </c>
      <c r="AP323" s="11">
        <v>6</v>
      </c>
      <c r="AQ323" s="11"/>
      <c r="AR323" s="13"/>
      <c r="AS323" s="11"/>
      <c r="AT323" s="12"/>
      <c r="AU323" s="12"/>
      <c r="AV323" s="11">
        <v>11</v>
      </c>
      <c r="AW323" s="13">
        <v>562.09</v>
      </c>
      <c r="AX323" s="11">
        <v>6</v>
      </c>
      <c r="AY323" s="11"/>
      <c r="AZ323" s="13"/>
      <c r="BA323" s="11"/>
      <c r="BB323" s="12"/>
      <c r="BC323" s="12"/>
      <c r="BD323" s="11">
        <v>53</v>
      </c>
      <c r="BE323" s="13">
        <v>1516.94</v>
      </c>
      <c r="BF323" s="11">
        <v>6</v>
      </c>
      <c r="BG323" s="11"/>
      <c r="BH323" s="13"/>
      <c r="BI323" s="11"/>
      <c r="BJ323" s="12"/>
      <c r="BK323" s="12"/>
      <c r="BL323" s="11">
        <v>4</v>
      </c>
      <c r="BM323" s="13">
        <v>223.7</v>
      </c>
      <c r="BN323" s="11">
        <v>6</v>
      </c>
      <c r="BO323" s="11"/>
      <c r="BP323" s="13"/>
      <c r="BQ323" s="11"/>
      <c r="BR323" s="12"/>
      <c r="BS323" s="12"/>
      <c r="BT323" s="11">
        <v>19</v>
      </c>
      <c r="BU323" s="13">
        <v>1034.56</v>
      </c>
      <c r="BV323" s="11">
        <v>6</v>
      </c>
      <c r="BW323" s="11"/>
      <c r="BX323" s="13"/>
      <c r="BY323" s="11"/>
      <c r="BZ323" s="12"/>
      <c r="CA323" s="12"/>
      <c r="CB323" s="11">
        <v>3</v>
      </c>
      <c r="CC323" s="13">
        <v>163.77</v>
      </c>
      <c r="CD323" s="11">
        <v>6</v>
      </c>
      <c r="CE323" s="11"/>
      <c r="CF323" s="13"/>
      <c r="CG323" s="11"/>
      <c r="CH323" s="12"/>
      <c r="CI323" s="12"/>
      <c r="CJ323" s="11"/>
      <c r="CK323" s="13"/>
      <c r="CL323" s="11">
        <v>3</v>
      </c>
      <c r="CM323" s="11"/>
      <c r="CN323" s="13"/>
      <c r="CO323" s="11"/>
      <c r="CP323" s="12"/>
      <c r="CQ323" s="12"/>
      <c r="CR323" s="11"/>
      <c r="CS323" s="13"/>
      <c r="CT323" s="11"/>
      <c r="CU323" s="11"/>
      <c r="CV323" s="13"/>
      <c r="CW323" s="11"/>
      <c r="CX323" s="12"/>
      <c r="CY323" s="12"/>
      <c r="CZ323" s="11"/>
      <c r="DA323" s="13"/>
      <c r="DB323" s="11"/>
      <c r="DC323" s="11"/>
      <c r="DD323" s="13"/>
      <c r="DE323" s="11"/>
      <c r="DF323" s="12"/>
      <c r="DG323" s="12"/>
      <c r="DH323" s="11">
        <v>5</v>
      </c>
      <c r="DI323" s="13">
        <v>196.38</v>
      </c>
      <c r="DJ323" s="11">
        <v>3</v>
      </c>
      <c r="DK323" s="11"/>
      <c r="DL323" s="13"/>
      <c r="DM323" s="11"/>
      <c r="DN323" s="12"/>
      <c r="DO323" s="12"/>
      <c r="DP323" s="11"/>
      <c r="DQ323" s="13"/>
      <c r="DR323" s="11">
        <v>3</v>
      </c>
      <c r="DS323" s="11"/>
      <c r="DT323" s="13"/>
      <c r="DU323" s="11"/>
      <c r="DV323" s="12"/>
      <c r="DW323" s="12"/>
      <c r="DX323" s="11">
        <v>11</v>
      </c>
      <c r="DY323" s="13">
        <v>491.99</v>
      </c>
      <c r="DZ323" s="11">
        <v>3</v>
      </c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>
        <v>4</v>
      </c>
      <c r="EO323" s="13">
        <v>262.77</v>
      </c>
      <c r="EP323" s="11">
        <v>6</v>
      </c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>
        <v>12</v>
      </c>
      <c r="FM323" s="13">
        <v>559.94</v>
      </c>
      <c r="FN323" s="11">
        <v>3</v>
      </c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/>
      <c r="GM323" s="11"/>
      <c r="GN323" s="13"/>
      <c r="GO323" s="11"/>
      <c r="GP323" s="12"/>
      <c r="GQ323" s="12"/>
      <c r="GR323" s="11"/>
      <c r="GS323" s="13"/>
      <c r="GT323" s="11">
        <v>6</v>
      </c>
      <c r="GU323" s="11"/>
      <c r="GV323" s="13"/>
      <c r="GW323" s="11"/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/>
      <c r="JP323" s="13"/>
      <c r="JQ323" s="11"/>
      <c r="JR323" s="12"/>
      <c r="JS323" s="12"/>
      <c r="JT323" s="11"/>
      <c r="JU323" s="13"/>
      <c r="JV323" s="11"/>
      <c r="JW323" s="11"/>
      <c r="JX323" s="13"/>
      <c r="JY323" s="11"/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  <c r="LH323" s="11"/>
      <c r="LI323" s="13"/>
      <c r="LJ323" s="11"/>
      <c r="LK323" s="11"/>
      <c r="LL323" s="13"/>
      <c r="LM323" s="11"/>
      <c r="LN323" s="12"/>
      <c r="LO323" s="12"/>
      <c r="LP323" s="11"/>
      <c r="LQ323" s="13"/>
      <c r="LR323" s="11"/>
      <c r="LS323" s="11"/>
      <c r="LT323" s="13"/>
      <c r="LU323" s="11"/>
      <c r="LV323" s="12"/>
      <c r="LW323" s="12"/>
    </row>
    <row r="324">
      <c r="A324" s="10" t="s">
        <v>193</v>
      </c>
      <c r="B324" s="10" t="s">
        <v>178</v>
      </c>
      <c r="C324" s="10" t="s">
        <v>198</v>
      </c>
      <c r="D324" s="11">
        <v>9053</v>
      </c>
      <c r="E324" s="11">
        <f>=ROUNDDOWN(26.1874457622216,0)</f>
      </c>
      <c r="F324" s="11">
        <v>901</v>
      </c>
      <c r="G324" s="12">
        <v>1</v>
      </c>
      <c r="H324" s="11"/>
      <c r="I324" s="11">
        <f>=ROUNDDOWN({0},0)</f>
      </c>
      <c r="J324" s="11"/>
      <c r="K324" s="12"/>
      <c r="L324" s="11">
        <v>1655</v>
      </c>
      <c r="M324" s="13">
        <v>70490.75</v>
      </c>
      <c r="N324" s="11">
        <v>36</v>
      </c>
      <c r="O324" s="14">
        <v>1958.08</v>
      </c>
      <c r="P324" s="11"/>
      <c r="Q324" s="13"/>
      <c r="R324" s="11"/>
      <c r="S324" s="14"/>
      <c r="T324" s="12"/>
      <c r="U324" s="12"/>
      <c r="V324" s="12"/>
      <c r="W324" s="12"/>
      <c r="X324" s="11">
        <v>77</v>
      </c>
      <c r="Y324" s="13">
        <v>3279.48</v>
      </c>
      <c r="Z324" s="11">
        <v>20</v>
      </c>
      <c r="AA324" s="11"/>
      <c r="AB324" s="13"/>
      <c r="AC324" s="11"/>
      <c r="AD324" s="12"/>
      <c r="AE324" s="12"/>
      <c r="AF324" s="11">
        <v>34</v>
      </c>
      <c r="AG324" s="13">
        <v>1544.11</v>
      </c>
      <c r="AH324" s="11">
        <v>36</v>
      </c>
      <c r="AI324" s="11"/>
      <c r="AJ324" s="13"/>
      <c r="AK324" s="11"/>
      <c r="AL324" s="12"/>
      <c r="AM324" s="12"/>
      <c r="AN324" s="11">
        <v>1119</v>
      </c>
      <c r="AO324" s="13">
        <v>43397.58</v>
      </c>
      <c r="AP324" s="11">
        <v>35</v>
      </c>
      <c r="AQ324" s="11"/>
      <c r="AR324" s="13"/>
      <c r="AS324" s="11"/>
      <c r="AT324" s="12"/>
      <c r="AU324" s="12"/>
      <c r="AV324" s="11">
        <v>82</v>
      </c>
      <c r="AW324" s="13">
        <v>3157.93</v>
      </c>
      <c r="AX324" s="11">
        <v>35</v>
      </c>
      <c r="AY324" s="11"/>
      <c r="AZ324" s="13"/>
      <c r="BA324" s="11"/>
      <c r="BB324" s="12"/>
      <c r="BC324" s="12"/>
      <c r="BD324" s="11">
        <v>98</v>
      </c>
      <c r="BE324" s="13">
        <v>5865.78</v>
      </c>
      <c r="BF324" s="11">
        <v>35</v>
      </c>
      <c r="BG324" s="11"/>
      <c r="BH324" s="13"/>
      <c r="BI324" s="11"/>
      <c r="BJ324" s="12"/>
      <c r="BK324" s="12"/>
      <c r="BL324" s="11">
        <v>32</v>
      </c>
      <c r="BM324" s="13">
        <v>2252.29</v>
      </c>
      <c r="BN324" s="11">
        <v>36</v>
      </c>
      <c r="BO324" s="11"/>
      <c r="BP324" s="13"/>
      <c r="BQ324" s="11"/>
      <c r="BR324" s="12"/>
      <c r="BS324" s="12"/>
      <c r="BT324" s="11">
        <v>10</v>
      </c>
      <c r="BU324" s="13">
        <v>640.82</v>
      </c>
      <c r="BV324" s="11">
        <v>36</v>
      </c>
      <c r="BW324" s="11"/>
      <c r="BX324" s="13"/>
      <c r="BY324" s="11"/>
      <c r="BZ324" s="12"/>
      <c r="CA324" s="12"/>
      <c r="CB324" s="11">
        <v>158</v>
      </c>
      <c r="CC324" s="13">
        <v>7977.97</v>
      </c>
      <c r="CD324" s="11">
        <v>34</v>
      </c>
      <c r="CE324" s="11"/>
      <c r="CF324" s="13"/>
      <c r="CG324" s="11"/>
      <c r="CH324" s="12"/>
      <c r="CI324" s="12"/>
      <c r="CJ324" s="11">
        <v>1</v>
      </c>
      <c r="CK324" s="13">
        <v>55.99</v>
      </c>
      <c r="CL324" s="11">
        <v>35</v>
      </c>
      <c r="CM324" s="11"/>
      <c r="CN324" s="13"/>
      <c r="CO324" s="11"/>
      <c r="CP324" s="12"/>
      <c r="CQ324" s="12"/>
      <c r="CR324" s="11"/>
      <c r="CS324" s="13"/>
      <c r="CT324" s="11"/>
      <c r="CU324" s="11"/>
      <c r="CV324" s="13"/>
      <c r="CW324" s="11"/>
      <c r="CX324" s="12"/>
      <c r="CY324" s="12"/>
      <c r="CZ324" s="11"/>
      <c r="DA324" s="13"/>
      <c r="DB324" s="11">
        <v>1</v>
      </c>
      <c r="DC324" s="11"/>
      <c r="DD324" s="13"/>
      <c r="DE324" s="11"/>
      <c r="DF324" s="12"/>
      <c r="DG324" s="12"/>
      <c r="DH324" s="11">
        <v>3</v>
      </c>
      <c r="DI324" s="13">
        <v>85.38</v>
      </c>
      <c r="DJ324" s="11">
        <v>15</v>
      </c>
      <c r="DK324" s="11"/>
      <c r="DL324" s="13"/>
      <c r="DM324" s="11"/>
      <c r="DN324" s="12"/>
      <c r="DO324" s="12"/>
      <c r="DP324" s="11">
        <v>13</v>
      </c>
      <c r="DQ324" s="13">
        <v>1009.54</v>
      </c>
      <c r="DR324" s="11">
        <v>36</v>
      </c>
      <c r="DS324" s="11"/>
      <c r="DT324" s="13"/>
      <c r="DU324" s="11"/>
      <c r="DV324" s="12"/>
      <c r="DW324" s="12"/>
      <c r="DX324" s="11">
        <v>3</v>
      </c>
      <c r="DY324" s="13">
        <v>66.54</v>
      </c>
      <c r="DZ324" s="11">
        <v>21</v>
      </c>
      <c r="EA324" s="11"/>
      <c r="EB324" s="13"/>
      <c r="EC324" s="11"/>
      <c r="ED324" s="12"/>
      <c r="EE324" s="12"/>
      <c r="EF324" s="11"/>
      <c r="EG324" s="13"/>
      <c r="EH324" s="11"/>
      <c r="EI324" s="11"/>
      <c r="EJ324" s="13"/>
      <c r="EK324" s="11"/>
      <c r="EL324" s="12"/>
      <c r="EM324" s="12"/>
      <c r="EN324" s="11">
        <v>2</v>
      </c>
      <c r="EO324" s="13">
        <v>329.39</v>
      </c>
      <c r="EP324" s="11">
        <v>36</v>
      </c>
      <c r="EQ324" s="11"/>
      <c r="ER324" s="13"/>
      <c r="ES324" s="11"/>
      <c r="ET324" s="12"/>
      <c r="EU324" s="12"/>
      <c r="EV324" s="11">
        <v>14</v>
      </c>
      <c r="EW324" s="13">
        <v>490.26</v>
      </c>
      <c r="EX324" s="11">
        <v>11</v>
      </c>
      <c r="EY324" s="11"/>
      <c r="EZ324" s="13"/>
      <c r="FA324" s="11"/>
      <c r="FB324" s="12"/>
      <c r="FC324" s="12"/>
      <c r="FD324" s="11">
        <v>5</v>
      </c>
      <c r="FE324" s="13">
        <v>185.94</v>
      </c>
      <c r="FF324" s="11">
        <v>3</v>
      </c>
      <c r="FG324" s="11"/>
      <c r="FH324" s="13"/>
      <c r="FI324" s="11"/>
      <c r="FJ324" s="12"/>
      <c r="FK324" s="12"/>
      <c r="FL324" s="11">
        <v>2</v>
      </c>
      <c r="FM324" s="13">
        <v>77.33</v>
      </c>
      <c r="FN324" s="11">
        <v>3</v>
      </c>
      <c r="FO324" s="11"/>
      <c r="FP324" s="13"/>
      <c r="FQ324" s="11"/>
      <c r="FR324" s="12"/>
      <c r="FS324" s="12"/>
      <c r="FT324" s="11"/>
      <c r="FU324" s="13"/>
      <c r="FV324" s="11"/>
      <c r="FW324" s="11"/>
      <c r="FX324" s="13"/>
      <c r="FY324" s="11"/>
      <c r="FZ324" s="12"/>
      <c r="GA324" s="12"/>
      <c r="GB324" s="11">
        <v>2</v>
      </c>
      <c r="GC324" s="13">
        <v>74.42</v>
      </c>
      <c r="GD324" s="11">
        <v>1</v>
      </c>
      <c r="GE324" s="11"/>
      <c r="GF324" s="13"/>
      <c r="GG324" s="11"/>
      <c r="GH324" s="12"/>
      <c r="GI324" s="12"/>
      <c r="GJ324" s="11"/>
      <c r="GK324" s="13"/>
      <c r="GL324" s="11"/>
      <c r="GM324" s="11"/>
      <c r="GN324" s="13"/>
      <c r="GO324" s="11"/>
      <c r="GP324" s="12"/>
      <c r="GQ324" s="12"/>
      <c r="GR324" s="11"/>
      <c r="GS324" s="13"/>
      <c r="GT324" s="11">
        <v>15</v>
      </c>
      <c r="GU324" s="11"/>
      <c r="GV324" s="13"/>
      <c r="GW324" s="11"/>
      <c r="GX324" s="12"/>
      <c r="GY324" s="12"/>
      <c r="GZ324" s="11"/>
      <c r="HA324" s="13"/>
      <c r="HB324" s="11">
        <v>10</v>
      </c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>
        <v>11</v>
      </c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/>
      <c r="JO324" s="11"/>
      <c r="JP324" s="13"/>
      <c r="JQ324" s="11"/>
      <c r="JR324" s="12"/>
      <c r="JS324" s="12"/>
      <c r="JT324" s="11"/>
      <c r="JU324" s="13"/>
      <c r="JV324" s="11"/>
      <c r="JW324" s="11"/>
      <c r="JX324" s="13"/>
      <c r="JY324" s="11"/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  <c r="LH324" s="11"/>
      <c r="LI324" s="13"/>
      <c r="LJ324" s="11"/>
      <c r="LK324" s="11"/>
      <c r="LL324" s="13"/>
      <c r="LM324" s="11"/>
      <c r="LN324" s="12"/>
      <c r="LO324" s="12"/>
      <c r="LP324" s="11"/>
      <c r="LQ324" s="13"/>
      <c r="LR324" s="11"/>
      <c r="LS324" s="11"/>
      <c r="LT324" s="13"/>
      <c r="LU324" s="11"/>
      <c r="LV324" s="12"/>
      <c r="LW324" s="12"/>
    </row>
    <row r="325">
      <c r="A325" s="10" t="s">
        <v>193</v>
      </c>
      <c r="B325" s="10" t="s">
        <v>179</v>
      </c>
      <c r="C325" s="10" t="s">
        <v>77</v>
      </c>
      <c r="D325" s="11">
        <v>10103</v>
      </c>
      <c r="E325" s="11">
        <f>=ROUNDDOWN({0},0)</f>
      </c>
      <c r="F325" s="11">
        <v>6501</v>
      </c>
      <c r="G325" s="12"/>
      <c r="H325" s="11"/>
      <c r="I325" s="11">
        <f>=ROUNDDOWN({0},0)</f>
      </c>
      <c r="J325" s="11"/>
      <c r="K325" s="12"/>
      <c r="L325" s="11">
        <v>2316</v>
      </c>
      <c r="M325" s="13">
        <v>84124.08</v>
      </c>
      <c r="N325" s="11">
        <v>54</v>
      </c>
      <c r="O325" s="14">
        <v>1557.85</v>
      </c>
      <c r="P325" s="11"/>
      <c r="Q325" s="13"/>
      <c r="R325" s="11"/>
      <c r="S325" s="14"/>
      <c r="T325" s="12"/>
      <c r="U325" s="12"/>
      <c r="V325" s="12"/>
      <c r="W325" s="12"/>
      <c r="X325" s="11">
        <v>294</v>
      </c>
      <c r="Y325" s="13">
        <v>6531.57</v>
      </c>
      <c r="Z325" s="11">
        <v>35</v>
      </c>
      <c r="AA325" s="11"/>
      <c r="AB325" s="13"/>
      <c r="AC325" s="11"/>
      <c r="AD325" s="12"/>
      <c r="AE325" s="12"/>
      <c r="AF325" s="11">
        <v>55</v>
      </c>
      <c r="AG325" s="13">
        <v>2152.76</v>
      </c>
      <c r="AH325" s="11">
        <v>54</v>
      </c>
      <c r="AI325" s="11"/>
      <c r="AJ325" s="13"/>
      <c r="AK325" s="11"/>
      <c r="AL325" s="12"/>
      <c r="AM325" s="12"/>
      <c r="AN325" s="11">
        <v>1214</v>
      </c>
      <c r="AO325" s="13">
        <v>45317.39</v>
      </c>
      <c r="AP325" s="11">
        <v>53</v>
      </c>
      <c r="AQ325" s="11"/>
      <c r="AR325" s="13"/>
      <c r="AS325" s="11"/>
      <c r="AT325" s="12"/>
      <c r="AU325" s="12"/>
      <c r="AV325" s="11">
        <v>153</v>
      </c>
      <c r="AW325" s="13">
        <v>4544.83</v>
      </c>
      <c r="AX325" s="11">
        <v>53</v>
      </c>
      <c r="AY325" s="11"/>
      <c r="AZ325" s="13"/>
      <c r="BA325" s="11"/>
      <c r="BB325" s="12"/>
      <c r="BC325" s="12"/>
      <c r="BD325" s="11">
        <v>268</v>
      </c>
      <c r="BE325" s="13">
        <v>8975.03</v>
      </c>
      <c r="BF325" s="11">
        <v>53</v>
      </c>
      <c r="BG325" s="11"/>
      <c r="BH325" s="13"/>
      <c r="BI325" s="11"/>
      <c r="BJ325" s="12"/>
      <c r="BK325" s="12"/>
      <c r="BL325" s="11">
        <v>47</v>
      </c>
      <c r="BM325" s="13">
        <v>2622.9</v>
      </c>
      <c r="BN325" s="11">
        <v>54</v>
      </c>
      <c r="BO325" s="11"/>
      <c r="BP325" s="13"/>
      <c r="BQ325" s="11"/>
      <c r="BR325" s="12"/>
      <c r="BS325" s="12"/>
      <c r="BT325" s="11">
        <v>38</v>
      </c>
      <c r="BU325" s="13">
        <v>1852.57</v>
      </c>
      <c r="BV325" s="11">
        <v>54</v>
      </c>
      <c r="BW325" s="11"/>
      <c r="BX325" s="13"/>
      <c r="BY325" s="11"/>
      <c r="BZ325" s="12"/>
      <c r="CA325" s="12"/>
      <c r="CB325" s="11">
        <v>162</v>
      </c>
      <c r="CC325" s="13">
        <v>8150.04</v>
      </c>
      <c r="CD325" s="11">
        <v>40</v>
      </c>
      <c r="CE325" s="11"/>
      <c r="CF325" s="13"/>
      <c r="CG325" s="11"/>
      <c r="CH325" s="12"/>
      <c r="CI325" s="12"/>
      <c r="CJ325" s="11">
        <v>1</v>
      </c>
      <c r="CK325" s="13">
        <v>55.99</v>
      </c>
      <c r="CL325" s="11">
        <v>50</v>
      </c>
      <c r="CM325" s="11"/>
      <c r="CN325" s="13"/>
      <c r="CO325" s="11"/>
      <c r="CP325" s="12"/>
      <c r="CQ325" s="12"/>
      <c r="CR325" s="11"/>
      <c r="CS325" s="13"/>
      <c r="CT325" s="11"/>
      <c r="CU325" s="11"/>
      <c r="CV325" s="13"/>
      <c r="CW325" s="11"/>
      <c r="CX325" s="12"/>
      <c r="CY325" s="12"/>
      <c r="CZ325" s="11"/>
      <c r="DA325" s="13"/>
      <c r="DB325" s="11">
        <v>1</v>
      </c>
      <c r="DC325" s="11"/>
      <c r="DD325" s="13"/>
      <c r="DE325" s="11"/>
      <c r="DF325" s="12"/>
      <c r="DG325" s="12"/>
      <c r="DH325" s="11">
        <v>8</v>
      </c>
      <c r="DI325" s="13">
        <v>281.76</v>
      </c>
      <c r="DJ325" s="11">
        <v>18</v>
      </c>
      <c r="DK325" s="11"/>
      <c r="DL325" s="13"/>
      <c r="DM325" s="11"/>
      <c r="DN325" s="12"/>
      <c r="DO325" s="12"/>
      <c r="DP325" s="11">
        <v>15</v>
      </c>
      <c r="DQ325" s="13">
        <v>1032.82</v>
      </c>
      <c r="DR325" s="11">
        <v>51</v>
      </c>
      <c r="DS325" s="11"/>
      <c r="DT325" s="13"/>
      <c r="DU325" s="11"/>
      <c r="DV325" s="12"/>
      <c r="DW325" s="12"/>
      <c r="DX325" s="11">
        <v>14</v>
      </c>
      <c r="DY325" s="13">
        <v>558.53</v>
      </c>
      <c r="DZ325" s="11">
        <v>24</v>
      </c>
      <c r="EA325" s="11"/>
      <c r="EB325" s="13"/>
      <c r="EC325" s="11"/>
      <c r="ED325" s="12"/>
      <c r="EE325" s="12"/>
      <c r="EF325" s="11"/>
      <c r="EG325" s="13"/>
      <c r="EH325" s="11"/>
      <c r="EI325" s="11"/>
      <c r="EJ325" s="13"/>
      <c r="EK325" s="11"/>
      <c r="EL325" s="12"/>
      <c r="EM325" s="12"/>
      <c r="EN325" s="11">
        <v>7</v>
      </c>
      <c r="EO325" s="13">
        <v>604.65</v>
      </c>
      <c r="EP325" s="11">
        <v>54</v>
      </c>
      <c r="EQ325" s="11"/>
      <c r="ER325" s="13"/>
      <c r="ES325" s="11"/>
      <c r="ET325" s="12"/>
      <c r="EU325" s="12"/>
      <c r="EV325" s="11">
        <v>14</v>
      </c>
      <c r="EW325" s="13">
        <v>490.26</v>
      </c>
      <c r="EX325" s="11">
        <v>11</v>
      </c>
      <c r="EY325" s="11"/>
      <c r="EZ325" s="13"/>
      <c r="FA325" s="11"/>
      <c r="FB325" s="12"/>
      <c r="FC325" s="12"/>
      <c r="FD325" s="11">
        <v>10</v>
      </c>
      <c r="FE325" s="13">
        <v>241.29</v>
      </c>
      <c r="FF325" s="11">
        <v>3</v>
      </c>
      <c r="FG325" s="11"/>
      <c r="FH325" s="13"/>
      <c r="FI325" s="11"/>
      <c r="FJ325" s="12"/>
      <c r="FK325" s="12"/>
      <c r="FL325" s="11">
        <v>14</v>
      </c>
      <c r="FM325" s="13">
        <v>637.27</v>
      </c>
      <c r="FN325" s="11">
        <v>6</v>
      </c>
      <c r="FO325" s="11"/>
      <c r="FP325" s="13"/>
      <c r="FQ325" s="11"/>
      <c r="FR325" s="12"/>
      <c r="FS325" s="12"/>
      <c r="FT325" s="11"/>
      <c r="FU325" s="13"/>
      <c r="FV325" s="11"/>
      <c r="FW325" s="11"/>
      <c r="FX325" s="13"/>
      <c r="FY325" s="11"/>
      <c r="FZ325" s="12"/>
      <c r="GA325" s="12"/>
      <c r="GB325" s="11">
        <v>2</v>
      </c>
      <c r="GC325" s="13">
        <v>74.42</v>
      </c>
      <c r="GD325" s="11">
        <v>1</v>
      </c>
      <c r="GE325" s="11"/>
      <c r="GF325" s="13"/>
      <c r="GG325" s="11"/>
      <c r="GH325" s="12"/>
      <c r="GI325" s="12"/>
      <c r="GJ325" s="11"/>
      <c r="GK325" s="13"/>
      <c r="GL325" s="11"/>
      <c r="GM325" s="11"/>
      <c r="GN325" s="13"/>
      <c r="GO325" s="11"/>
      <c r="GP325" s="12"/>
      <c r="GQ325" s="12"/>
      <c r="GR325" s="11"/>
      <c r="GS325" s="13"/>
      <c r="GT325" s="11">
        <v>21</v>
      </c>
      <c r="GU325" s="11"/>
      <c r="GV325" s="13"/>
      <c r="GW325" s="11"/>
      <c r="GX325" s="12"/>
      <c r="GY325" s="12"/>
      <c r="GZ325" s="11"/>
      <c r="HA325" s="13"/>
      <c r="HB325" s="11">
        <v>10</v>
      </c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>
        <v>11</v>
      </c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/>
      <c r="JO325" s="11"/>
      <c r="JP325" s="13"/>
      <c r="JQ325" s="11"/>
      <c r="JR325" s="12"/>
      <c r="JS325" s="12"/>
      <c r="JT325" s="11"/>
      <c r="JU325" s="13"/>
      <c r="JV325" s="11"/>
      <c r="JW325" s="11"/>
      <c r="JX325" s="13"/>
      <c r="JY325" s="11"/>
      <c r="JZ325" s="12"/>
      <c r="KA325" s="12"/>
      <c r="KB325" s="11"/>
      <c r="KC325" s="13"/>
      <c r="KD325" s="11"/>
      <c r="KE325" s="11"/>
      <c r="KF325" s="13"/>
      <c r="KG325" s="11"/>
      <c r="KH325" s="12"/>
      <c r="KI325" s="12"/>
      <c r="KJ325" s="11"/>
      <c r="KK325" s="13"/>
      <c r="KL325" s="11"/>
      <c r="KM325" s="11"/>
      <c r="KN325" s="13"/>
      <c r="KO325" s="11"/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  <c r="LH325" s="11"/>
      <c r="LI325" s="13"/>
      <c r="LJ325" s="11"/>
      <c r="LK325" s="11"/>
      <c r="LL325" s="13"/>
      <c r="LM325" s="11"/>
      <c r="LN325" s="12"/>
      <c r="LO325" s="12"/>
      <c r="LP325" s="11"/>
      <c r="LQ325" s="13"/>
      <c r="LR325" s="11"/>
      <c r="LS325" s="11"/>
      <c r="LT325" s="13"/>
      <c r="LU325" s="11"/>
      <c r="LV325" s="12"/>
      <c r="LW325" s="12"/>
    </row>
    <row r="326">
      <c r="A326" s="10" t="s">
        <v>193</v>
      </c>
      <c r="B326" s="10" t="s">
        <v>209</v>
      </c>
      <c r="C326" s="10" t="s">
        <v>197</v>
      </c>
      <c r="D326" s="11">
        <v>3367</v>
      </c>
      <c r="E326" s="11">
        <f>=ROUNDDOWN(10.1111111111111,0)</f>
      </c>
      <c r="F326" s="11"/>
      <c r="G326" s="12">
        <v>1</v>
      </c>
      <c r="H326" s="11"/>
      <c r="I326" s="11">
        <f>=ROUNDDOWN({0},0)</f>
      </c>
      <c r="J326" s="11"/>
      <c r="K326" s="12"/>
      <c r="L326" s="11">
        <v>604</v>
      </c>
      <c r="M326" s="13">
        <v>49388.4</v>
      </c>
      <c r="N326" s="11"/>
      <c r="O326" s="14"/>
      <c r="P326" s="11"/>
      <c r="Q326" s="13"/>
      <c r="R326" s="11"/>
      <c r="S326" s="14"/>
      <c r="T326" s="12"/>
      <c r="U326" s="12"/>
      <c r="V326" s="12"/>
      <c r="W326" s="12"/>
      <c r="X326" s="11"/>
      <c r="Y326" s="13"/>
      <c r="Z326" s="11"/>
      <c r="AA326" s="11"/>
      <c r="AB326" s="13"/>
      <c r="AC326" s="11"/>
      <c r="AD326" s="12"/>
      <c r="AE326" s="12"/>
      <c r="AF326" s="11"/>
      <c r="AG326" s="13"/>
      <c r="AH326" s="11"/>
      <c r="AI326" s="11"/>
      <c r="AJ326" s="13"/>
      <c r="AK326" s="11"/>
      <c r="AL326" s="12"/>
      <c r="AM326" s="12"/>
      <c r="AN326" s="11"/>
      <c r="AO326" s="13"/>
      <c r="AP326" s="11"/>
      <c r="AQ326" s="11"/>
      <c r="AR326" s="13"/>
      <c r="AS326" s="11"/>
      <c r="AT326" s="12"/>
      <c r="AU326" s="12"/>
      <c r="AV326" s="11"/>
      <c r="AW326" s="13"/>
      <c r="AX326" s="11"/>
      <c r="AY326" s="11"/>
      <c r="AZ326" s="13"/>
      <c r="BA326" s="11"/>
      <c r="BB326" s="12"/>
      <c r="BC326" s="12"/>
      <c r="BD326" s="11"/>
      <c r="BE326" s="13"/>
      <c r="BF326" s="11"/>
      <c r="BG326" s="11"/>
      <c r="BH326" s="13"/>
      <c r="BI326" s="11"/>
      <c r="BJ326" s="12"/>
      <c r="BK326" s="12"/>
      <c r="BL326" s="11"/>
      <c r="BM326" s="13"/>
      <c r="BN326" s="11"/>
      <c r="BO326" s="11"/>
      <c r="BP326" s="13"/>
      <c r="BQ326" s="11"/>
      <c r="BR326" s="12"/>
      <c r="BS326" s="12"/>
      <c r="BT326" s="11"/>
      <c r="BU326" s="13"/>
      <c r="BV326" s="11"/>
      <c r="BW326" s="11"/>
      <c r="BX326" s="13"/>
      <c r="BY326" s="11"/>
      <c r="BZ326" s="12"/>
      <c r="CA326" s="12"/>
      <c r="CB326" s="11"/>
      <c r="CC326" s="13"/>
      <c r="CD326" s="11"/>
      <c r="CE326" s="11"/>
      <c r="CF326" s="13"/>
      <c r="CG326" s="11"/>
      <c r="CH326" s="12"/>
      <c r="CI326" s="12"/>
      <c r="CJ326" s="11"/>
      <c r="CK326" s="13"/>
      <c r="CL326" s="11"/>
      <c r="CM326" s="11"/>
      <c r="CN326" s="13"/>
      <c r="CO326" s="11"/>
      <c r="CP326" s="12"/>
      <c r="CQ326" s="12"/>
      <c r="CR326" s="11"/>
      <c r="CS326" s="13"/>
      <c r="CT326" s="11"/>
      <c r="CU326" s="11"/>
      <c r="CV326" s="13"/>
      <c r="CW326" s="11"/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/>
      <c r="DI326" s="13"/>
      <c r="DJ326" s="11"/>
      <c r="DK326" s="11"/>
      <c r="DL326" s="13"/>
      <c r="DM326" s="11"/>
      <c r="DN326" s="12"/>
      <c r="DO326" s="12"/>
      <c r="DP326" s="11"/>
      <c r="DQ326" s="13"/>
      <c r="DR326" s="11"/>
      <c r="DS326" s="11"/>
      <c r="DT326" s="13"/>
      <c r="DU326" s="11"/>
      <c r="DV326" s="12"/>
      <c r="DW326" s="12"/>
      <c r="DX326" s="11"/>
      <c r="DY326" s="13"/>
      <c r="DZ326" s="11"/>
      <c r="EA326" s="11"/>
      <c r="EB326" s="13"/>
      <c r="EC326" s="11"/>
      <c r="ED326" s="12"/>
      <c r="EE326" s="12"/>
      <c r="EF326" s="11">
        <v>604</v>
      </c>
      <c r="EG326" s="13">
        <v>49388.4</v>
      </c>
      <c r="EH326" s="11"/>
      <c r="EI326" s="11"/>
      <c r="EJ326" s="13"/>
      <c r="EK326" s="11"/>
      <c r="EL326" s="12"/>
      <c r="EM326" s="12"/>
      <c r="EN326" s="11"/>
      <c r="EO326" s="13"/>
      <c r="EP326" s="11"/>
      <c r="EQ326" s="11"/>
      <c r="ER326" s="13"/>
      <c r="ES326" s="11"/>
      <c r="ET326" s="12"/>
      <c r="EU326" s="12"/>
      <c r="EV326" s="11"/>
      <c r="EW326" s="13"/>
      <c r="EX326" s="11"/>
      <c r="EY326" s="11"/>
      <c r="EZ326" s="13"/>
      <c r="FA326" s="11"/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/>
      <c r="FM326" s="13"/>
      <c r="FN326" s="11"/>
      <c r="FO326" s="11"/>
      <c r="FP326" s="13"/>
      <c r="FQ326" s="11"/>
      <c r="FR326" s="12"/>
      <c r="FS326" s="12"/>
      <c r="FT326" s="11"/>
      <c r="FU326" s="13"/>
      <c r="FV326" s="11"/>
      <c r="FW326" s="11"/>
      <c r="FX326" s="13"/>
      <c r="FY326" s="11"/>
      <c r="FZ326" s="12"/>
      <c r="GA326" s="12"/>
      <c r="GB326" s="11"/>
      <c r="GC326" s="13"/>
      <c r="GD326" s="11"/>
      <c r="GE326" s="11"/>
      <c r="GF326" s="13"/>
      <c r="GG326" s="11"/>
      <c r="GH326" s="12"/>
      <c r="GI326" s="12"/>
      <c r="GJ326" s="11"/>
      <c r="GK326" s="13"/>
      <c r="GL326" s="11"/>
      <c r="GM326" s="11"/>
      <c r="GN326" s="13"/>
      <c r="GO326" s="11"/>
      <c r="GP326" s="12"/>
      <c r="GQ326" s="12"/>
      <c r="GR326" s="11"/>
      <c r="GS326" s="13"/>
      <c r="GT326" s="11"/>
      <c r="GU326" s="11"/>
      <c r="GV326" s="13"/>
      <c r="GW326" s="11"/>
      <c r="GX326" s="12"/>
      <c r="GY326" s="12"/>
      <c r="GZ326" s="11"/>
      <c r="HA326" s="13"/>
      <c r="HB326" s="11"/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/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/>
      <c r="JO326" s="11"/>
      <c r="JP326" s="13"/>
      <c r="JQ326" s="11"/>
      <c r="JR326" s="12"/>
      <c r="JS326" s="12"/>
      <c r="JT326" s="11"/>
      <c r="JU326" s="13"/>
      <c r="JV326" s="11"/>
      <c r="JW326" s="11"/>
      <c r="JX326" s="13"/>
      <c r="JY326" s="11"/>
      <c r="JZ326" s="12"/>
      <c r="KA326" s="12"/>
      <c r="KB326" s="11"/>
      <c r="KC326" s="13"/>
      <c r="KD326" s="11"/>
      <c r="KE326" s="11"/>
      <c r="KF326" s="13"/>
      <c r="KG326" s="11"/>
      <c r="KH326" s="12"/>
      <c r="KI326" s="12"/>
      <c r="KJ326" s="11"/>
      <c r="KK326" s="13"/>
      <c r="KL326" s="11"/>
      <c r="KM326" s="11"/>
      <c r="KN326" s="13"/>
      <c r="KO326" s="11"/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  <c r="LH326" s="11"/>
      <c r="LI326" s="13"/>
      <c r="LJ326" s="11"/>
      <c r="LK326" s="11"/>
      <c r="LL326" s="13"/>
      <c r="LM326" s="11"/>
      <c r="LN326" s="12"/>
      <c r="LO326" s="12"/>
      <c r="LP326" s="11"/>
      <c r="LQ326" s="13"/>
      <c r="LR326" s="11"/>
      <c r="LS326" s="11"/>
      <c r="LT326" s="13"/>
      <c r="LU326" s="11"/>
      <c r="LV326" s="12"/>
      <c r="LW326" s="12"/>
    </row>
    <row r="327">
      <c r="A327" s="10" t="s">
        <v>193</v>
      </c>
      <c r="B327" s="10" t="s">
        <v>210</v>
      </c>
      <c r="C327" s="10" t="s">
        <v>77</v>
      </c>
      <c r="D327" s="11">
        <v>3367</v>
      </c>
      <c r="E327" s="11">
        <f>=ROUNDDOWN({0},0)</f>
      </c>
      <c r="F327" s="11"/>
      <c r="G327" s="12"/>
      <c r="H327" s="11"/>
      <c r="I327" s="11">
        <f>=ROUNDDOWN({0},0)</f>
      </c>
      <c r="J327" s="11"/>
      <c r="K327" s="12"/>
      <c r="L327" s="11">
        <v>604</v>
      </c>
      <c r="M327" s="13">
        <v>49388.4</v>
      </c>
      <c r="N327" s="11"/>
      <c r="O327" s="14"/>
      <c r="P327" s="11"/>
      <c r="Q327" s="13"/>
      <c r="R327" s="11"/>
      <c r="S327" s="14"/>
      <c r="T327" s="12"/>
      <c r="U327" s="12"/>
      <c r="V327" s="12"/>
      <c r="W327" s="12"/>
      <c r="X327" s="11"/>
      <c r="Y327" s="13"/>
      <c r="Z327" s="11"/>
      <c r="AA327" s="11"/>
      <c r="AB327" s="13"/>
      <c r="AC327" s="11"/>
      <c r="AD327" s="12"/>
      <c r="AE327" s="12"/>
      <c r="AF327" s="11"/>
      <c r="AG327" s="13"/>
      <c r="AH327" s="11"/>
      <c r="AI327" s="11"/>
      <c r="AJ327" s="13"/>
      <c r="AK327" s="11"/>
      <c r="AL327" s="12"/>
      <c r="AM327" s="12"/>
      <c r="AN327" s="11"/>
      <c r="AO327" s="13"/>
      <c r="AP327" s="11"/>
      <c r="AQ327" s="11"/>
      <c r="AR327" s="13"/>
      <c r="AS327" s="11"/>
      <c r="AT327" s="12"/>
      <c r="AU327" s="12"/>
      <c r="AV327" s="11"/>
      <c r="AW327" s="13"/>
      <c r="AX327" s="11"/>
      <c r="AY327" s="11"/>
      <c r="AZ327" s="13"/>
      <c r="BA327" s="11"/>
      <c r="BB327" s="12"/>
      <c r="BC327" s="12"/>
      <c r="BD327" s="11"/>
      <c r="BE327" s="13"/>
      <c r="BF327" s="11"/>
      <c r="BG327" s="11"/>
      <c r="BH327" s="13"/>
      <c r="BI327" s="11"/>
      <c r="BJ327" s="12"/>
      <c r="BK327" s="12"/>
      <c r="BL327" s="11"/>
      <c r="BM327" s="13"/>
      <c r="BN327" s="11"/>
      <c r="BO327" s="11"/>
      <c r="BP327" s="13"/>
      <c r="BQ327" s="11"/>
      <c r="BR327" s="12"/>
      <c r="BS327" s="12"/>
      <c r="BT327" s="11"/>
      <c r="BU327" s="13"/>
      <c r="BV327" s="11"/>
      <c r="BW327" s="11"/>
      <c r="BX327" s="13"/>
      <c r="BY327" s="11"/>
      <c r="BZ327" s="12"/>
      <c r="CA327" s="12"/>
      <c r="CB327" s="11"/>
      <c r="CC327" s="13"/>
      <c r="CD327" s="11"/>
      <c r="CE327" s="11"/>
      <c r="CF327" s="13"/>
      <c r="CG327" s="11"/>
      <c r="CH327" s="12"/>
      <c r="CI327" s="12"/>
      <c r="CJ327" s="11"/>
      <c r="CK327" s="13"/>
      <c r="CL327" s="11"/>
      <c r="CM327" s="11"/>
      <c r="CN327" s="13"/>
      <c r="CO327" s="11"/>
      <c r="CP327" s="12"/>
      <c r="CQ327" s="12"/>
      <c r="CR327" s="11"/>
      <c r="CS327" s="13"/>
      <c r="CT327" s="11"/>
      <c r="CU327" s="11"/>
      <c r="CV327" s="13"/>
      <c r="CW327" s="11"/>
      <c r="CX327" s="12"/>
      <c r="CY327" s="12"/>
      <c r="CZ327" s="11"/>
      <c r="DA327" s="13"/>
      <c r="DB327" s="11"/>
      <c r="DC327" s="11"/>
      <c r="DD327" s="13"/>
      <c r="DE327" s="11"/>
      <c r="DF327" s="12"/>
      <c r="DG327" s="12"/>
      <c r="DH327" s="11"/>
      <c r="DI327" s="13"/>
      <c r="DJ327" s="11"/>
      <c r="DK327" s="11"/>
      <c r="DL327" s="13"/>
      <c r="DM327" s="11"/>
      <c r="DN327" s="12"/>
      <c r="DO327" s="12"/>
      <c r="DP327" s="11"/>
      <c r="DQ327" s="13"/>
      <c r="DR327" s="11"/>
      <c r="DS327" s="11"/>
      <c r="DT327" s="13"/>
      <c r="DU327" s="11"/>
      <c r="DV327" s="12"/>
      <c r="DW327" s="12"/>
      <c r="DX327" s="11"/>
      <c r="DY327" s="13"/>
      <c r="DZ327" s="11"/>
      <c r="EA327" s="11"/>
      <c r="EB327" s="13"/>
      <c r="EC327" s="11"/>
      <c r="ED327" s="12"/>
      <c r="EE327" s="12"/>
      <c r="EF327" s="11">
        <v>604</v>
      </c>
      <c r="EG327" s="13">
        <v>49388.4</v>
      </c>
      <c r="EH327" s="11"/>
      <c r="EI327" s="11"/>
      <c r="EJ327" s="13"/>
      <c r="EK327" s="11"/>
      <c r="EL327" s="12"/>
      <c r="EM327" s="12"/>
      <c r="EN327" s="11"/>
      <c r="EO327" s="13"/>
      <c r="EP327" s="11"/>
      <c r="EQ327" s="11"/>
      <c r="ER327" s="13"/>
      <c r="ES327" s="11"/>
      <c r="ET327" s="12"/>
      <c r="EU327" s="12"/>
      <c r="EV327" s="11"/>
      <c r="EW327" s="13"/>
      <c r="EX327" s="11"/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/>
      <c r="FO327" s="11"/>
      <c r="FP327" s="13"/>
      <c r="FQ327" s="11"/>
      <c r="FR327" s="12"/>
      <c r="FS327" s="12"/>
      <c r="FT327" s="11"/>
      <c r="FU327" s="13"/>
      <c r="FV327" s="11"/>
      <c r="FW327" s="11"/>
      <c r="FX327" s="13"/>
      <c r="FY327" s="11"/>
      <c r="FZ327" s="12"/>
      <c r="GA327" s="12"/>
      <c r="GB327" s="11"/>
      <c r="GC327" s="13"/>
      <c r="GD327" s="11"/>
      <c r="GE327" s="11"/>
      <c r="GF327" s="13"/>
      <c r="GG327" s="11"/>
      <c r="GH327" s="12"/>
      <c r="GI327" s="12"/>
      <c r="GJ327" s="11"/>
      <c r="GK327" s="13"/>
      <c r="GL327" s="11"/>
      <c r="GM327" s="11"/>
      <c r="GN327" s="13"/>
      <c r="GO327" s="11"/>
      <c r="GP327" s="12"/>
      <c r="GQ327" s="12"/>
      <c r="GR327" s="11"/>
      <c r="GS327" s="13"/>
      <c r="GT327" s="11"/>
      <c r="GU327" s="11"/>
      <c r="GV327" s="13"/>
      <c r="GW327" s="11"/>
      <c r="GX327" s="12"/>
      <c r="GY327" s="12"/>
      <c r="GZ327" s="11"/>
      <c r="HA327" s="13"/>
      <c r="HB327" s="11"/>
      <c r="HC327" s="11"/>
      <c r="HD327" s="13"/>
      <c r="HE327" s="11"/>
      <c r="HF327" s="12"/>
      <c r="HG327" s="12"/>
      <c r="HH327" s="11"/>
      <c r="HI327" s="13"/>
      <c r="HJ327" s="11"/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/>
      <c r="JO327" s="11"/>
      <c r="JP327" s="13"/>
      <c r="JQ327" s="11"/>
      <c r="JR327" s="12"/>
      <c r="JS327" s="12"/>
      <c r="JT327" s="11"/>
      <c r="JU327" s="13"/>
      <c r="JV327" s="11"/>
      <c r="JW327" s="11"/>
      <c r="JX327" s="13"/>
      <c r="JY327" s="11"/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/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  <c r="LH327" s="11"/>
      <c r="LI327" s="13"/>
      <c r="LJ327" s="11"/>
      <c r="LK327" s="11"/>
      <c r="LL327" s="13"/>
      <c r="LM327" s="11"/>
      <c r="LN327" s="12"/>
      <c r="LO327" s="12"/>
      <c r="LP327" s="11"/>
      <c r="LQ327" s="13"/>
      <c r="LR327" s="11"/>
      <c r="LS327" s="11"/>
      <c r="LT327" s="13"/>
      <c r="LU327" s="11"/>
      <c r="LV327" s="12"/>
      <c r="LW327" s="12"/>
    </row>
    <row r="328">
      <c r="A328" s="10" t="s">
        <v>193</v>
      </c>
      <c r="B328" s="10" t="s">
        <v>165</v>
      </c>
      <c r="C328" s="10" t="s">
        <v>115</v>
      </c>
      <c r="D328" s="11">
        <v>91</v>
      </c>
      <c r="E328" s="11">
        <f>=ROUNDDOWN(303.333333333333,0)</f>
      </c>
      <c r="F328" s="11"/>
      <c r="G328" s="12"/>
      <c r="H328" s="11"/>
      <c r="I328" s="11">
        <f>=ROUNDDOWN({0},0)</f>
      </c>
      <c r="J328" s="11"/>
      <c r="K328" s="12"/>
      <c r="L328" s="11">
        <v>54</v>
      </c>
      <c r="M328" s="13">
        <v>452.76</v>
      </c>
      <c r="N328" s="11">
        <v>1</v>
      </c>
      <c r="O328" s="14">
        <v>452.76</v>
      </c>
      <c r="P328" s="11"/>
      <c r="Q328" s="13"/>
      <c r="R328" s="11"/>
      <c r="S328" s="14"/>
      <c r="T328" s="12"/>
      <c r="U328" s="12"/>
      <c r="V328" s="12"/>
      <c r="W328" s="12"/>
      <c r="X328" s="11"/>
      <c r="Y328" s="13"/>
      <c r="Z328" s="11"/>
      <c r="AA328" s="11"/>
      <c r="AB328" s="13"/>
      <c r="AC328" s="11"/>
      <c r="AD328" s="12"/>
      <c r="AE328" s="12"/>
      <c r="AF328" s="11">
        <v>4</v>
      </c>
      <c r="AG328" s="13">
        <v>34.76</v>
      </c>
      <c r="AH328" s="11">
        <v>1</v>
      </c>
      <c r="AI328" s="11"/>
      <c r="AJ328" s="13"/>
      <c r="AK328" s="11"/>
      <c r="AL328" s="12"/>
      <c r="AM328" s="12"/>
      <c r="AN328" s="11"/>
      <c r="AO328" s="13"/>
      <c r="AP328" s="11">
        <v>1</v>
      </c>
      <c r="AQ328" s="11"/>
      <c r="AR328" s="13"/>
      <c r="AS328" s="11"/>
      <c r="AT328" s="12"/>
      <c r="AU328" s="12"/>
      <c r="AV328" s="11">
        <v>6</v>
      </c>
      <c r="AW328" s="13">
        <v>101.58</v>
      </c>
      <c r="AX328" s="11">
        <v>1</v>
      </c>
      <c r="AY328" s="11"/>
      <c r="AZ328" s="13"/>
      <c r="BA328" s="11"/>
      <c r="BB328" s="12"/>
      <c r="BC328" s="12"/>
      <c r="BD328" s="11">
        <v>43</v>
      </c>
      <c r="BE328" s="13">
        <v>297.56</v>
      </c>
      <c r="BF328" s="11">
        <v>1</v>
      </c>
      <c r="BG328" s="11"/>
      <c r="BH328" s="13"/>
      <c r="BI328" s="11"/>
      <c r="BJ328" s="12"/>
      <c r="BK328" s="12"/>
      <c r="BL328" s="11"/>
      <c r="BM328" s="13"/>
      <c r="BN328" s="11">
        <v>1</v>
      </c>
      <c r="BO328" s="11"/>
      <c r="BP328" s="13"/>
      <c r="BQ328" s="11"/>
      <c r="BR328" s="12"/>
      <c r="BS328" s="12"/>
      <c r="BT328" s="11">
        <v>1</v>
      </c>
      <c r="BU328" s="13">
        <v>18.86</v>
      </c>
      <c r="BV328" s="11">
        <v>1</v>
      </c>
      <c r="BW328" s="11"/>
      <c r="BX328" s="13"/>
      <c r="BY328" s="11"/>
      <c r="BZ328" s="12"/>
      <c r="CA328" s="12"/>
      <c r="CB328" s="11"/>
      <c r="CC328" s="13"/>
      <c r="CD328" s="11"/>
      <c r="CE328" s="11"/>
      <c r="CF328" s="13"/>
      <c r="CG328" s="11"/>
      <c r="CH328" s="12"/>
      <c r="CI328" s="12"/>
      <c r="CJ328" s="11"/>
      <c r="CK328" s="13"/>
      <c r="CL328" s="11"/>
      <c r="CM328" s="11"/>
      <c r="CN328" s="13"/>
      <c r="CO328" s="11"/>
      <c r="CP328" s="12"/>
      <c r="CQ328" s="12"/>
      <c r="CR328" s="11"/>
      <c r="CS328" s="13"/>
      <c r="CT328" s="11"/>
      <c r="CU328" s="11"/>
      <c r="CV328" s="13"/>
      <c r="CW328" s="11"/>
      <c r="CX328" s="12"/>
      <c r="CY328" s="12"/>
      <c r="CZ328" s="11"/>
      <c r="DA328" s="13"/>
      <c r="DB328" s="11"/>
      <c r="DC328" s="11"/>
      <c r="DD328" s="13"/>
      <c r="DE328" s="11"/>
      <c r="DF328" s="12"/>
      <c r="DG328" s="12"/>
      <c r="DH328" s="11"/>
      <c r="DI328" s="13"/>
      <c r="DJ328" s="11">
        <v>1</v>
      </c>
      <c r="DK328" s="11"/>
      <c r="DL328" s="13"/>
      <c r="DM328" s="11"/>
      <c r="DN328" s="12"/>
      <c r="DO328" s="12"/>
      <c r="DP328" s="11"/>
      <c r="DQ328" s="13"/>
      <c r="DR328" s="11">
        <v>1</v>
      </c>
      <c r="DS328" s="11"/>
      <c r="DT328" s="13"/>
      <c r="DU328" s="11"/>
      <c r="DV328" s="12"/>
      <c r="DW328" s="12"/>
      <c r="DX328" s="11"/>
      <c r="DY328" s="13"/>
      <c r="DZ328" s="11"/>
      <c r="EA328" s="11"/>
      <c r="EB328" s="13"/>
      <c r="EC328" s="11"/>
      <c r="ED328" s="12"/>
      <c r="EE328" s="12"/>
      <c r="EF328" s="11"/>
      <c r="EG328" s="13"/>
      <c r="EH328" s="11"/>
      <c r="EI328" s="11"/>
      <c r="EJ328" s="13"/>
      <c r="EK328" s="11"/>
      <c r="EL328" s="12"/>
      <c r="EM328" s="12"/>
      <c r="EN328" s="11"/>
      <c r="EO328" s="13"/>
      <c r="EP328" s="11">
        <v>1</v>
      </c>
      <c r="EQ328" s="11"/>
      <c r="ER328" s="13"/>
      <c r="ES328" s="11"/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/>
      <c r="FO328" s="11"/>
      <c r="FP328" s="13"/>
      <c r="FQ328" s="11"/>
      <c r="FR328" s="12"/>
      <c r="FS328" s="12"/>
      <c r="FT328" s="11"/>
      <c r="FU328" s="13"/>
      <c r="FV328" s="11"/>
      <c r="FW328" s="11"/>
      <c r="FX328" s="13"/>
      <c r="FY328" s="11"/>
      <c r="FZ328" s="12"/>
      <c r="GA328" s="12"/>
      <c r="GB328" s="11"/>
      <c r="GC328" s="13"/>
      <c r="GD328" s="11"/>
      <c r="GE328" s="11"/>
      <c r="GF328" s="13"/>
      <c r="GG328" s="11"/>
      <c r="GH328" s="12"/>
      <c r="GI328" s="12"/>
      <c r="GJ328" s="11"/>
      <c r="GK328" s="13"/>
      <c r="GL328" s="11"/>
      <c r="GM328" s="11"/>
      <c r="GN328" s="13"/>
      <c r="GO328" s="11"/>
      <c r="GP328" s="12"/>
      <c r="GQ328" s="12"/>
      <c r="GR328" s="11"/>
      <c r="GS328" s="13"/>
      <c r="GT328" s="11"/>
      <c r="GU328" s="11"/>
      <c r="GV328" s="13"/>
      <c r="GW328" s="11"/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>
        <v>1</v>
      </c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/>
      <c r="JO328" s="11"/>
      <c r="JP328" s="13"/>
      <c r="JQ328" s="11"/>
      <c r="JR328" s="12"/>
      <c r="JS328" s="12"/>
      <c r="JT328" s="11"/>
      <c r="JU328" s="13"/>
      <c r="JV328" s="11"/>
      <c r="JW328" s="11"/>
      <c r="JX328" s="13"/>
      <c r="JY328" s="11"/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  <c r="LH328" s="11"/>
      <c r="LI328" s="13"/>
      <c r="LJ328" s="11"/>
      <c r="LK328" s="11"/>
      <c r="LL328" s="13"/>
      <c r="LM328" s="11"/>
      <c r="LN328" s="12"/>
      <c r="LO328" s="12"/>
      <c r="LP328" s="11"/>
      <c r="LQ328" s="13"/>
      <c r="LR328" s="11"/>
      <c r="LS328" s="11"/>
      <c r="LT328" s="13"/>
      <c r="LU328" s="11"/>
      <c r="LV328" s="12"/>
      <c r="LW328" s="12"/>
    </row>
    <row r="329">
      <c r="A329" s="10" t="s">
        <v>193</v>
      </c>
      <c r="B329" s="10" t="s">
        <v>166</v>
      </c>
      <c r="C329" s="10" t="s">
        <v>77</v>
      </c>
      <c r="D329" s="11">
        <v>91</v>
      </c>
      <c r="E329" s="11">
        <f>=ROUNDDOWN({0},0)</f>
      </c>
      <c r="F329" s="11"/>
      <c r="G329" s="12"/>
      <c r="H329" s="11"/>
      <c r="I329" s="11">
        <f>=ROUNDDOWN({0},0)</f>
      </c>
      <c r="J329" s="11"/>
      <c r="K329" s="12"/>
      <c r="L329" s="11">
        <v>54</v>
      </c>
      <c r="M329" s="13">
        <v>452.76</v>
      </c>
      <c r="N329" s="11">
        <v>1</v>
      </c>
      <c r="O329" s="14">
        <v>452.76</v>
      </c>
      <c r="P329" s="11"/>
      <c r="Q329" s="13"/>
      <c r="R329" s="11"/>
      <c r="S329" s="14"/>
      <c r="T329" s="12"/>
      <c r="U329" s="12"/>
      <c r="V329" s="12"/>
      <c r="W329" s="12"/>
      <c r="X329" s="11"/>
      <c r="Y329" s="13"/>
      <c r="Z329" s="11"/>
      <c r="AA329" s="11"/>
      <c r="AB329" s="13"/>
      <c r="AC329" s="11"/>
      <c r="AD329" s="12"/>
      <c r="AE329" s="12"/>
      <c r="AF329" s="11">
        <v>4</v>
      </c>
      <c r="AG329" s="13">
        <v>34.76</v>
      </c>
      <c r="AH329" s="11">
        <v>1</v>
      </c>
      <c r="AI329" s="11"/>
      <c r="AJ329" s="13"/>
      <c r="AK329" s="11"/>
      <c r="AL329" s="12"/>
      <c r="AM329" s="12"/>
      <c r="AN329" s="11"/>
      <c r="AO329" s="13"/>
      <c r="AP329" s="11">
        <v>1</v>
      </c>
      <c r="AQ329" s="11"/>
      <c r="AR329" s="13"/>
      <c r="AS329" s="11"/>
      <c r="AT329" s="12"/>
      <c r="AU329" s="12"/>
      <c r="AV329" s="11">
        <v>6</v>
      </c>
      <c r="AW329" s="13">
        <v>101.58</v>
      </c>
      <c r="AX329" s="11">
        <v>1</v>
      </c>
      <c r="AY329" s="11"/>
      <c r="AZ329" s="13"/>
      <c r="BA329" s="11"/>
      <c r="BB329" s="12"/>
      <c r="BC329" s="12"/>
      <c r="BD329" s="11">
        <v>43</v>
      </c>
      <c r="BE329" s="13">
        <v>297.56</v>
      </c>
      <c r="BF329" s="11">
        <v>1</v>
      </c>
      <c r="BG329" s="11"/>
      <c r="BH329" s="13"/>
      <c r="BI329" s="11"/>
      <c r="BJ329" s="12"/>
      <c r="BK329" s="12"/>
      <c r="BL329" s="11"/>
      <c r="BM329" s="13"/>
      <c r="BN329" s="11">
        <v>1</v>
      </c>
      <c r="BO329" s="11"/>
      <c r="BP329" s="13"/>
      <c r="BQ329" s="11"/>
      <c r="BR329" s="12"/>
      <c r="BS329" s="12"/>
      <c r="BT329" s="11">
        <v>1</v>
      </c>
      <c r="BU329" s="13">
        <v>18.86</v>
      </c>
      <c r="BV329" s="11">
        <v>1</v>
      </c>
      <c r="BW329" s="11"/>
      <c r="BX329" s="13"/>
      <c r="BY329" s="11"/>
      <c r="BZ329" s="12"/>
      <c r="CA329" s="12"/>
      <c r="CB329" s="11"/>
      <c r="CC329" s="13"/>
      <c r="CD329" s="11"/>
      <c r="CE329" s="11"/>
      <c r="CF329" s="13"/>
      <c r="CG329" s="11"/>
      <c r="CH329" s="12"/>
      <c r="CI329" s="12"/>
      <c r="CJ329" s="11"/>
      <c r="CK329" s="13"/>
      <c r="CL329" s="11"/>
      <c r="CM329" s="11"/>
      <c r="CN329" s="13"/>
      <c r="CO329" s="11"/>
      <c r="CP329" s="12"/>
      <c r="CQ329" s="12"/>
      <c r="CR329" s="11"/>
      <c r="CS329" s="13"/>
      <c r="CT329" s="11"/>
      <c r="CU329" s="11"/>
      <c r="CV329" s="13"/>
      <c r="CW329" s="11"/>
      <c r="CX329" s="12"/>
      <c r="CY329" s="12"/>
      <c r="CZ329" s="11"/>
      <c r="DA329" s="13"/>
      <c r="DB329" s="11"/>
      <c r="DC329" s="11"/>
      <c r="DD329" s="13"/>
      <c r="DE329" s="11"/>
      <c r="DF329" s="12"/>
      <c r="DG329" s="12"/>
      <c r="DH329" s="11"/>
      <c r="DI329" s="13"/>
      <c r="DJ329" s="11">
        <v>1</v>
      </c>
      <c r="DK329" s="11"/>
      <c r="DL329" s="13"/>
      <c r="DM329" s="11"/>
      <c r="DN329" s="12"/>
      <c r="DO329" s="12"/>
      <c r="DP329" s="11"/>
      <c r="DQ329" s="13"/>
      <c r="DR329" s="11">
        <v>1</v>
      </c>
      <c r="DS329" s="11"/>
      <c r="DT329" s="13"/>
      <c r="DU329" s="11"/>
      <c r="DV329" s="12"/>
      <c r="DW329" s="12"/>
      <c r="DX329" s="11"/>
      <c r="DY329" s="13"/>
      <c r="DZ329" s="11"/>
      <c r="EA329" s="11"/>
      <c r="EB329" s="13"/>
      <c r="EC329" s="11"/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/>
      <c r="EO329" s="13"/>
      <c r="EP329" s="11">
        <v>1</v>
      </c>
      <c r="EQ329" s="11"/>
      <c r="ER329" s="13"/>
      <c r="ES329" s="11"/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/>
      <c r="FG329" s="11"/>
      <c r="FH329" s="13"/>
      <c r="FI329" s="11"/>
      <c r="FJ329" s="12"/>
      <c r="FK329" s="12"/>
      <c r="FL329" s="11"/>
      <c r="FM329" s="13"/>
      <c r="FN329" s="11"/>
      <c r="FO329" s="11"/>
      <c r="FP329" s="13"/>
      <c r="FQ329" s="11"/>
      <c r="FR329" s="12"/>
      <c r="FS329" s="12"/>
      <c r="FT329" s="11"/>
      <c r="FU329" s="13"/>
      <c r="FV329" s="11"/>
      <c r="FW329" s="11"/>
      <c r="FX329" s="13"/>
      <c r="FY329" s="11"/>
      <c r="FZ329" s="12"/>
      <c r="GA329" s="12"/>
      <c r="GB329" s="11"/>
      <c r="GC329" s="13"/>
      <c r="GD329" s="11"/>
      <c r="GE329" s="11"/>
      <c r="GF329" s="13"/>
      <c r="GG329" s="11"/>
      <c r="GH329" s="12"/>
      <c r="GI329" s="12"/>
      <c r="GJ329" s="11"/>
      <c r="GK329" s="13"/>
      <c r="GL329" s="11"/>
      <c r="GM329" s="11"/>
      <c r="GN329" s="13"/>
      <c r="GO329" s="11"/>
      <c r="GP329" s="12"/>
      <c r="GQ329" s="12"/>
      <c r="GR329" s="11"/>
      <c r="GS329" s="13"/>
      <c r="GT329" s="11"/>
      <c r="GU329" s="11"/>
      <c r="GV329" s="13"/>
      <c r="GW329" s="11"/>
      <c r="GX329" s="12"/>
      <c r="GY329" s="12"/>
      <c r="GZ329" s="11"/>
      <c r="HA329" s="13"/>
      <c r="HB329" s="11"/>
      <c r="HC329" s="11"/>
      <c r="HD329" s="13"/>
      <c r="HE329" s="11"/>
      <c r="HF329" s="12"/>
      <c r="HG329" s="12"/>
      <c r="HH329" s="11"/>
      <c r="HI329" s="13"/>
      <c r="HJ329" s="11"/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>
        <v>1</v>
      </c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/>
      <c r="JR329" s="12"/>
      <c r="JS329" s="12"/>
      <c r="JT329" s="11"/>
      <c r="JU329" s="13"/>
      <c r="JV329" s="11"/>
      <c r="JW329" s="11"/>
      <c r="JX329" s="13"/>
      <c r="JY329" s="11"/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/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  <c r="LH329" s="11"/>
      <c r="LI329" s="13"/>
      <c r="LJ329" s="11"/>
      <c r="LK329" s="11"/>
      <c r="LL329" s="13"/>
      <c r="LM329" s="11"/>
      <c r="LN329" s="12"/>
      <c r="LO329" s="12"/>
      <c r="LP329" s="11"/>
      <c r="LQ329" s="13"/>
      <c r="LR329" s="11"/>
      <c r="LS329" s="11"/>
      <c r="LT329" s="13"/>
      <c r="LU329" s="11"/>
      <c r="LV329" s="12"/>
      <c r="LW329" s="12"/>
    </row>
    <row r="330">
      <c r="A330" s="10" t="s">
        <v>193</v>
      </c>
      <c r="B330" s="10" t="s">
        <v>136</v>
      </c>
      <c r="C330" s="10" t="s">
        <v>172</v>
      </c>
      <c r="D330" s="11">
        <v>7668</v>
      </c>
      <c r="E330" s="11">
        <f>=ROUNDDOWN(22.3556851311953,0)</f>
      </c>
      <c r="F330" s="11">
        <v>7436</v>
      </c>
      <c r="G330" s="12">
        <v>1</v>
      </c>
      <c r="H330" s="11"/>
      <c r="I330" s="11">
        <f>=ROUNDDOWN({0},0)</f>
      </c>
      <c r="J330" s="11"/>
      <c r="K330" s="12"/>
      <c r="L330" s="11">
        <v>4852</v>
      </c>
      <c r="M330" s="13">
        <v>115383.87</v>
      </c>
      <c r="N330" s="11">
        <v>24</v>
      </c>
      <c r="O330" s="14">
        <v>4807.66</v>
      </c>
      <c r="P330" s="11"/>
      <c r="Q330" s="13"/>
      <c r="R330" s="11"/>
      <c r="S330" s="14"/>
      <c r="T330" s="12"/>
      <c r="U330" s="12"/>
      <c r="V330" s="12"/>
      <c r="W330" s="12"/>
      <c r="X330" s="11">
        <v>1363</v>
      </c>
      <c r="Y330" s="13">
        <v>31528.78</v>
      </c>
      <c r="Z330" s="11">
        <v>24</v>
      </c>
      <c r="AA330" s="11"/>
      <c r="AB330" s="13"/>
      <c r="AC330" s="11"/>
      <c r="AD330" s="12"/>
      <c r="AE330" s="12"/>
      <c r="AF330" s="11">
        <v>663</v>
      </c>
      <c r="AG330" s="13">
        <v>14598.28</v>
      </c>
      <c r="AH330" s="11">
        <v>24</v>
      </c>
      <c r="AI330" s="11"/>
      <c r="AJ330" s="13"/>
      <c r="AK330" s="11"/>
      <c r="AL330" s="12"/>
      <c r="AM330" s="12"/>
      <c r="AN330" s="11">
        <v>1023</v>
      </c>
      <c r="AO330" s="13">
        <v>24321.13</v>
      </c>
      <c r="AP330" s="11">
        <v>24</v>
      </c>
      <c r="AQ330" s="11"/>
      <c r="AR330" s="13"/>
      <c r="AS330" s="11"/>
      <c r="AT330" s="12"/>
      <c r="AU330" s="12"/>
      <c r="AV330" s="11">
        <v>334</v>
      </c>
      <c r="AW330" s="13">
        <v>8341.95</v>
      </c>
      <c r="AX330" s="11">
        <v>19</v>
      </c>
      <c r="AY330" s="11"/>
      <c r="AZ330" s="13"/>
      <c r="BA330" s="11"/>
      <c r="BB330" s="12"/>
      <c r="BC330" s="12"/>
      <c r="BD330" s="11">
        <v>907</v>
      </c>
      <c r="BE330" s="13">
        <v>22588.73</v>
      </c>
      <c r="BF330" s="11">
        <v>24</v>
      </c>
      <c r="BG330" s="11"/>
      <c r="BH330" s="13"/>
      <c r="BI330" s="11"/>
      <c r="BJ330" s="12"/>
      <c r="BK330" s="12"/>
      <c r="BL330" s="11">
        <v>77</v>
      </c>
      <c r="BM330" s="13">
        <v>2008.99</v>
      </c>
      <c r="BN330" s="11">
        <v>24</v>
      </c>
      <c r="BO330" s="11"/>
      <c r="BP330" s="13"/>
      <c r="BQ330" s="11"/>
      <c r="BR330" s="12"/>
      <c r="BS330" s="12"/>
      <c r="BT330" s="11">
        <v>18</v>
      </c>
      <c r="BU330" s="13">
        <v>566.91</v>
      </c>
      <c r="BV330" s="11">
        <v>24</v>
      </c>
      <c r="BW330" s="11"/>
      <c r="BX330" s="13"/>
      <c r="BY330" s="11"/>
      <c r="BZ330" s="12"/>
      <c r="CA330" s="12"/>
      <c r="CB330" s="11">
        <v>323</v>
      </c>
      <c r="CC330" s="13">
        <v>7405.32</v>
      </c>
      <c r="CD330" s="11">
        <v>24</v>
      </c>
      <c r="CE330" s="11"/>
      <c r="CF330" s="13"/>
      <c r="CG330" s="11"/>
      <c r="CH330" s="12"/>
      <c r="CI330" s="12"/>
      <c r="CJ330" s="11"/>
      <c r="CK330" s="13"/>
      <c r="CL330" s="11"/>
      <c r="CM330" s="11"/>
      <c r="CN330" s="13"/>
      <c r="CO330" s="11"/>
      <c r="CP330" s="12"/>
      <c r="CQ330" s="12"/>
      <c r="CR330" s="11"/>
      <c r="CS330" s="13"/>
      <c r="CT330" s="11"/>
      <c r="CU330" s="11"/>
      <c r="CV330" s="13"/>
      <c r="CW330" s="11"/>
      <c r="CX330" s="12"/>
      <c r="CY330" s="12"/>
      <c r="CZ330" s="11"/>
      <c r="DA330" s="13"/>
      <c r="DB330" s="11"/>
      <c r="DC330" s="11"/>
      <c r="DD330" s="13"/>
      <c r="DE330" s="11"/>
      <c r="DF330" s="12"/>
      <c r="DG330" s="12"/>
      <c r="DH330" s="11">
        <v>10</v>
      </c>
      <c r="DI330" s="13">
        <v>289.76</v>
      </c>
      <c r="DJ330" s="11">
        <v>15</v>
      </c>
      <c r="DK330" s="11"/>
      <c r="DL330" s="13"/>
      <c r="DM330" s="11"/>
      <c r="DN330" s="12"/>
      <c r="DO330" s="12"/>
      <c r="DP330" s="11">
        <v>79</v>
      </c>
      <c r="DQ330" s="13">
        <v>2115.06</v>
      </c>
      <c r="DR330" s="11">
        <v>24</v>
      </c>
      <c r="DS330" s="11"/>
      <c r="DT330" s="13"/>
      <c r="DU330" s="11"/>
      <c r="DV330" s="12"/>
      <c r="DW330" s="12"/>
      <c r="DX330" s="11">
        <v>3</v>
      </c>
      <c r="DY330" s="13">
        <v>82.47</v>
      </c>
      <c r="DZ330" s="11">
        <v>24</v>
      </c>
      <c r="EA330" s="11"/>
      <c r="EB330" s="13"/>
      <c r="EC330" s="11"/>
      <c r="ED330" s="12"/>
      <c r="EE330" s="12"/>
      <c r="EF330" s="11"/>
      <c r="EG330" s="13"/>
      <c r="EH330" s="11"/>
      <c r="EI330" s="11"/>
      <c r="EJ330" s="13"/>
      <c r="EK330" s="11"/>
      <c r="EL330" s="12"/>
      <c r="EM330" s="12"/>
      <c r="EN330" s="11">
        <v>10</v>
      </c>
      <c r="EO330" s="13">
        <v>401.9</v>
      </c>
      <c r="EP330" s="11">
        <v>24</v>
      </c>
      <c r="EQ330" s="11"/>
      <c r="ER330" s="13"/>
      <c r="ES330" s="11"/>
      <c r="ET330" s="12"/>
      <c r="EU330" s="12"/>
      <c r="EV330" s="11">
        <v>18</v>
      </c>
      <c r="EW330" s="13">
        <v>511.32</v>
      </c>
      <c r="EX330" s="11">
        <v>2</v>
      </c>
      <c r="EY330" s="11"/>
      <c r="EZ330" s="13"/>
      <c r="FA330" s="11"/>
      <c r="FB330" s="12"/>
      <c r="FC330" s="12"/>
      <c r="FD330" s="11">
        <v>11</v>
      </c>
      <c r="FE330" s="13">
        <v>259.47</v>
      </c>
      <c r="FF330" s="11">
        <v>24</v>
      </c>
      <c r="FG330" s="11"/>
      <c r="FH330" s="13"/>
      <c r="FI330" s="11"/>
      <c r="FJ330" s="12"/>
      <c r="FK330" s="12"/>
      <c r="FL330" s="11"/>
      <c r="FM330" s="13"/>
      <c r="FN330" s="11"/>
      <c r="FO330" s="11"/>
      <c r="FP330" s="13"/>
      <c r="FQ330" s="11"/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/>
      <c r="GC330" s="13"/>
      <c r="GD330" s="11"/>
      <c r="GE330" s="11"/>
      <c r="GF330" s="13"/>
      <c r="GG330" s="11"/>
      <c r="GH330" s="12"/>
      <c r="GI330" s="12"/>
      <c r="GJ330" s="11"/>
      <c r="GK330" s="13"/>
      <c r="GL330" s="11"/>
      <c r="GM330" s="11"/>
      <c r="GN330" s="13"/>
      <c r="GO330" s="11"/>
      <c r="GP330" s="12"/>
      <c r="GQ330" s="12"/>
      <c r="GR330" s="11">
        <v>3</v>
      </c>
      <c r="GS330" s="13">
        <v>86.55</v>
      </c>
      <c r="GT330" s="11">
        <v>24</v>
      </c>
      <c r="GU330" s="11"/>
      <c r="GV330" s="13"/>
      <c r="GW330" s="11"/>
      <c r="GX330" s="12"/>
      <c r="GY330" s="12"/>
      <c r="GZ330" s="11">
        <v>9</v>
      </c>
      <c r="HA330" s="13">
        <v>259.2</v>
      </c>
      <c r="HB330" s="11">
        <v>9</v>
      </c>
      <c r="HC330" s="11"/>
      <c r="HD330" s="13"/>
      <c r="HE330" s="11"/>
      <c r="HF330" s="12"/>
      <c r="HG330" s="12"/>
      <c r="HH330" s="11"/>
      <c r="HI330" s="13"/>
      <c r="HJ330" s="11"/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>
        <v>1</v>
      </c>
      <c r="IW330" s="13">
        <v>18.05</v>
      </c>
      <c r="IX330" s="11">
        <v>12</v>
      </c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/>
      <c r="JP330" s="13"/>
      <c r="JQ330" s="11"/>
      <c r="JR330" s="12"/>
      <c r="JS330" s="12"/>
      <c r="JT330" s="11"/>
      <c r="JU330" s="13"/>
      <c r="JV330" s="11"/>
      <c r="JW330" s="11"/>
      <c r="JX330" s="13"/>
      <c r="JY330" s="11"/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  <c r="LH330" s="11"/>
      <c r="LI330" s="13"/>
      <c r="LJ330" s="11"/>
      <c r="LK330" s="11"/>
      <c r="LL330" s="13"/>
      <c r="LM330" s="11"/>
      <c r="LN330" s="12"/>
      <c r="LO330" s="12"/>
      <c r="LP330" s="11"/>
      <c r="LQ330" s="13"/>
      <c r="LR330" s="11"/>
      <c r="LS330" s="11"/>
      <c r="LT330" s="13"/>
      <c r="LU330" s="11"/>
      <c r="LV330" s="12"/>
      <c r="LW330" s="12"/>
    </row>
    <row r="331">
      <c r="A331" s="10" t="s">
        <v>193</v>
      </c>
      <c r="B331" s="10" t="s">
        <v>136</v>
      </c>
      <c r="C331" s="10" t="s">
        <v>74</v>
      </c>
      <c r="D331" s="11">
        <v>24219</v>
      </c>
      <c r="E331" s="11">
        <f>=ROUNDDOWN(41.6778523489933,0)</f>
      </c>
      <c r="F331" s="11">
        <v>1400</v>
      </c>
      <c r="G331" s="12">
        <v>0.9058</v>
      </c>
      <c r="H331" s="11"/>
      <c r="I331" s="11">
        <f>=ROUNDDOWN({0},0)</f>
      </c>
      <c r="J331" s="11"/>
      <c r="K331" s="12"/>
      <c r="L331" s="11">
        <v>3453</v>
      </c>
      <c r="M331" s="13">
        <v>158134.92</v>
      </c>
      <c r="N331" s="11">
        <v>54</v>
      </c>
      <c r="O331" s="14">
        <v>2928.42</v>
      </c>
      <c r="P331" s="11"/>
      <c r="Q331" s="13"/>
      <c r="R331" s="11"/>
      <c r="S331" s="14"/>
      <c r="T331" s="12"/>
      <c r="U331" s="12"/>
      <c r="V331" s="12"/>
      <c r="W331" s="12"/>
      <c r="X331" s="11">
        <v>1642</v>
      </c>
      <c r="Y331" s="13">
        <v>73071.09</v>
      </c>
      <c r="Z331" s="11">
        <v>45</v>
      </c>
      <c r="AA331" s="11"/>
      <c r="AB331" s="13"/>
      <c r="AC331" s="11"/>
      <c r="AD331" s="12"/>
      <c r="AE331" s="12"/>
      <c r="AF331" s="11">
        <v>271</v>
      </c>
      <c r="AG331" s="13">
        <v>11901.01</v>
      </c>
      <c r="AH331" s="11">
        <v>54</v>
      </c>
      <c r="AI331" s="11"/>
      <c r="AJ331" s="13"/>
      <c r="AK331" s="11"/>
      <c r="AL331" s="12"/>
      <c r="AM331" s="12"/>
      <c r="AN331" s="11">
        <v>613</v>
      </c>
      <c r="AO331" s="13">
        <v>27722.53</v>
      </c>
      <c r="AP331" s="11">
        <v>54</v>
      </c>
      <c r="AQ331" s="11"/>
      <c r="AR331" s="13"/>
      <c r="AS331" s="11"/>
      <c r="AT331" s="12"/>
      <c r="AU331" s="12"/>
      <c r="AV331" s="11">
        <v>176</v>
      </c>
      <c r="AW331" s="13">
        <v>8338.54</v>
      </c>
      <c r="AX331" s="11">
        <v>32</v>
      </c>
      <c r="AY331" s="11"/>
      <c r="AZ331" s="13"/>
      <c r="BA331" s="11"/>
      <c r="BB331" s="12"/>
      <c r="BC331" s="12"/>
      <c r="BD331" s="11">
        <v>370</v>
      </c>
      <c r="BE331" s="13">
        <v>18054.43</v>
      </c>
      <c r="BF331" s="11">
        <v>40</v>
      </c>
      <c r="BG331" s="11"/>
      <c r="BH331" s="13"/>
      <c r="BI331" s="11"/>
      <c r="BJ331" s="12"/>
      <c r="BK331" s="12"/>
      <c r="BL331" s="11">
        <v>142</v>
      </c>
      <c r="BM331" s="13">
        <v>7894.57</v>
      </c>
      <c r="BN331" s="11">
        <v>54</v>
      </c>
      <c r="BO331" s="11"/>
      <c r="BP331" s="13"/>
      <c r="BQ331" s="11"/>
      <c r="BR331" s="12"/>
      <c r="BS331" s="12"/>
      <c r="BT331" s="11">
        <v>44</v>
      </c>
      <c r="BU331" s="13">
        <v>2222.16</v>
      </c>
      <c r="BV331" s="11">
        <v>54</v>
      </c>
      <c r="BW331" s="11"/>
      <c r="BX331" s="13"/>
      <c r="BY331" s="11"/>
      <c r="BZ331" s="12"/>
      <c r="CA331" s="12"/>
      <c r="CB331" s="11">
        <v>47</v>
      </c>
      <c r="CC331" s="13">
        <v>1823.61</v>
      </c>
      <c r="CD331" s="11">
        <v>34</v>
      </c>
      <c r="CE331" s="11"/>
      <c r="CF331" s="13"/>
      <c r="CG331" s="11"/>
      <c r="CH331" s="12"/>
      <c r="CI331" s="12"/>
      <c r="CJ331" s="11"/>
      <c r="CK331" s="13"/>
      <c r="CL331" s="11">
        <v>4</v>
      </c>
      <c r="CM331" s="11"/>
      <c r="CN331" s="13"/>
      <c r="CO331" s="11"/>
      <c r="CP331" s="12"/>
      <c r="CQ331" s="12"/>
      <c r="CR331" s="11"/>
      <c r="CS331" s="13"/>
      <c r="CT331" s="11"/>
      <c r="CU331" s="11"/>
      <c r="CV331" s="13"/>
      <c r="CW331" s="11"/>
      <c r="CX331" s="12"/>
      <c r="CY331" s="12"/>
      <c r="CZ331" s="11"/>
      <c r="DA331" s="13"/>
      <c r="DB331" s="11"/>
      <c r="DC331" s="11"/>
      <c r="DD331" s="13"/>
      <c r="DE331" s="11"/>
      <c r="DF331" s="12"/>
      <c r="DG331" s="12"/>
      <c r="DH331" s="11">
        <v>10</v>
      </c>
      <c r="DI331" s="13">
        <v>349.59</v>
      </c>
      <c r="DJ331" s="11">
        <v>14</v>
      </c>
      <c r="DK331" s="11"/>
      <c r="DL331" s="13"/>
      <c r="DM331" s="11"/>
      <c r="DN331" s="12"/>
      <c r="DO331" s="12"/>
      <c r="DP331" s="11">
        <v>41</v>
      </c>
      <c r="DQ331" s="13">
        <v>1888.85</v>
      </c>
      <c r="DR331" s="11">
        <v>40</v>
      </c>
      <c r="DS331" s="11"/>
      <c r="DT331" s="13"/>
      <c r="DU331" s="11"/>
      <c r="DV331" s="12"/>
      <c r="DW331" s="12"/>
      <c r="DX331" s="11">
        <v>29</v>
      </c>
      <c r="DY331" s="13">
        <v>914.65</v>
      </c>
      <c r="DZ331" s="11">
        <v>40</v>
      </c>
      <c r="EA331" s="11"/>
      <c r="EB331" s="13"/>
      <c r="EC331" s="11"/>
      <c r="ED331" s="12"/>
      <c r="EE331" s="12"/>
      <c r="EF331" s="11"/>
      <c r="EG331" s="13"/>
      <c r="EH331" s="11"/>
      <c r="EI331" s="11"/>
      <c r="EJ331" s="13"/>
      <c r="EK331" s="11"/>
      <c r="EL331" s="12"/>
      <c r="EM331" s="12"/>
      <c r="EN331" s="11">
        <v>12</v>
      </c>
      <c r="EO331" s="13">
        <v>868.38</v>
      </c>
      <c r="EP331" s="11">
        <v>54</v>
      </c>
      <c r="EQ331" s="11"/>
      <c r="ER331" s="13"/>
      <c r="ES331" s="11"/>
      <c r="ET331" s="12"/>
      <c r="EU331" s="12"/>
      <c r="EV331" s="11">
        <v>11</v>
      </c>
      <c r="EW331" s="13">
        <v>478.02</v>
      </c>
      <c r="EX331" s="11">
        <v>15</v>
      </c>
      <c r="EY331" s="11"/>
      <c r="EZ331" s="13"/>
      <c r="FA331" s="11"/>
      <c r="FB331" s="12"/>
      <c r="FC331" s="12"/>
      <c r="FD331" s="11">
        <v>15</v>
      </c>
      <c r="FE331" s="13">
        <v>910.88</v>
      </c>
      <c r="FF331" s="11">
        <v>23</v>
      </c>
      <c r="FG331" s="11"/>
      <c r="FH331" s="13"/>
      <c r="FI331" s="11"/>
      <c r="FJ331" s="12"/>
      <c r="FK331" s="12"/>
      <c r="FL331" s="11"/>
      <c r="FM331" s="13"/>
      <c r="FN331" s="11"/>
      <c r="FO331" s="11"/>
      <c r="FP331" s="13"/>
      <c r="FQ331" s="11"/>
      <c r="FR331" s="12"/>
      <c r="FS331" s="12"/>
      <c r="FT331" s="11"/>
      <c r="FU331" s="13"/>
      <c r="FV331" s="11"/>
      <c r="FW331" s="11"/>
      <c r="FX331" s="13"/>
      <c r="FY331" s="11"/>
      <c r="FZ331" s="12"/>
      <c r="GA331" s="12"/>
      <c r="GB331" s="11"/>
      <c r="GC331" s="13"/>
      <c r="GD331" s="11"/>
      <c r="GE331" s="11"/>
      <c r="GF331" s="13"/>
      <c r="GG331" s="11"/>
      <c r="GH331" s="12"/>
      <c r="GI331" s="12"/>
      <c r="GJ331" s="11"/>
      <c r="GK331" s="13"/>
      <c r="GL331" s="11"/>
      <c r="GM331" s="11"/>
      <c r="GN331" s="13"/>
      <c r="GO331" s="11"/>
      <c r="GP331" s="12"/>
      <c r="GQ331" s="12"/>
      <c r="GR331" s="11">
        <v>1</v>
      </c>
      <c r="GS331" s="13">
        <v>64.01</v>
      </c>
      <c r="GT331" s="11">
        <v>54</v>
      </c>
      <c r="GU331" s="11"/>
      <c r="GV331" s="13"/>
      <c r="GW331" s="11"/>
      <c r="GX331" s="12"/>
      <c r="GY331" s="12"/>
      <c r="GZ331" s="11">
        <v>29</v>
      </c>
      <c r="HA331" s="13">
        <v>1632.6</v>
      </c>
      <c r="HB331" s="11">
        <v>15</v>
      </c>
      <c r="HC331" s="11"/>
      <c r="HD331" s="13"/>
      <c r="HE331" s="11"/>
      <c r="HF331" s="12"/>
      <c r="HG331" s="12"/>
      <c r="HH331" s="11"/>
      <c r="HI331" s="13"/>
      <c r="HJ331" s="11"/>
      <c r="HK331" s="11"/>
      <c r="HL331" s="13"/>
      <c r="HM331" s="11"/>
      <c r="HN331" s="12"/>
      <c r="HO331" s="12"/>
      <c r="HP331" s="11"/>
      <c r="HQ331" s="13"/>
      <c r="HR331" s="11"/>
      <c r="HS331" s="11"/>
      <c r="HT331" s="13"/>
      <c r="HU331" s="11"/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>
        <v>9</v>
      </c>
      <c r="IQ331" s="11"/>
      <c r="IR331" s="13"/>
      <c r="IS331" s="11"/>
      <c r="IT331" s="12"/>
      <c r="IU331" s="12"/>
      <c r="IV331" s="11"/>
      <c r="IW331" s="13"/>
      <c r="IX331" s="11">
        <v>9</v>
      </c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/>
      <c r="JO331" s="11"/>
      <c r="JP331" s="13"/>
      <c r="JQ331" s="11"/>
      <c r="JR331" s="12"/>
      <c r="JS331" s="12"/>
      <c r="JT331" s="11"/>
      <c r="JU331" s="13"/>
      <c r="JV331" s="11"/>
      <c r="JW331" s="11"/>
      <c r="JX331" s="13"/>
      <c r="JY331" s="11"/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/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  <c r="LH331" s="11"/>
      <c r="LI331" s="13"/>
      <c r="LJ331" s="11"/>
      <c r="LK331" s="11"/>
      <c r="LL331" s="13"/>
      <c r="LM331" s="11"/>
      <c r="LN331" s="12"/>
      <c r="LO331" s="12"/>
      <c r="LP331" s="11"/>
      <c r="LQ331" s="13"/>
      <c r="LR331" s="11"/>
      <c r="LS331" s="11"/>
      <c r="LT331" s="13"/>
      <c r="LU331" s="11"/>
      <c r="LV331" s="12"/>
      <c r="LW331" s="12"/>
    </row>
    <row r="332">
      <c r="A332" s="10" t="s">
        <v>193</v>
      </c>
      <c r="B332" s="10" t="s">
        <v>136</v>
      </c>
      <c r="C332" s="10" t="s">
        <v>75</v>
      </c>
      <c r="D332" s="11">
        <v>2245</v>
      </c>
      <c r="E332" s="11">
        <f>=ROUNDDOWN(15.9219858156028,0)</f>
      </c>
      <c r="F332" s="11"/>
      <c r="G332" s="12">
        <v>1</v>
      </c>
      <c r="H332" s="11"/>
      <c r="I332" s="11">
        <f>=ROUNDDOWN({0},0)</f>
      </c>
      <c r="J332" s="11"/>
      <c r="K332" s="12"/>
      <c r="L332" s="11">
        <v>901</v>
      </c>
      <c r="M332" s="13">
        <v>43672.95</v>
      </c>
      <c r="N332" s="11">
        <v>6</v>
      </c>
      <c r="O332" s="14">
        <v>7278.82</v>
      </c>
      <c r="P332" s="11"/>
      <c r="Q332" s="13"/>
      <c r="R332" s="11"/>
      <c r="S332" s="14"/>
      <c r="T332" s="12"/>
      <c r="U332" s="12"/>
      <c r="V332" s="12"/>
      <c r="W332" s="12"/>
      <c r="X332" s="11">
        <v>253</v>
      </c>
      <c r="Y332" s="13">
        <v>13046.67</v>
      </c>
      <c r="Z332" s="11">
        <v>6</v>
      </c>
      <c r="AA332" s="11"/>
      <c r="AB332" s="13"/>
      <c r="AC332" s="11"/>
      <c r="AD332" s="12"/>
      <c r="AE332" s="12"/>
      <c r="AF332" s="11">
        <v>158</v>
      </c>
      <c r="AG332" s="13">
        <v>6150.14</v>
      </c>
      <c r="AH332" s="11">
        <v>6</v>
      </c>
      <c r="AI332" s="11"/>
      <c r="AJ332" s="13"/>
      <c r="AK332" s="11"/>
      <c r="AL332" s="12"/>
      <c r="AM332" s="12"/>
      <c r="AN332" s="11">
        <v>65</v>
      </c>
      <c r="AO332" s="13">
        <v>2662.46</v>
      </c>
      <c r="AP332" s="11">
        <v>6</v>
      </c>
      <c r="AQ332" s="11"/>
      <c r="AR332" s="13"/>
      <c r="AS332" s="11"/>
      <c r="AT332" s="12"/>
      <c r="AU332" s="12"/>
      <c r="AV332" s="11">
        <v>28</v>
      </c>
      <c r="AW332" s="13">
        <v>1350.03</v>
      </c>
      <c r="AX332" s="11">
        <v>6</v>
      </c>
      <c r="AY332" s="11"/>
      <c r="AZ332" s="13"/>
      <c r="BA332" s="11"/>
      <c r="BB332" s="12"/>
      <c r="BC332" s="12"/>
      <c r="BD332" s="11">
        <v>51</v>
      </c>
      <c r="BE332" s="13">
        <v>2575.28</v>
      </c>
      <c r="BF332" s="11">
        <v>6</v>
      </c>
      <c r="BG332" s="11"/>
      <c r="BH332" s="13"/>
      <c r="BI332" s="11"/>
      <c r="BJ332" s="12"/>
      <c r="BK332" s="12"/>
      <c r="BL332" s="11">
        <v>273</v>
      </c>
      <c r="BM332" s="13">
        <v>14192.07</v>
      </c>
      <c r="BN332" s="11">
        <v>6</v>
      </c>
      <c r="BO332" s="11"/>
      <c r="BP332" s="13"/>
      <c r="BQ332" s="11"/>
      <c r="BR332" s="12"/>
      <c r="BS332" s="12"/>
      <c r="BT332" s="11">
        <v>28</v>
      </c>
      <c r="BU332" s="13">
        <v>1437.92</v>
      </c>
      <c r="BV332" s="11">
        <v>6</v>
      </c>
      <c r="BW332" s="11"/>
      <c r="BX332" s="13"/>
      <c r="BY332" s="11"/>
      <c r="BZ332" s="12"/>
      <c r="CA332" s="12"/>
      <c r="CB332" s="11">
        <v>26</v>
      </c>
      <c r="CC332" s="13">
        <v>1318.79</v>
      </c>
      <c r="CD332" s="11">
        <v>6</v>
      </c>
      <c r="CE332" s="11"/>
      <c r="CF332" s="13"/>
      <c r="CG332" s="11"/>
      <c r="CH332" s="12"/>
      <c r="CI332" s="12"/>
      <c r="CJ332" s="11"/>
      <c r="CK332" s="13"/>
      <c r="CL332" s="11"/>
      <c r="CM332" s="11"/>
      <c r="CN332" s="13"/>
      <c r="CO332" s="11"/>
      <c r="CP332" s="12"/>
      <c r="CQ332" s="12"/>
      <c r="CR332" s="11"/>
      <c r="CS332" s="13"/>
      <c r="CT332" s="11"/>
      <c r="CU332" s="11"/>
      <c r="CV332" s="13"/>
      <c r="CW332" s="11"/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>
        <v>2</v>
      </c>
      <c r="DI332" s="13">
        <v>67.34</v>
      </c>
      <c r="DJ332" s="11">
        <v>4</v>
      </c>
      <c r="DK332" s="11"/>
      <c r="DL332" s="13"/>
      <c r="DM332" s="11"/>
      <c r="DN332" s="12"/>
      <c r="DO332" s="12"/>
      <c r="DP332" s="11">
        <v>7</v>
      </c>
      <c r="DQ332" s="13">
        <v>363.97</v>
      </c>
      <c r="DR332" s="11">
        <v>6</v>
      </c>
      <c r="DS332" s="11"/>
      <c r="DT332" s="13"/>
      <c r="DU332" s="11"/>
      <c r="DV332" s="12"/>
      <c r="DW332" s="12"/>
      <c r="DX332" s="11">
        <v>9</v>
      </c>
      <c r="DY332" s="13">
        <v>456.66</v>
      </c>
      <c r="DZ332" s="11">
        <v>2</v>
      </c>
      <c r="EA332" s="11"/>
      <c r="EB332" s="13"/>
      <c r="EC332" s="11"/>
      <c r="ED332" s="12"/>
      <c r="EE332" s="12"/>
      <c r="EF332" s="11"/>
      <c r="EG332" s="13"/>
      <c r="EH332" s="11"/>
      <c r="EI332" s="11"/>
      <c r="EJ332" s="13"/>
      <c r="EK332" s="11"/>
      <c r="EL332" s="12"/>
      <c r="EM332" s="12"/>
      <c r="EN332" s="11"/>
      <c r="EO332" s="13"/>
      <c r="EP332" s="11">
        <v>6</v>
      </c>
      <c r="EQ332" s="11"/>
      <c r="ER332" s="13"/>
      <c r="ES332" s="11"/>
      <c r="ET332" s="12"/>
      <c r="EU332" s="12"/>
      <c r="EV332" s="11">
        <v>1</v>
      </c>
      <c r="EW332" s="13">
        <v>51.62</v>
      </c>
      <c r="EX332" s="11">
        <v>4</v>
      </c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/>
      <c r="GE332" s="11"/>
      <c r="GF332" s="13"/>
      <c r="GG332" s="11"/>
      <c r="GH332" s="12"/>
      <c r="GI332" s="12"/>
      <c r="GJ332" s="11"/>
      <c r="GK332" s="13"/>
      <c r="GL332" s="11"/>
      <c r="GM332" s="11"/>
      <c r="GN332" s="13"/>
      <c r="GO332" s="11"/>
      <c r="GP332" s="12"/>
      <c r="GQ332" s="12"/>
      <c r="GR332" s="11"/>
      <c r="GS332" s="13"/>
      <c r="GT332" s="11">
        <v>6</v>
      </c>
      <c r="GU332" s="11"/>
      <c r="GV332" s="13"/>
      <c r="GW332" s="11"/>
      <c r="GX332" s="12"/>
      <c r="GY332" s="12"/>
      <c r="GZ332" s="11"/>
      <c r="HA332" s="13"/>
      <c r="HB332" s="11"/>
      <c r="HC332" s="11"/>
      <c r="HD332" s="13"/>
      <c r="HE332" s="11"/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/>
      <c r="JR332" s="12"/>
      <c r="JS332" s="12"/>
      <c r="JT332" s="11"/>
      <c r="JU332" s="13"/>
      <c r="JV332" s="11"/>
      <c r="JW332" s="11"/>
      <c r="JX332" s="13"/>
      <c r="JY332" s="11"/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  <c r="LH332" s="11"/>
      <c r="LI332" s="13"/>
      <c r="LJ332" s="11"/>
      <c r="LK332" s="11"/>
      <c r="LL332" s="13"/>
      <c r="LM332" s="11"/>
      <c r="LN332" s="12"/>
      <c r="LO332" s="12"/>
      <c r="LP332" s="11"/>
      <c r="LQ332" s="13"/>
      <c r="LR332" s="11"/>
      <c r="LS332" s="11"/>
      <c r="LT332" s="13"/>
      <c r="LU332" s="11"/>
      <c r="LV332" s="12"/>
      <c r="LW332" s="12"/>
    </row>
    <row r="333">
      <c r="A333" s="10" t="s">
        <v>193</v>
      </c>
      <c r="B333" s="10" t="s">
        <v>136</v>
      </c>
      <c r="C333" s="10" t="s">
        <v>197</v>
      </c>
      <c r="D333" s="11">
        <v>846</v>
      </c>
      <c r="E333" s="11">
        <f>=ROUNDDOWN(6.0863309352518,0)</f>
      </c>
      <c r="F333" s="11"/>
      <c r="G333" s="12"/>
      <c r="H333" s="11"/>
      <c r="I333" s="11">
        <f>=ROUNDDOWN({0},0)</f>
      </c>
      <c r="J333" s="11"/>
      <c r="K333" s="12"/>
      <c r="L333" s="11">
        <v>604</v>
      </c>
      <c r="M333" s="13">
        <v>36259.34</v>
      </c>
      <c r="N333" s="11">
        <v>6</v>
      </c>
      <c r="O333" s="14">
        <v>6043.22</v>
      </c>
      <c r="P333" s="11"/>
      <c r="Q333" s="13"/>
      <c r="R333" s="11"/>
      <c r="S333" s="14"/>
      <c r="T333" s="12"/>
      <c r="U333" s="12"/>
      <c r="V333" s="12"/>
      <c r="W333" s="12"/>
      <c r="X333" s="11">
        <v>23</v>
      </c>
      <c r="Y333" s="13">
        <v>914.02</v>
      </c>
      <c r="Z333" s="11">
        <v>1</v>
      </c>
      <c r="AA333" s="11"/>
      <c r="AB333" s="13"/>
      <c r="AC333" s="11"/>
      <c r="AD333" s="12"/>
      <c r="AE333" s="12"/>
      <c r="AF333" s="11">
        <v>53</v>
      </c>
      <c r="AG333" s="13">
        <v>2827.51</v>
      </c>
      <c r="AH333" s="11">
        <v>6</v>
      </c>
      <c r="AI333" s="11"/>
      <c r="AJ333" s="13"/>
      <c r="AK333" s="11"/>
      <c r="AL333" s="12"/>
      <c r="AM333" s="12"/>
      <c r="AN333" s="11">
        <v>141</v>
      </c>
      <c r="AO333" s="13">
        <v>7863.24</v>
      </c>
      <c r="AP333" s="11">
        <v>6</v>
      </c>
      <c r="AQ333" s="11"/>
      <c r="AR333" s="13"/>
      <c r="AS333" s="11"/>
      <c r="AT333" s="12"/>
      <c r="AU333" s="12"/>
      <c r="AV333" s="11">
        <v>25</v>
      </c>
      <c r="AW333" s="13">
        <v>1960.98</v>
      </c>
      <c r="AX333" s="11">
        <v>6</v>
      </c>
      <c r="AY333" s="11"/>
      <c r="AZ333" s="13"/>
      <c r="BA333" s="11"/>
      <c r="BB333" s="12"/>
      <c r="BC333" s="12"/>
      <c r="BD333" s="11">
        <v>28</v>
      </c>
      <c r="BE333" s="13">
        <v>1956.21</v>
      </c>
      <c r="BF333" s="11">
        <v>6</v>
      </c>
      <c r="BG333" s="11"/>
      <c r="BH333" s="13"/>
      <c r="BI333" s="11"/>
      <c r="BJ333" s="12"/>
      <c r="BK333" s="12"/>
      <c r="BL333" s="11">
        <v>76</v>
      </c>
      <c r="BM333" s="13">
        <v>5317.72</v>
      </c>
      <c r="BN333" s="11">
        <v>6</v>
      </c>
      <c r="BO333" s="11"/>
      <c r="BP333" s="13"/>
      <c r="BQ333" s="11"/>
      <c r="BR333" s="12"/>
      <c r="BS333" s="12"/>
      <c r="BT333" s="11">
        <v>28</v>
      </c>
      <c r="BU333" s="13">
        <v>1931.3</v>
      </c>
      <c r="BV333" s="11">
        <v>6</v>
      </c>
      <c r="BW333" s="11"/>
      <c r="BX333" s="13"/>
      <c r="BY333" s="11"/>
      <c r="BZ333" s="12"/>
      <c r="CA333" s="12"/>
      <c r="CB333" s="11">
        <v>73</v>
      </c>
      <c r="CC333" s="13">
        <v>4375.24</v>
      </c>
      <c r="CD333" s="11">
        <v>6</v>
      </c>
      <c r="CE333" s="11"/>
      <c r="CF333" s="13"/>
      <c r="CG333" s="11"/>
      <c r="CH333" s="12"/>
      <c r="CI333" s="12"/>
      <c r="CJ333" s="11"/>
      <c r="CK333" s="13"/>
      <c r="CL333" s="11"/>
      <c r="CM333" s="11"/>
      <c r="CN333" s="13"/>
      <c r="CO333" s="11"/>
      <c r="CP333" s="12"/>
      <c r="CQ333" s="12"/>
      <c r="CR333" s="11"/>
      <c r="CS333" s="13"/>
      <c r="CT333" s="11"/>
      <c r="CU333" s="11"/>
      <c r="CV333" s="13"/>
      <c r="CW333" s="11"/>
      <c r="CX333" s="12"/>
      <c r="CY333" s="12"/>
      <c r="CZ333" s="11"/>
      <c r="DA333" s="13"/>
      <c r="DB333" s="11"/>
      <c r="DC333" s="11"/>
      <c r="DD333" s="13"/>
      <c r="DE333" s="11"/>
      <c r="DF333" s="12"/>
      <c r="DG333" s="12"/>
      <c r="DH333" s="11">
        <v>1</v>
      </c>
      <c r="DI333" s="13">
        <v>59.53</v>
      </c>
      <c r="DJ333" s="11">
        <v>5</v>
      </c>
      <c r="DK333" s="11"/>
      <c r="DL333" s="13"/>
      <c r="DM333" s="11"/>
      <c r="DN333" s="12"/>
      <c r="DO333" s="12"/>
      <c r="DP333" s="11">
        <v>1</v>
      </c>
      <c r="DQ333" s="13">
        <v>81.42</v>
      </c>
      <c r="DR333" s="11">
        <v>6</v>
      </c>
      <c r="DS333" s="11"/>
      <c r="DT333" s="13"/>
      <c r="DU333" s="11"/>
      <c r="DV333" s="12"/>
      <c r="DW333" s="12"/>
      <c r="DX333" s="11">
        <v>117</v>
      </c>
      <c r="DY333" s="13">
        <v>5833.01</v>
      </c>
      <c r="DZ333" s="11">
        <v>6</v>
      </c>
      <c r="EA333" s="11"/>
      <c r="EB333" s="13"/>
      <c r="EC333" s="11"/>
      <c r="ED333" s="12"/>
      <c r="EE333" s="12"/>
      <c r="EF333" s="11"/>
      <c r="EG333" s="13"/>
      <c r="EH333" s="11"/>
      <c r="EI333" s="11"/>
      <c r="EJ333" s="13"/>
      <c r="EK333" s="11"/>
      <c r="EL333" s="12"/>
      <c r="EM333" s="12"/>
      <c r="EN333" s="11"/>
      <c r="EO333" s="13"/>
      <c r="EP333" s="11">
        <v>6</v>
      </c>
      <c r="EQ333" s="11"/>
      <c r="ER333" s="13"/>
      <c r="ES333" s="11"/>
      <c r="ET333" s="12"/>
      <c r="EU333" s="12"/>
      <c r="EV333" s="11">
        <v>37</v>
      </c>
      <c r="EW333" s="13">
        <v>3056</v>
      </c>
      <c r="EX333" s="11">
        <v>5</v>
      </c>
      <c r="EY333" s="11"/>
      <c r="EZ333" s="13"/>
      <c r="FA333" s="11"/>
      <c r="FB333" s="12"/>
      <c r="FC333" s="12"/>
      <c r="FD333" s="11"/>
      <c r="FE333" s="13"/>
      <c r="FF333" s="11"/>
      <c r="FG333" s="11"/>
      <c r="FH333" s="13"/>
      <c r="FI333" s="11"/>
      <c r="FJ333" s="12"/>
      <c r="FK333" s="12"/>
      <c r="FL333" s="11"/>
      <c r="FM333" s="13"/>
      <c r="FN333" s="11"/>
      <c r="FO333" s="11"/>
      <c r="FP333" s="13"/>
      <c r="FQ333" s="11"/>
      <c r="FR333" s="12"/>
      <c r="FS333" s="12"/>
      <c r="FT333" s="11"/>
      <c r="FU333" s="13"/>
      <c r="FV333" s="11"/>
      <c r="FW333" s="11"/>
      <c r="FX333" s="13"/>
      <c r="FY333" s="11"/>
      <c r="FZ333" s="12"/>
      <c r="GA333" s="12"/>
      <c r="GB333" s="11"/>
      <c r="GC333" s="13"/>
      <c r="GD333" s="11"/>
      <c r="GE333" s="11"/>
      <c r="GF333" s="13"/>
      <c r="GG333" s="11"/>
      <c r="GH333" s="12"/>
      <c r="GI333" s="12"/>
      <c r="GJ333" s="11"/>
      <c r="GK333" s="13"/>
      <c r="GL333" s="11"/>
      <c r="GM333" s="11"/>
      <c r="GN333" s="13"/>
      <c r="GO333" s="11"/>
      <c r="GP333" s="12"/>
      <c r="GQ333" s="12"/>
      <c r="GR333" s="11"/>
      <c r="GS333" s="13"/>
      <c r="GT333" s="11">
        <v>2</v>
      </c>
      <c r="GU333" s="11"/>
      <c r="GV333" s="13"/>
      <c r="GW333" s="11"/>
      <c r="GX333" s="12"/>
      <c r="GY333" s="12"/>
      <c r="GZ333" s="11">
        <v>1</v>
      </c>
      <c r="HA333" s="13">
        <v>83.16</v>
      </c>
      <c r="HB333" s="11">
        <v>5</v>
      </c>
      <c r="HC333" s="11"/>
      <c r="HD333" s="13"/>
      <c r="HE333" s="11"/>
      <c r="HF333" s="12"/>
      <c r="HG333" s="12"/>
      <c r="HH333" s="11"/>
      <c r="HI333" s="13"/>
      <c r="HJ333" s="11"/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/>
      <c r="JO333" s="11"/>
      <c r="JP333" s="13"/>
      <c r="JQ333" s="11"/>
      <c r="JR333" s="12"/>
      <c r="JS333" s="12"/>
      <c r="JT333" s="11"/>
      <c r="JU333" s="13"/>
      <c r="JV333" s="11"/>
      <c r="JW333" s="11"/>
      <c r="JX333" s="13"/>
      <c r="JY333" s="11"/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/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  <c r="LH333" s="11"/>
      <c r="LI333" s="13"/>
      <c r="LJ333" s="11"/>
      <c r="LK333" s="11"/>
      <c r="LL333" s="13"/>
      <c r="LM333" s="11"/>
      <c r="LN333" s="12"/>
      <c r="LO333" s="12"/>
      <c r="LP333" s="11"/>
      <c r="LQ333" s="13"/>
      <c r="LR333" s="11"/>
      <c r="LS333" s="11"/>
      <c r="LT333" s="13"/>
      <c r="LU333" s="11"/>
      <c r="LV333" s="12"/>
      <c r="LW333" s="12"/>
    </row>
    <row r="334">
      <c r="A334" s="10" t="s">
        <v>193</v>
      </c>
      <c r="B334" s="10" t="s">
        <v>136</v>
      </c>
      <c r="C334" s="10" t="s">
        <v>198</v>
      </c>
      <c r="D334" s="11">
        <v>18300</v>
      </c>
      <c r="E334" s="11">
        <f>=ROUNDDOWN(50.343878954608,0)</f>
      </c>
      <c r="F334" s="11">
        <v>4076</v>
      </c>
      <c r="G334" s="12"/>
      <c r="H334" s="11"/>
      <c r="I334" s="11">
        <f>=ROUNDDOWN({0},0)</f>
      </c>
      <c r="J334" s="11"/>
      <c r="K334" s="12"/>
      <c r="L334" s="11">
        <v>1012</v>
      </c>
      <c r="M334" s="13">
        <v>41325.57</v>
      </c>
      <c r="N334" s="11">
        <v>41</v>
      </c>
      <c r="O334" s="14">
        <v>1007.94</v>
      </c>
      <c r="P334" s="11"/>
      <c r="Q334" s="13"/>
      <c r="R334" s="11"/>
      <c r="S334" s="14"/>
      <c r="T334" s="12"/>
      <c r="U334" s="12"/>
      <c r="V334" s="12"/>
      <c r="W334" s="12"/>
      <c r="X334" s="11">
        <v>137</v>
      </c>
      <c r="Y334" s="13">
        <v>6248.77</v>
      </c>
      <c r="Z334" s="11">
        <v>34</v>
      </c>
      <c r="AA334" s="11"/>
      <c r="AB334" s="13"/>
      <c r="AC334" s="11"/>
      <c r="AD334" s="12"/>
      <c r="AE334" s="12"/>
      <c r="AF334" s="11">
        <v>28</v>
      </c>
      <c r="AG334" s="13">
        <v>1318.99</v>
      </c>
      <c r="AH334" s="11">
        <v>41</v>
      </c>
      <c r="AI334" s="11"/>
      <c r="AJ334" s="13"/>
      <c r="AK334" s="11"/>
      <c r="AL334" s="12"/>
      <c r="AM334" s="12"/>
      <c r="AN334" s="11">
        <v>520</v>
      </c>
      <c r="AO334" s="13">
        <v>14389.7</v>
      </c>
      <c r="AP334" s="11">
        <v>41</v>
      </c>
      <c r="AQ334" s="11"/>
      <c r="AR334" s="13"/>
      <c r="AS334" s="11"/>
      <c r="AT334" s="12"/>
      <c r="AU334" s="12"/>
      <c r="AV334" s="11">
        <v>13</v>
      </c>
      <c r="AW334" s="13">
        <v>989.88</v>
      </c>
      <c r="AX334" s="11">
        <v>22</v>
      </c>
      <c r="AY334" s="11"/>
      <c r="AZ334" s="13"/>
      <c r="BA334" s="11"/>
      <c r="BB334" s="12"/>
      <c r="BC334" s="12"/>
      <c r="BD334" s="11">
        <v>41</v>
      </c>
      <c r="BE334" s="13">
        <v>1971.33</v>
      </c>
      <c r="BF334" s="11">
        <v>41</v>
      </c>
      <c r="BG334" s="11"/>
      <c r="BH334" s="13"/>
      <c r="BI334" s="11"/>
      <c r="BJ334" s="12"/>
      <c r="BK334" s="12"/>
      <c r="BL334" s="11">
        <v>68</v>
      </c>
      <c r="BM334" s="13">
        <v>4088.91</v>
      </c>
      <c r="BN334" s="11">
        <v>41</v>
      </c>
      <c r="BO334" s="11"/>
      <c r="BP334" s="13"/>
      <c r="BQ334" s="11"/>
      <c r="BR334" s="12"/>
      <c r="BS334" s="12"/>
      <c r="BT334" s="11">
        <v>39</v>
      </c>
      <c r="BU334" s="13">
        <v>1832.59</v>
      </c>
      <c r="BV334" s="11">
        <v>41</v>
      </c>
      <c r="BW334" s="11"/>
      <c r="BX334" s="13"/>
      <c r="BY334" s="11"/>
      <c r="BZ334" s="12"/>
      <c r="CA334" s="12"/>
      <c r="CB334" s="11">
        <v>63</v>
      </c>
      <c r="CC334" s="13">
        <v>3139.77</v>
      </c>
      <c r="CD334" s="11">
        <v>41</v>
      </c>
      <c r="CE334" s="11"/>
      <c r="CF334" s="13"/>
      <c r="CG334" s="11"/>
      <c r="CH334" s="12"/>
      <c r="CI334" s="12"/>
      <c r="CJ334" s="11"/>
      <c r="CK334" s="13"/>
      <c r="CL334" s="11">
        <v>3</v>
      </c>
      <c r="CM334" s="11"/>
      <c r="CN334" s="13"/>
      <c r="CO334" s="11"/>
      <c r="CP334" s="12"/>
      <c r="CQ334" s="12"/>
      <c r="CR334" s="11"/>
      <c r="CS334" s="13"/>
      <c r="CT334" s="11"/>
      <c r="CU334" s="11"/>
      <c r="CV334" s="13"/>
      <c r="CW334" s="11"/>
      <c r="CX334" s="12"/>
      <c r="CY334" s="12"/>
      <c r="CZ334" s="11"/>
      <c r="DA334" s="13"/>
      <c r="DB334" s="11"/>
      <c r="DC334" s="11"/>
      <c r="DD334" s="13"/>
      <c r="DE334" s="11"/>
      <c r="DF334" s="12"/>
      <c r="DG334" s="12"/>
      <c r="DH334" s="11">
        <v>2</v>
      </c>
      <c r="DI334" s="13">
        <v>123.6</v>
      </c>
      <c r="DJ334" s="11">
        <v>1</v>
      </c>
      <c r="DK334" s="11"/>
      <c r="DL334" s="13"/>
      <c r="DM334" s="11"/>
      <c r="DN334" s="12"/>
      <c r="DO334" s="12"/>
      <c r="DP334" s="11">
        <v>15</v>
      </c>
      <c r="DQ334" s="13">
        <v>821.79</v>
      </c>
      <c r="DR334" s="11">
        <v>41</v>
      </c>
      <c r="DS334" s="11"/>
      <c r="DT334" s="13"/>
      <c r="DU334" s="11"/>
      <c r="DV334" s="12"/>
      <c r="DW334" s="12"/>
      <c r="DX334" s="11">
        <v>19</v>
      </c>
      <c r="DY334" s="13">
        <v>1365.79</v>
      </c>
      <c r="DZ334" s="11">
        <v>41</v>
      </c>
      <c r="EA334" s="11"/>
      <c r="EB334" s="13"/>
      <c r="EC334" s="11"/>
      <c r="ED334" s="12"/>
      <c r="EE334" s="12"/>
      <c r="EF334" s="11"/>
      <c r="EG334" s="13"/>
      <c r="EH334" s="11"/>
      <c r="EI334" s="11"/>
      <c r="EJ334" s="13"/>
      <c r="EK334" s="11"/>
      <c r="EL334" s="12"/>
      <c r="EM334" s="12"/>
      <c r="EN334" s="11"/>
      <c r="EO334" s="13"/>
      <c r="EP334" s="11">
        <v>41</v>
      </c>
      <c r="EQ334" s="11"/>
      <c r="ER334" s="13"/>
      <c r="ES334" s="11"/>
      <c r="ET334" s="12"/>
      <c r="EU334" s="12"/>
      <c r="EV334" s="11">
        <v>34</v>
      </c>
      <c r="EW334" s="13">
        <v>3285.79</v>
      </c>
      <c r="EX334" s="11">
        <v>28</v>
      </c>
      <c r="EY334" s="11"/>
      <c r="EZ334" s="13"/>
      <c r="FA334" s="11"/>
      <c r="FB334" s="12"/>
      <c r="FC334" s="12"/>
      <c r="FD334" s="11">
        <v>24</v>
      </c>
      <c r="FE334" s="13">
        <v>1192.84</v>
      </c>
      <c r="FF334" s="11">
        <v>32</v>
      </c>
      <c r="FG334" s="11"/>
      <c r="FH334" s="13"/>
      <c r="FI334" s="11"/>
      <c r="FJ334" s="12"/>
      <c r="FK334" s="12"/>
      <c r="FL334" s="11"/>
      <c r="FM334" s="13"/>
      <c r="FN334" s="11">
        <v>2</v>
      </c>
      <c r="FO334" s="11"/>
      <c r="FP334" s="13"/>
      <c r="FQ334" s="11"/>
      <c r="FR334" s="12"/>
      <c r="FS334" s="12"/>
      <c r="FT334" s="11"/>
      <c r="FU334" s="13"/>
      <c r="FV334" s="11"/>
      <c r="FW334" s="11"/>
      <c r="FX334" s="13"/>
      <c r="FY334" s="11"/>
      <c r="FZ334" s="12"/>
      <c r="GA334" s="12"/>
      <c r="GB334" s="11"/>
      <c r="GC334" s="13"/>
      <c r="GD334" s="11"/>
      <c r="GE334" s="11"/>
      <c r="GF334" s="13"/>
      <c r="GG334" s="11"/>
      <c r="GH334" s="12"/>
      <c r="GI334" s="12"/>
      <c r="GJ334" s="11"/>
      <c r="GK334" s="13"/>
      <c r="GL334" s="11"/>
      <c r="GM334" s="11"/>
      <c r="GN334" s="13"/>
      <c r="GO334" s="11"/>
      <c r="GP334" s="12"/>
      <c r="GQ334" s="12"/>
      <c r="GR334" s="11"/>
      <c r="GS334" s="13"/>
      <c r="GT334" s="11">
        <v>6</v>
      </c>
      <c r="GU334" s="11"/>
      <c r="GV334" s="13"/>
      <c r="GW334" s="11"/>
      <c r="GX334" s="12"/>
      <c r="GY334" s="12"/>
      <c r="GZ334" s="11">
        <v>8</v>
      </c>
      <c r="HA334" s="13">
        <v>516.21</v>
      </c>
      <c r="HB334" s="11">
        <v>39</v>
      </c>
      <c r="HC334" s="11"/>
      <c r="HD334" s="13"/>
      <c r="HE334" s="11"/>
      <c r="HF334" s="12"/>
      <c r="HG334" s="12"/>
      <c r="HH334" s="11"/>
      <c r="HI334" s="13"/>
      <c r="HJ334" s="11"/>
      <c r="HK334" s="11"/>
      <c r="HL334" s="13"/>
      <c r="HM334" s="11"/>
      <c r="HN334" s="12"/>
      <c r="HO334" s="12"/>
      <c r="HP334" s="11">
        <v>1</v>
      </c>
      <c r="HQ334" s="13">
        <v>39.61</v>
      </c>
      <c r="HR334" s="11">
        <v>11</v>
      </c>
      <c r="HS334" s="11"/>
      <c r="HT334" s="13"/>
      <c r="HU334" s="11"/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>
        <v>27</v>
      </c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/>
      <c r="JO334" s="11"/>
      <c r="JP334" s="13"/>
      <c r="JQ334" s="11"/>
      <c r="JR334" s="12"/>
      <c r="JS334" s="12"/>
      <c r="JT334" s="11"/>
      <c r="JU334" s="13"/>
      <c r="JV334" s="11"/>
      <c r="JW334" s="11"/>
      <c r="JX334" s="13"/>
      <c r="JY334" s="11"/>
      <c r="JZ334" s="12"/>
      <c r="KA334" s="12"/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/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  <c r="LH334" s="11"/>
      <c r="LI334" s="13"/>
      <c r="LJ334" s="11"/>
      <c r="LK334" s="11"/>
      <c r="LL334" s="13"/>
      <c r="LM334" s="11"/>
      <c r="LN334" s="12"/>
      <c r="LO334" s="12"/>
      <c r="LP334" s="11"/>
      <c r="LQ334" s="13"/>
      <c r="LR334" s="11"/>
      <c r="LS334" s="11"/>
      <c r="LT334" s="13"/>
      <c r="LU334" s="11"/>
      <c r="LV334" s="12"/>
      <c r="LW334" s="12"/>
    </row>
    <row r="335">
      <c r="A335" s="10" t="s">
        <v>193</v>
      </c>
      <c r="B335" s="10" t="s">
        <v>136</v>
      </c>
      <c r="C335" s="10" t="s">
        <v>115</v>
      </c>
      <c r="D335" s="11">
        <v>2061</v>
      </c>
      <c r="E335" s="11">
        <f>=ROUNDDOWN(17.7061855670103,0)</f>
      </c>
      <c r="F335" s="11">
        <v>800</v>
      </c>
      <c r="G335" s="12">
        <v>1</v>
      </c>
      <c r="H335" s="11"/>
      <c r="I335" s="11">
        <f>=ROUNDDOWN({0},0)</f>
      </c>
      <c r="J335" s="11"/>
      <c r="K335" s="12"/>
      <c r="L335" s="11">
        <v>1159</v>
      </c>
      <c r="M335" s="13">
        <v>19879.72</v>
      </c>
      <c r="N335" s="11">
        <v>8</v>
      </c>
      <c r="O335" s="14">
        <v>2484.96</v>
      </c>
      <c r="P335" s="11"/>
      <c r="Q335" s="13"/>
      <c r="R335" s="11"/>
      <c r="S335" s="14"/>
      <c r="T335" s="12"/>
      <c r="U335" s="12"/>
      <c r="V335" s="12"/>
      <c r="W335" s="12"/>
      <c r="X335" s="11">
        <v>451</v>
      </c>
      <c r="Y335" s="13">
        <v>6660.68</v>
      </c>
      <c r="Z335" s="11">
        <v>8</v>
      </c>
      <c r="AA335" s="11"/>
      <c r="AB335" s="13"/>
      <c r="AC335" s="11"/>
      <c r="AD335" s="12"/>
      <c r="AE335" s="12"/>
      <c r="AF335" s="11">
        <v>25</v>
      </c>
      <c r="AG335" s="13">
        <v>374.91</v>
      </c>
      <c r="AH335" s="11">
        <v>8</v>
      </c>
      <c r="AI335" s="11"/>
      <c r="AJ335" s="13"/>
      <c r="AK335" s="11"/>
      <c r="AL335" s="12"/>
      <c r="AM335" s="12"/>
      <c r="AN335" s="11">
        <v>284</v>
      </c>
      <c r="AO335" s="13">
        <v>3998.11</v>
      </c>
      <c r="AP335" s="11">
        <v>8</v>
      </c>
      <c r="AQ335" s="11"/>
      <c r="AR335" s="13"/>
      <c r="AS335" s="11"/>
      <c r="AT335" s="12"/>
      <c r="AU335" s="12"/>
      <c r="AV335" s="11">
        <v>15</v>
      </c>
      <c r="AW335" s="13">
        <v>315.48</v>
      </c>
      <c r="AX335" s="11">
        <v>6</v>
      </c>
      <c r="AY335" s="11"/>
      <c r="AZ335" s="13"/>
      <c r="BA335" s="11"/>
      <c r="BB335" s="12"/>
      <c r="BC335" s="12"/>
      <c r="BD335" s="11">
        <v>161</v>
      </c>
      <c r="BE335" s="13">
        <v>3218</v>
      </c>
      <c r="BF335" s="11">
        <v>8</v>
      </c>
      <c r="BG335" s="11"/>
      <c r="BH335" s="13"/>
      <c r="BI335" s="11"/>
      <c r="BJ335" s="12"/>
      <c r="BK335" s="12"/>
      <c r="BL335" s="11">
        <v>36</v>
      </c>
      <c r="BM335" s="13">
        <v>772.66</v>
      </c>
      <c r="BN335" s="11">
        <v>8</v>
      </c>
      <c r="BO335" s="11"/>
      <c r="BP335" s="13"/>
      <c r="BQ335" s="11"/>
      <c r="BR335" s="12"/>
      <c r="BS335" s="12"/>
      <c r="BT335" s="11">
        <v>115</v>
      </c>
      <c r="BU335" s="13">
        <v>3292.53</v>
      </c>
      <c r="BV335" s="11">
        <v>8</v>
      </c>
      <c r="BW335" s="11"/>
      <c r="BX335" s="13"/>
      <c r="BY335" s="11"/>
      <c r="BZ335" s="12"/>
      <c r="CA335" s="12"/>
      <c r="CB335" s="11">
        <v>31</v>
      </c>
      <c r="CC335" s="13">
        <v>454.4</v>
      </c>
      <c r="CD335" s="11">
        <v>4</v>
      </c>
      <c r="CE335" s="11"/>
      <c r="CF335" s="13"/>
      <c r="CG335" s="11"/>
      <c r="CH335" s="12"/>
      <c r="CI335" s="12"/>
      <c r="CJ335" s="11">
        <v>1</v>
      </c>
      <c r="CK335" s="13">
        <v>46.99</v>
      </c>
      <c r="CL335" s="11">
        <v>6</v>
      </c>
      <c r="CM335" s="11"/>
      <c r="CN335" s="13"/>
      <c r="CO335" s="11"/>
      <c r="CP335" s="12"/>
      <c r="CQ335" s="12"/>
      <c r="CR335" s="11"/>
      <c r="CS335" s="13"/>
      <c r="CT335" s="11"/>
      <c r="CU335" s="11"/>
      <c r="CV335" s="13"/>
      <c r="CW335" s="11"/>
      <c r="CX335" s="12"/>
      <c r="CY335" s="12"/>
      <c r="CZ335" s="11"/>
      <c r="DA335" s="13"/>
      <c r="DB335" s="11"/>
      <c r="DC335" s="11"/>
      <c r="DD335" s="13"/>
      <c r="DE335" s="11"/>
      <c r="DF335" s="12"/>
      <c r="DG335" s="12"/>
      <c r="DH335" s="11"/>
      <c r="DI335" s="13"/>
      <c r="DJ335" s="11"/>
      <c r="DK335" s="11"/>
      <c r="DL335" s="13"/>
      <c r="DM335" s="11"/>
      <c r="DN335" s="12"/>
      <c r="DO335" s="12"/>
      <c r="DP335" s="11">
        <v>17</v>
      </c>
      <c r="DQ335" s="13">
        <v>295.13</v>
      </c>
      <c r="DR335" s="11">
        <v>8</v>
      </c>
      <c r="DS335" s="11"/>
      <c r="DT335" s="13"/>
      <c r="DU335" s="11"/>
      <c r="DV335" s="12"/>
      <c r="DW335" s="12"/>
      <c r="DX335" s="11">
        <v>3</v>
      </c>
      <c r="DY335" s="13">
        <v>66.6</v>
      </c>
      <c r="DZ335" s="11">
        <v>4</v>
      </c>
      <c r="EA335" s="11"/>
      <c r="EB335" s="13"/>
      <c r="EC335" s="11"/>
      <c r="ED335" s="12"/>
      <c r="EE335" s="12"/>
      <c r="EF335" s="11"/>
      <c r="EG335" s="13"/>
      <c r="EH335" s="11"/>
      <c r="EI335" s="11"/>
      <c r="EJ335" s="13"/>
      <c r="EK335" s="11"/>
      <c r="EL335" s="12"/>
      <c r="EM335" s="12"/>
      <c r="EN335" s="11"/>
      <c r="EO335" s="13"/>
      <c r="EP335" s="11">
        <v>8</v>
      </c>
      <c r="EQ335" s="11"/>
      <c r="ER335" s="13"/>
      <c r="ES335" s="11"/>
      <c r="ET335" s="12"/>
      <c r="EU335" s="12"/>
      <c r="EV335" s="11">
        <v>6</v>
      </c>
      <c r="EW335" s="13">
        <v>116.64</v>
      </c>
      <c r="EX335" s="11">
        <v>2</v>
      </c>
      <c r="EY335" s="11"/>
      <c r="EZ335" s="13"/>
      <c r="FA335" s="11"/>
      <c r="FB335" s="12"/>
      <c r="FC335" s="12"/>
      <c r="FD335" s="11"/>
      <c r="FE335" s="13"/>
      <c r="FF335" s="11"/>
      <c r="FG335" s="11"/>
      <c r="FH335" s="13"/>
      <c r="FI335" s="11"/>
      <c r="FJ335" s="12"/>
      <c r="FK335" s="12"/>
      <c r="FL335" s="11"/>
      <c r="FM335" s="13"/>
      <c r="FN335" s="11"/>
      <c r="FO335" s="11"/>
      <c r="FP335" s="13"/>
      <c r="FQ335" s="11"/>
      <c r="FR335" s="12"/>
      <c r="FS335" s="12"/>
      <c r="FT335" s="11"/>
      <c r="FU335" s="13"/>
      <c r="FV335" s="11"/>
      <c r="FW335" s="11"/>
      <c r="FX335" s="13"/>
      <c r="FY335" s="11"/>
      <c r="FZ335" s="12"/>
      <c r="GA335" s="12"/>
      <c r="GB335" s="11"/>
      <c r="GC335" s="13"/>
      <c r="GD335" s="11">
        <v>2</v>
      </c>
      <c r="GE335" s="11"/>
      <c r="GF335" s="13"/>
      <c r="GG335" s="11"/>
      <c r="GH335" s="12"/>
      <c r="GI335" s="12"/>
      <c r="GJ335" s="11"/>
      <c r="GK335" s="13"/>
      <c r="GL335" s="11"/>
      <c r="GM335" s="11"/>
      <c r="GN335" s="13"/>
      <c r="GO335" s="11"/>
      <c r="GP335" s="12"/>
      <c r="GQ335" s="12"/>
      <c r="GR335" s="11"/>
      <c r="GS335" s="13"/>
      <c r="GT335" s="11">
        <v>4</v>
      </c>
      <c r="GU335" s="11"/>
      <c r="GV335" s="13"/>
      <c r="GW335" s="11"/>
      <c r="GX335" s="12"/>
      <c r="GY335" s="12"/>
      <c r="GZ335" s="11">
        <v>13</v>
      </c>
      <c r="HA335" s="13">
        <v>250.68</v>
      </c>
      <c r="HB335" s="11">
        <v>4</v>
      </c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>
        <v>1</v>
      </c>
      <c r="IW335" s="13">
        <v>16.91</v>
      </c>
      <c r="IX335" s="11">
        <v>4</v>
      </c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/>
      <c r="JP335" s="13"/>
      <c r="JQ335" s="11"/>
      <c r="JR335" s="12"/>
      <c r="JS335" s="12"/>
      <c r="JT335" s="11"/>
      <c r="JU335" s="13"/>
      <c r="JV335" s="11"/>
      <c r="JW335" s="11"/>
      <c r="JX335" s="13"/>
      <c r="JY335" s="11"/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/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  <c r="LH335" s="11"/>
      <c r="LI335" s="13"/>
      <c r="LJ335" s="11"/>
      <c r="LK335" s="11"/>
      <c r="LL335" s="13"/>
      <c r="LM335" s="11"/>
      <c r="LN335" s="12"/>
      <c r="LO335" s="12"/>
      <c r="LP335" s="11"/>
      <c r="LQ335" s="13"/>
      <c r="LR335" s="11"/>
      <c r="LS335" s="11"/>
      <c r="LT335" s="13"/>
      <c r="LU335" s="11"/>
      <c r="LV335" s="12"/>
      <c r="LW335" s="12"/>
    </row>
    <row r="336">
      <c r="A336" s="10" t="s">
        <v>193</v>
      </c>
      <c r="B336" s="10" t="s">
        <v>137</v>
      </c>
      <c r="C336" s="10" t="s">
        <v>77</v>
      </c>
      <c r="D336" s="11">
        <v>55339</v>
      </c>
      <c r="E336" s="11">
        <f>=ROUNDDOWN({0},0)</f>
      </c>
      <c r="F336" s="11">
        <v>13712</v>
      </c>
      <c r="G336" s="12"/>
      <c r="H336" s="11"/>
      <c r="I336" s="11">
        <f>=ROUNDDOWN({0},0)</f>
      </c>
      <c r="J336" s="11"/>
      <c r="K336" s="12"/>
      <c r="L336" s="11">
        <v>11981</v>
      </c>
      <c r="M336" s="13">
        <v>414656.37</v>
      </c>
      <c r="N336" s="11">
        <v>139</v>
      </c>
      <c r="O336" s="14">
        <v>2983.14</v>
      </c>
      <c r="P336" s="11"/>
      <c r="Q336" s="13"/>
      <c r="R336" s="11"/>
      <c r="S336" s="14"/>
      <c r="T336" s="12"/>
      <c r="U336" s="12"/>
      <c r="V336" s="12"/>
      <c r="W336" s="12"/>
      <c r="X336" s="11">
        <v>3869</v>
      </c>
      <c r="Y336" s="13">
        <v>131470.01</v>
      </c>
      <c r="Z336" s="11">
        <v>118</v>
      </c>
      <c r="AA336" s="11"/>
      <c r="AB336" s="13"/>
      <c r="AC336" s="11"/>
      <c r="AD336" s="12"/>
      <c r="AE336" s="12"/>
      <c r="AF336" s="11">
        <v>1198</v>
      </c>
      <c r="AG336" s="13">
        <v>37170.84</v>
      </c>
      <c r="AH336" s="11">
        <v>139</v>
      </c>
      <c r="AI336" s="11"/>
      <c r="AJ336" s="13"/>
      <c r="AK336" s="11"/>
      <c r="AL336" s="12"/>
      <c r="AM336" s="12"/>
      <c r="AN336" s="11">
        <v>2646</v>
      </c>
      <c r="AO336" s="13">
        <v>80957.17</v>
      </c>
      <c r="AP336" s="11">
        <v>139</v>
      </c>
      <c r="AQ336" s="11"/>
      <c r="AR336" s="13"/>
      <c r="AS336" s="11"/>
      <c r="AT336" s="12"/>
      <c r="AU336" s="12"/>
      <c r="AV336" s="11">
        <v>591</v>
      </c>
      <c r="AW336" s="13">
        <v>21296.86</v>
      </c>
      <c r="AX336" s="11">
        <v>91</v>
      </c>
      <c r="AY336" s="11"/>
      <c r="AZ336" s="13"/>
      <c r="BA336" s="11"/>
      <c r="BB336" s="12"/>
      <c r="BC336" s="12"/>
      <c r="BD336" s="11">
        <v>1558</v>
      </c>
      <c r="BE336" s="13">
        <v>50363.98</v>
      </c>
      <c r="BF336" s="11">
        <v>125</v>
      </c>
      <c r="BG336" s="11"/>
      <c r="BH336" s="13"/>
      <c r="BI336" s="11"/>
      <c r="BJ336" s="12"/>
      <c r="BK336" s="12"/>
      <c r="BL336" s="11">
        <v>672</v>
      </c>
      <c r="BM336" s="13">
        <v>34274.92</v>
      </c>
      <c r="BN336" s="11">
        <v>139</v>
      </c>
      <c r="BO336" s="11"/>
      <c r="BP336" s="13"/>
      <c r="BQ336" s="11"/>
      <c r="BR336" s="12"/>
      <c r="BS336" s="12"/>
      <c r="BT336" s="11">
        <v>272</v>
      </c>
      <c r="BU336" s="13">
        <v>11283.41</v>
      </c>
      <c r="BV336" s="11">
        <v>139</v>
      </c>
      <c r="BW336" s="11"/>
      <c r="BX336" s="13"/>
      <c r="BY336" s="11"/>
      <c r="BZ336" s="12"/>
      <c r="CA336" s="12"/>
      <c r="CB336" s="11">
        <v>563</v>
      </c>
      <c r="CC336" s="13">
        <v>18517.13</v>
      </c>
      <c r="CD336" s="11">
        <v>115</v>
      </c>
      <c r="CE336" s="11"/>
      <c r="CF336" s="13"/>
      <c r="CG336" s="11"/>
      <c r="CH336" s="12"/>
      <c r="CI336" s="12"/>
      <c r="CJ336" s="11">
        <v>1</v>
      </c>
      <c r="CK336" s="13">
        <v>46.99</v>
      </c>
      <c r="CL336" s="11">
        <v>13</v>
      </c>
      <c r="CM336" s="11"/>
      <c r="CN336" s="13"/>
      <c r="CO336" s="11"/>
      <c r="CP336" s="12"/>
      <c r="CQ336" s="12"/>
      <c r="CR336" s="11"/>
      <c r="CS336" s="13"/>
      <c r="CT336" s="11"/>
      <c r="CU336" s="11"/>
      <c r="CV336" s="13"/>
      <c r="CW336" s="11"/>
      <c r="CX336" s="12"/>
      <c r="CY336" s="12"/>
      <c r="CZ336" s="11"/>
      <c r="DA336" s="13"/>
      <c r="DB336" s="11"/>
      <c r="DC336" s="11"/>
      <c r="DD336" s="13"/>
      <c r="DE336" s="11"/>
      <c r="DF336" s="12"/>
      <c r="DG336" s="12"/>
      <c r="DH336" s="11">
        <v>25</v>
      </c>
      <c r="DI336" s="13">
        <v>889.82</v>
      </c>
      <c r="DJ336" s="11">
        <v>39</v>
      </c>
      <c r="DK336" s="11"/>
      <c r="DL336" s="13"/>
      <c r="DM336" s="11"/>
      <c r="DN336" s="12"/>
      <c r="DO336" s="12"/>
      <c r="DP336" s="11">
        <v>160</v>
      </c>
      <c r="DQ336" s="13">
        <v>5566.22</v>
      </c>
      <c r="DR336" s="11">
        <v>125</v>
      </c>
      <c r="DS336" s="11"/>
      <c r="DT336" s="13"/>
      <c r="DU336" s="11"/>
      <c r="DV336" s="12"/>
      <c r="DW336" s="12"/>
      <c r="DX336" s="11">
        <v>180</v>
      </c>
      <c r="DY336" s="13">
        <v>8719.18</v>
      </c>
      <c r="DZ336" s="11">
        <v>117</v>
      </c>
      <c r="EA336" s="11"/>
      <c r="EB336" s="13"/>
      <c r="EC336" s="11"/>
      <c r="ED336" s="12"/>
      <c r="EE336" s="12"/>
      <c r="EF336" s="11"/>
      <c r="EG336" s="13"/>
      <c r="EH336" s="11"/>
      <c r="EI336" s="11"/>
      <c r="EJ336" s="13"/>
      <c r="EK336" s="11"/>
      <c r="EL336" s="12"/>
      <c r="EM336" s="12"/>
      <c r="EN336" s="11">
        <v>22</v>
      </c>
      <c r="EO336" s="13">
        <v>1270.28</v>
      </c>
      <c r="EP336" s="11">
        <v>139</v>
      </c>
      <c r="EQ336" s="11"/>
      <c r="ER336" s="13"/>
      <c r="ES336" s="11"/>
      <c r="ET336" s="12"/>
      <c r="EU336" s="12"/>
      <c r="EV336" s="11">
        <v>107</v>
      </c>
      <c r="EW336" s="13">
        <v>7499.39</v>
      </c>
      <c r="EX336" s="11">
        <v>56</v>
      </c>
      <c r="EY336" s="11"/>
      <c r="EZ336" s="13"/>
      <c r="FA336" s="11"/>
      <c r="FB336" s="12"/>
      <c r="FC336" s="12"/>
      <c r="FD336" s="11">
        <v>50</v>
      </c>
      <c r="FE336" s="13">
        <v>2363.19</v>
      </c>
      <c r="FF336" s="11">
        <v>79</v>
      </c>
      <c r="FG336" s="11"/>
      <c r="FH336" s="13"/>
      <c r="FI336" s="11"/>
      <c r="FJ336" s="12"/>
      <c r="FK336" s="12"/>
      <c r="FL336" s="11"/>
      <c r="FM336" s="13"/>
      <c r="FN336" s="11">
        <v>2</v>
      </c>
      <c r="FO336" s="11"/>
      <c r="FP336" s="13"/>
      <c r="FQ336" s="11"/>
      <c r="FR336" s="12"/>
      <c r="FS336" s="12"/>
      <c r="FT336" s="11"/>
      <c r="FU336" s="13"/>
      <c r="FV336" s="11"/>
      <c r="FW336" s="11"/>
      <c r="FX336" s="13"/>
      <c r="FY336" s="11"/>
      <c r="FZ336" s="12"/>
      <c r="GA336" s="12"/>
      <c r="GB336" s="11"/>
      <c r="GC336" s="13"/>
      <c r="GD336" s="11">
        <v>2</v>
      </c>
      <c r="GE336" s="11"/>
      <c r="GF336" s="13"/>
      <c r="GG336" s="11"/>
      <c r="GH336" s="12"/>
      <c r="GI336" s="12"/>
      <c r="GJ336" s="11"/>
      <c r="GK336" s="13"/>
      <c r="GL336" s="11"/>
      <c r="GM336" s="11"/>
      <c r="GN336" s="13"/>
      <c r="GO336" s="11"/>
      <c r="GP336" s="12"/>
      <c r="GQ336" s="12"/>
      <c r="GR336" s="11">
        <v>4</v>
      </c>
      <c r="GS336" s="13">
        <v>150.56</v>
      </c>
      <c r="GT336" s="11">
        <v>96</v>
      </c>
      <c r="GU336" s="11"/>
      <c r="GV336" s="13"/>
      <c r="GW336" s="11"/>
      <c r="GX336" s="12"/>
      <c r="GY336" s="12"/>
      <c r="GZ336" s="11">
        <v>60</v>
      </c>
      <c r="HA336" s="13">
        <v>2741.85</v>
      </c>
      <c r="HB336" s="11">
        <v>72</v>
      </c>
      <c r="HC336" s="11"/>
      <c r="HD336" s="13"/>
      <c r="HE336" s="11"/>
      <c r="HF336" s="12"/>
      <c r="HG336" s="12"/>
      <c r="HH336" s="11"/>
      <c r="HI336" s="13"/>
      <c r="HJ336" s="11"/>
      <c r="HK336" s="11"/>
      <c r="HL336" s="13"/>
      <c r="HM336" s="11"/>
      <c r="HN336" s="12"/>
      <c r="HO336" s="12"/>
      <c r="HP336" s="11">
        <v>1</v>
      </c>
      <c r="HQ336" s="13">
        <v>39.61</v>
      </c>
      <c r="HR336" s="11">
        <v>11</v>
      </c>
      <c r="HS336" s="11"/>
      <c r="HT336" s="13"/>
      <c r="HU336" s="11"/>
      <c r="HV336" s="12"/>
      <c r="HW336" s="12"/>
      <c r="HX336" s="11"/>
      <c r="HY336" s="13"/>
      <c r="HZ336" s="11"/>
      <c r="IA336" s="11"/>
      <c r="IB336" s="13"/>
      <c r="IC336" s="11"/>
      <c r="ID336" s="12"/>
      <c r="IE336" s="12"/>
      <c r="IF336" s="11"/>
      <c r="IG336" s="13"/>
      <c r="IH336" s="11"/>
      <c r="II336" s="11"/>
      <c r="IJ336" s="13"/>
      <c r="IK336" s="11"/>
      <c r="IL336" s="12"/>
      <c r="IM336" s="12"/>
      <c r="IN336" s="11"/>
      <c r="IO336" s="13"/>
      <c r="IP336" s="11">
        <v>9</v>
      </c>
      <c r="IQ336" s="11"/>
      <c r="IR336" s="13"/>
      <c r="IS336" s="11"/>
      <c r="IT336" s="12"/>
      <c r="IU336" s="12"/>
      <c r="IV336" s="11">
        <v>2</v>
      </c>
      <c r="IW336" s="13">
        <v>34.96</v>
      </c>
      <c r="IX336" s="11">
        <v>52</v>
      </c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/>
      <c r="JO336" s="11"/>
      <c r="JP336" s="13"/>
      <c r="JQ336" s="11"/>
      <c r="JR336" s="12"/>
      <c r="JS336" s="12"/>
      <c r="JT336" s="11"/>
      <c r="JU336" s="13"/>
      <c r="JV336" s="11"/>
      <c r="JW336" s="11"/>
      <c r="JX336" s="13"/>
      <c r="JY336" s="11"/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/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  <c r="LH336" s="11"/>
      <c r="LI336" s="13"/>
      <c r="LJ336" s="11"/>
      <c r="LK336" s="11"/>
      <c r="LL336" s="13"/>
      <c r="LM336" s="11"/>
      <c r="LN336" s="12"/>
      <c r="LO336" s="12"/>
      <c r="LP336" s="11"/>
      <c r="LQ336" s="13"/>
      <c r="LR336" s="11"/>
      <c r="LS336" s="11"/>
      <c r="LT336" s="13"/>
      <c r="LU336" s="11"/>
      <c r="LV336" s="12"/>
      <c r="LW336" s="12"/>
    </row>
    <row r="337">
      <c r="A337" s="10" t="s">
        <v>211</v>
      </c>
      <c r="B337" s="10" t="s">
        <v>77</v>
      </c>
      <c r="C337" s="10" t="s">
        <v>77</v>
      </c>
      <c r="D337" s="11">
        <v>653076</v>
      </c>
      <c r="E337" s="11">
        <f>=ROUNDDOWN({0},0)</f>
      </c>
      <c r="F337" s="11">
        <v>300285</v>
      </c>
      <c r="G337" s="12"/>
      <c r="H337" s="11"/>
      <c r="I337" s="11">
        <f>=ROUNDDOWN({0},0)</f>
      </c>
      <c r="J337" s="11"/>
      <c r="K337" s="12"/>
      <c r="L337" s="11">
        <v>235359</v>
      </c>
      <c r="M337" s="13">
        <v>7150534.44</v>
      </c>
      <c r="N337" s="11">
        <v>1208</v>
      </c>
      <c r="O337" s="14">
        <v>5919.32</v>
      </c>
      <c r="P337" s="11"/>
      <c r="Q337" s="13"/>
      <c r="R337" s="11"/>
      <c r="S337" s="14"/>
      <c r="T337" s="12"/>
      <c r="U337" s="12"/>
      <c r="V337" s="12"/>
      <c r="W337" s="12"/>
      <c r="X337" s="11">
        <v>75152</v>
      </c>
      <c r="Y337" s="13">
        <v>3048272.68</v>
      </c>
      <c r="Z337" s="11">
        <v>973</v>
      </c>
      <c r="AA337" s="11"/>
      <c r="AB337" s="13"/>
      <c r="AC337" s="11"/>
      <c r="AD337" s="12"/>
      <c r="AE337" s="12"/>
      <c r="AF337" s="11">
        <v>8954</v>
      </c>
      <c r="AG337" s="13">
        <v>282825.03</v>
      </c>
      <c r="AH337" s="11">
        <v>1022</v>
      </c>
      <c r="AI337" s="11"/>
      <c r="AJ337" s="13"/>
      <c r="AK337" s="11"/>
      <c r="AL337" s="12"/>
      <c r="AM337" s="12"/>
      <c r="AN337" s="11">
        <v>37722</v>
      </c>
      <c r="AO337" s="13">
        <v>1121179.4</v>
      </c>
      <c r="AP337" s="11">
        <v>1017</v>
      </c>
      <c r="AQ337" s="11"/>
      <c r="AR337" s="13"/>
      <c r="AS337" s="11"/>
      <c r="AT337" s="12"/>
      <c r="AU337" s="12"/>
      <c r="AV337" s="11">
        <v>13237</v>
      </c>
      <c r="AW337" s="13">
        <v>386765.31</v>
      </c>
      <c r="AX337" s="11">
        <v>761</v>
      </c>
      <c r="AY337" s="11"/>
      <c r="AZ337" s="13"/>
      <c r="BA337" s="11"/>
      <c r="BB337" s="12"/>
      <c r="BC337" s="12"/>
      <c r="BD337" s="11">
        <v>27272</v>
      </c>
      <c r="BE337" s="13">
        <v>871262.28</v>
      </c>
      <c r="BF337" s="11">
        <v>982</v>
      </c>
      <c r="BG337" s="11"/>
      <c r="BH337" s="13"/>
      <c r="BI337" s="11"/>
      <c r="BJ337" s="12"/>
      <c r="BK337" s="12"/>
      <c r="BL337" s="11">
        <v>5333</v>
      </c>
      <c r="BM337" s="13">
        <v>241756.95</v>
      </c>
      <c r="BN337" s="11">
        <v>1066</v>
      </c>
      <c r="BO337" s="11"/>
      <c r="BP337" s="13"/>
      <c r="BQ337" s="11"/>
      <c r="BR337" s="12"/>
      <c r="BS337" s="12"/>
      <c r="BT337" s="11">
        <v>4834</v>
      </c>
      <c r="BU337" s="13">
        <v>160092.22</v>
      </c>
      <c r="BV337" s="11">
        <v>986</v>
      </c>
      <c r="BW337" s="11"/>
      <c r="BX337" s="13"/>
      <c r="BY337" s="11"/>
      <c r="BZ337" s="12"/>
      <c r="CA337" s="12"/>
      <c r="CB337" s="11">
        <v>8115</v>
      </c>
      <c r="CC337" s="13">
        <v>268749.45</v>
      </c>
      <c r="CD337" s="11">
        <v>795</v>
      </c>
      <c r="CE337" s="11"/>
      <c r="CF337" s="13"/>
      <c r="CG337" s="11"/>
      <c r="CH337" s="12"/>
      <c r="CI337" s="12"/>
      <c r="CJ337" s="11">
        <v>431</v>
      </c>
      <c r="CK337" s="13">
        <v>24340.95</v>
      </c>
      <c r="CL337" s="11">
        <v>724</v>
      </c>
      <c r="CM337" s="11"/>
      <c r="CN337" s="13"/>
      <c r="CO337" s="11"/>
      <c r="CP337" s="12"/>
      <c r="CQ337" s="12"/>
      <c r="CR337" s="11">
        <v>45526</v>
      </c>
      <c r="CS337" s="13">
        <v>379809.18</v>
      </c>
      <c r="CT337" s="11"/>
      <c r="CU337" s="11"/>
      <c r="CV337" s="13"/>
      <c r="CW337" s="11"/>
      <c r="CX337" s="12"/>
      <c r="CY337" s="12"/>
      <c r="CZ337" s="11">
        <v>445</v>
      </c>
      <c r="DA337" s="13">
        <v>10080.38</v>
      </c>
      <c r="DB337" s="11">
        <v>70</v>
      </c>
      <c r="DC337" s="11"/>
      <c r="DD337" s="13"/>
      <c r="DE337" s="11"/>
      <c r="DF337" s="12"/>
      <c r="DG337" s="12"/>
      <c r="DH337" s="11">
        <v>653</v>
      </c>
      <c r="DI337" s="13">
        <v>19767.08</v>
      </c>
      <c r="DJ337" s="11">
        <v>490</v>
      </c>
      <c r="DK337" s="11"/>
      <c r="DL337" s="13"/>
      <c r="DM337" s="11"/>
      <c r="DN337" s="12"/>
      <c r="DO337" s="12"/>
      <c r="DP337" s="11">
        <v>1467</v>
      </c>
      <c r="DQ337" s="13">
        <v>56364.21</v>
      </c>
      <c r="DR337" s="11">
        <v>938</v>
      </c>
      <c r="DS337" s="11"/>
      <c r="DT337" s="13"/>
      <c r="DU337" s="11"/>
      <c r="DV337" s="12"/>
      <c r="DW337" s="12"/>
      <c r="DX337" s="11">
        <v>814</v>
      </c>
      <c r="DY337" s="13">
        <v>35424.61</v>
      </c>
      <c r="DZ337" s="11">
        <v>668</v>
      </c>
      <c r="EA337" s="11"/>
      <c r="EB337" s="13"/>
      <c r="EC337" s="11"/>
      <c r="ED337" s="12"/>
      <c r="EE337" s="12"/>
      <c r="EF337" s="11">
        <v>604</v>
      </c>
      <c r="EG337" s="13">
        <v>49388.4</v>
      </c>
      <c r="EH337" s="11"/>
      <c r="EI337" s="11"/>
      <c r="EJ337" s="13"/>
      <c r="EK337" s="11"/>
      <c r="EL337" s="12"/>
      <c r="EM337" s="12"/>
      <c r="EN337" s="11">
        <v>334</v>
      </c>
      <c r="EO337" s="13">
        <v>26706.76</v>
      </c>
      <c r="EP337" s="11">
        <v>1149</v>
      </c>
      <c r="EQ337" s="11"/>
      <c r="ER337" s="13"/>
      <c r="ES337" s="11"/>
      <c r="ET337" s="12"/>
      <c r="EU337" s="12"/>
      <c r="EV337" s="11">
        <v>1892</v>
      </c>
      <c r="EW337" s="13">
        <v>66551.7</v>
      </c>
      <c r="EX337" s="11">
        <v>310</v>
      </c>
      <c r="EY337" s="11"/>
      <c r="EZ337" s="13"/>
      <c r="FA337" s="11"/>
      <c r="FB337" s="12"/>
      <c r="FC337" s="12"/>
      <c r="FD337" s="11">
        <v>1237</v>
      </c>
      <c r="FE337" s="13">
        <v>47720.91</v>
      </c>
      <c r="FF337" s="11">
        <v>429</v>
      </c>
      <c r="FG337" s="11"/>
      <c r="FH337" s="13"/>
      <c r="FI337" s="11"/>
      <c r="FJ337" s="12"/>
      <c r="FK337" s="12"/>
      <c r="FL337" s="11">
        <v>678</v>
      </c>
      <c r="FM337" s="13">
        <v>28860.93</v>
      </c>
      <c r="FN337" s="11">
        <v>112</v>
      </c>
      <c r="FO337" s="11"/>
      <c r="FP337" s="13"/>
      <c r="FQ337" s="11"/>
      <c r="FR337" s="12"/>
      <c r="FS337" s="12"/>
      <c r="FT337" s="11"/>
      <c r="FU337" s="13"/>
      <c r="FV337" s="11"/>
      <c r="FW337" s="11"/>
      <c r="FX337" s="13"/>
      <c r="FY337" s="11"/>
      <c r="FZ337" s="12"/>
      <c r="GA337" s="12"/>
      <c r="GB337" s="11">
        <v>66</v>
      </c>
      <c r="GC337" s="13">
        <v>1352.01</v>
      </c>
      <c r="GD337" s="11">
        <v>9</v>
      </c>
      <c r="GE337" s="11"/>
      <c r="GF337" s="13"/>
      <c r="GG337" s="11"/>
      <c r="GH337" s="12"/>
      <c r="GI337" s="12"/>
      <c r="GJ337" s="11"/>
      <c r="GK337" s="13"/>
      <c r="GL337" s="11"/>
      <c r="GM337" s="11"/>
      <c r="GN337" s="13"/>
      <c r="GO337" s="11"/>
      <c r="GP337" s="12"/>
      <c r="GQ337" s="12"/>
      <c r="GR337" s="11">
        <v>36</v>
      </c>
      <c r="GS337" s="13">
        <v>1289.48</v>
      </c>
      <c r="GT337" s="11">
        <v>735</v>
      </c>
      <c r="GU337" s="11"/>
      <c r="GV337" s="13"/>
      <c r="GW337" s="11"/>
      <c r="GX337" s="12"/>
      <c r="GY337" s="12"/>
      <c r="GZ337" s="11">
        <v>353</v>
      </c>
      <c r="HA337" s="13">
        <v>12412.98</v>
      </c>
      <c r="HB337" s="11">
        <v>357</v>
      </c>
      <c r="HC337" s="11"/>
      <c r="HD337" s="13"/>
      <c r="HE337" s="11"/>
      <c r="HF337" s="12"/>
      <c r="HG337" s="12"/>
      <c r="HH337" s="11">
        <v>35</v>
      </c>
      <c r="HI337" s="13">
        <v>1074.01</v>
      </c>
      <c r="HJ337" s="11"/>
      <c r="HK337" s="11"/>
      <c r="HL337" s="13"/>
      <c r="HM337" s="11"/>
      <c r="HN337" s="12"/>
      <c r="HO337" s="12"/>
      <c r="HP337" s="11">
        <v>58</v>
      </c>
      <c r="HQ337" s="13">
        <v>3113.3</v>
      </c>
      <c r="HR337" s="11">
        <v>142</v>
      </c>
      <c r="HS337" s="11"/>
      <c r="HT337" s="13"/>
      <c r="HU337" s="11"/>
      <c r="HV337" s="12"/>
      <c r="HW337" s="12"/>
      <c r="HX337" s="11">
        <v>41</v>
      </c>
      <c r="HY337" s="13">
        <v>2302.54</v>
      </c>
      <c r="HZ337" s="11">
        <v>102</v>
      </c>
      <c r="IA337" s="11"/>
      <c r="IB337" s="13"/>
      <c r="IC337" s="11"/>
      <c r="ID337" s="12"/>
      <c r="IE337" s="12"/>
      <c r="IF337" s="11"/>
      <c r="IG337" s="13"/>
      <c r="IH337" s="11"/>
      <c r="II337" s="11"/>
      <c r="IJ337" s="13"/>
      <c r="IK337" s="11"/>
      <c r="IL337" s="12"/>
      <c r="IM337" s="12"/>
      <c r="IN337" s="11">
        <v>5</v>
      </c>
      <c r="IO337" s="13">
        <v>382.45</v>
      </c>
      <c r="IP337" s="11">
        <v>19</v>
      </c>
      <c r="IQ337" s="11"/>
      <c r="IR337" s="13"/>
      <c r="IS337" s="11"/>
      <c r="IT337" s="12"/>
      <c r="IU337" s="12"/>
      <c r="IV337" s="11">
        <v>41</v>
      </c>
      <c r="IW337" s="13">
        <v>823.64</v>
      </c>
      <c r="IX337" s="11">
        <v>387</v>
      </c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>
        <v>24</v>
      </c>
      <c r="JM337" s="13">
        <v>1865.6</v>
      </c>
      <c r="JN337" s="11">
        <v>83</v>
      </c>
      <c r="JO337" s="11"/>
      <c r="JP337" s="13"/>
      <c r="JQ337" s="11"/>
      <c r="JR337" s="12"/>
      <c r="JS337" s="12"/>
      <c r="JT337" s="11"/>
      <c r="JU337" s="13"/>
      <c r="JV337" s="11">
        <v>32</v>
      </c>
      <c r="JW337" s="11"/>
      <c r="JX337" s="13"/>
      <c r="JY337" s="11"/>
      <c r="JZ337" s="12"/>
      <c r="KA337" s="12"/>
      <c r="KB337" s="11"/>
      <c r="KC337" s="13"/>
      <c r="KD337" s="11"/>
      <c r="KE337" s="11"/>
      <c r="KF337" s="13"/>
      <c r="KG337" s="11"/>
      <c r="KH337" s="12"/>
      <c r="KI337" s="12"/>
      <c r="KJ337" s="11"/>
      <c r="KK337" s="13"/>
      <c r="KL337" s="11"/>
      <c r="KM337" s="11"/>
      <c r="KN337" s="13"/>
      <c r="KO337" s="11"/>
      <c r="KP337" s="12"/>
      <c r="KQ337" s="12"/>
      <c r="KR337" s="11"/>
      <c r="KS337" s="13"/>
      <c r="KT337" s="11">
        <v>3</v>
      </c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  <c r="LH337" s="11"/>
      <c r="LI337" s="13"/>
      <c r="LJ337" s="11"/>
      <c r="LK337" s="11"/>
      <c r="LL337" s="13"/>
      <c r="LM337" s="11"/>
      <c r="LN337" s="12"/>
      <c r="LO337" s="12"/>
      <c r="LP337" s="11"/>
      <c r="LQ337" s="13"/>
      <c r="LR337" s="11"/>
      <c r="LS337" s="11"/>
      <c r="LT337" s="13"/>
      <c r="LU337" s="11"/>
      <c r="LV337" s="12"/>
      <c r="LW337" s="12"/>
    </row>
    <row r="338">
      <c r="A338" s="10" t="s">
        <v>212</v>
      </c>
      <c r="B338" s="10" t="s">
        <v>85</v>
      </c>
      <c r="C338" s="10" t="s">
        <v>213</v>
      </c>
      <c r="D338" s="11">
        <v>366</v>
      </c>
      <c r="E338" s="11">
        <f>=ROUNDDOWN(152.5,0)</f>
      </c>
      <c r="F338" s="11">
        <v>76</v>
      </c>
      <c r="G338" s="12">
        <v>0.6369</v>
      </c>
      <c r="H338" s="11"/>
      <c r="I338" s="11">
        <f>=ROUNDDOWN({0},0)</f>
      </c>
      <c r="J338" s="11"/>
      <c r="K338" s="12"/>
      <c r="L338" s="11">
        <v>34</v>
      </c>
      <c r="M338" s="13">
        <v>13358.17</v>
      </c>
      <c r="N338" s="11">
        <v>12</v>
      </c>
      <c r="O338" s="14">
        <v>1113.18</v>
      </c>
      <c r="P338" s="11"/>
      <c r="Q338" s="13"/>
      <c r="R338" s="11"/>
      <c r="S338" s="14"/>
      <c r="T338" s="12"/>
      <c r="U338" s="12"/>
      <c r="V338" s="12"/>
      <c r="W338" s="12"/>
      <c r="X338" s="11"/>
      <c r="Y338" s="13"/>
      <c r="Z338" s="11"/>
      <c r="AA338" s="11"/>
      <c r="AB338" s="13"/>
      <c r="AC338" s="11"/>
      <c r="AD338" s="12"/>
      <c r="AE338" s="12"/>
      <c r="AF338" s="11"/>
      <c r="AG338" s="13"/>
      <c r="AH338" s="11">
        <v>1</v>
      </c>
      <c r="AI338" s="11"/>
      <c r="AJ338" s="13"/>
      <c r="AK338" s="11"/>
      <c r="AL338" s="12"/>
      <c r="AM338" s="12"/>
      <c r="AN338" s="11"/>
      <c r="AO338" s="13"/>
      <c r="AP338" s="11"/>
      <c r="AQ338" s="11"/>
      <c r="AR338" s="13"/>
      <c r="AS338" s="11"/>
      <c r="AT338" s="12"/>
      <c r="AU338" s="12"/>
      <c r="AV338" s="11"/>
      <c r="AW338" s="13"/>
      <c r="AX338" s="11"/>
      <c r="AY338" s="11"/>
      <c r="AZ338" s="13"/>
      <c r="BA338" s="11"/>
      <c r="BB338" s="12"/>
      <c r="BC338" s="12"/>
      <c r="BD338" s="11"/>
      <c r="BE338" s="13"/>
      <c r="BF338" s="11"/>
      <c r="BG338" s="11"/>
      <c r="BH338" s="13"/>
      <c r="BI338" s="11"/>
      <c r="BJ338" s="12"/>
      <c r="BK338" s="12"/>
      <c r="BL338" s="11"/>
      <c r="BM338" s="13"/>
      <c r="BN338" s="11"/>
      <c r="BO338" s="11"/>
      <c r="BP338" s="13"/>
      <c r="BQ338" s="11"/>
      <c r="BR338" s="12"/>
      <c r="BS338" s="12"/>
      <c r="BT338" s="11">
        <v>34</v>
      </c>
      <c r="BU338" s="13">
        <v>13358.17</v>
      </c>
      <c r="BV338" s="11">
        <v>12</v>
      </c>
      <c r="BW338" s="11"/>
      <c r="BX338" s="13"/>
      <c r="BY338" s="11"/>
      <c r="BZ338" s="12"/>
      <c r="CA338" s="12"/>
      <c r="CB338" s="11"/>
      <c r="CC338" s="13"/>
      <c r="CD338" s="11"/>
      <c r="CE338" s="11"/>
      <c r="CF338" s="13"/>
      <c r="CG338" s="11"/>
      <c r="CH338" s="12"/>
      <c r="CI338" s="12"/>
      <c r="CJ338" s="11"/>
      <c r="CK338" s="13"/>
      <c r="CL338" s="11"/>
      <c r="CM338" s="11"/>
      <c r="CN338" s="13"/>
      <c r="CO338" s="11"/>
      <c r="CP338" s="12"/>
      <c r="CQ338" s="12"/>
      <c r="CR338" s="11"/>
      <c r="CS338" s="13"/>
      <c r="CT338" s="11"/>
      <c r="CU338" s="11"/>
      <c r="CV338" s="13"/>
      <c r="CW338" s="11"/>
      <c r="CX338" s="12"/>
      <c r="CY338" s="12"/>
      <c r="CZ338" s="11"/>
      <c r="DA338" s="13"/>
      <c r="DB338" s="11"/>
      <c r="DC338" s="11"/>
      <c r="DD338" s="13"/>
      <c r="DE338" s="11"/>
      <c r="DF338" s="12"/>
      <c r="DG338" s="12"/>
      <c r="DH338" s="11"/>
      <c r="DI338" s="13"/>
      <c r="DJ338" s="11"/>
      <c r="DK338" s="11"/>
      <c r="DL338" s="13"/>
      <c r="DM338" s="11"/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/>
      <c r="DY338" s="13"/>
      <c r="DZ338" s="11"/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/>
      <c r="EQ338" s="11"/>
      <c r="ER338" s="13"/>
      <c r="ES338" s="11"/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/>
      <c r="GE338" s="11"/>
      <c r="GF338" s="13"/>
      <c r="GG338" s="11"/>
      <c r="GH338" s="12"/>
      <c r="GI338" s="12"/>
      <c r="GJ338" s="11"/>
      <c r="GK338" s="13"/>
      <c r="GL338" s="11"/>
      <c r="GM338" s="11"/>
      <c r="GN338" s="13"/>
      <c r="GO338" s="11"/>
      <c r="GP338" s="12"/>
      <c r="GQ338" s="12"/>
      <c r="GR338" s="11"/>
      <c r="GS338" s="13"/>
      <c r="GT338" s="11">
        <v>7</v>
      </c>
      <c r="GU338" s="11"/>
      <c r="GV338" s="13"/>
      <c r="GW338" s="11"/>
      <c r="GX338" s="12"/>
      <c r="GY338" s="12"/>
      <c r="GZ338" s="11"/>
      <c r="HA338" s="13"/>
      <c r="HB338" s="11"/>
      <c r="HC338" s="11"/>
      <c r="HD338" s="13"/>
      <c r="HE338" s="11"/>
      <c r="HF338" s="12"/>
      <c r="HG338" s="12"/>
      <c r="HH338" s="11"/>
      <c r="HI338" s="13"/>
      <c r="HJ338" s="11"/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/>
      <c r="JO338" s="11"/>
      <c r="JP338" s="13"/>
      <c r="JQ338" s="11"/>
      <c r="JR338" s="12"/>
      <c r="JS338" s="12"/>
      <c r="JT338" s="11"/>
      <c r="JU338" s="13"/>
      <c r="JV338" s="11"/>
      <c r="JW338" s="11"/>
      <c r="JX338" s="13"/>
      <c r="JY338" s="11"/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  <c r="LH338" s="11"/>
      <c r="LI338" s="13"/>
      <c r="LJ338" s="11"/>
      <c r="LK338" s="11"/>
      <c r="LL338" s="13"/>
      <c r="LM338" s="11"/>
      <c r="LN338" s="12"/>
      <c r="LO338" s="12"/>
      <c r="LP338" s="11"/>
      <c r="LQ338" s="13"/>
      <c r="LR338" s="11"/>
      <c r="LS338" s="11"/>
      <c r="LT338" s="13"/>
      <c r="LU338" s="11"/>
      <c r="LV338" s="12"/>
      <c r="LW338" s="12"/>
    </row>
    <row r="339">
      <c r="A339" s="10" t="s">
        <v>212</v>
      </c>
      <c r="B339" s="10" t="s">
        <v>85</v>
      </c>
      <c r="C339" s="10" t="s">
        <v>214</v>
      </c>
      <c r="D339" s="11">
        <v>187</v>
      </c>
      <c r="E339" s="11">
        <f>=ROUNDDOWN(207.777777777778,0)</f>
      </c>
      <c r="F339" s="11"/>
      <c r="G339" s="12">
        <v>1</v>
      </c>
      <c r="H339" s="11"/>
      <c r="I339" s="11">
        <f>=ROUNDDOWN({0},0)</f>
      </c>
      <c r="J339" s="11"/>
      <c r="K339" s="12"/>
      <c r="L339" s="11">
        <v>7</v>
      </c>
      <c r="M339" s="13">
        <v>3710</v>
      </c>
      <c r="N339" s="11">
        <v>4</v>
      </c>
      <c r="O339" s="14">
        <v>927.5</v>
      </c>
      <c r="P339" s="11"/>
      <c r="Q339" s="13"/>
      <c r="R339" s="11"/>
      <c r="S339" s="14"/>
      <c r="T339" s="12"/>
      <c r="U339" s="12"/>
      <c r="V339" s="12"/>
      <c r="W339" s="12"/>
      <c r="X339" s="11"/>
      <c r="Y339" s="13"/>
      <c r="Z339" s="11"/>
      <c r="AA339" s="11"/>
      <c r="AB339" s="13"/>
      <c r="AC339" s="11"/>
      <c r="AD339" s="12"/>
      <c r="AE339" s="12"/>
      <c r="AF339" s="11"/>
      <c r="AG339" s="13"/>
      <c r="AH339" s="11">
        <v>4</v>
      </c>
      <c r="AI339" s="11"/>
      <c r="AJ339" s="13"/>
      <c r="AK339" s="11"/>
      <c r="AL339" s="12"/>
      <c r="AM339" s="12"/>
      <c r="AN339" s="11"/>
      <c r="AO339" s="13"/>
      <c r="AP339" s="11"/>
      <c r="AQ339" s="11"/>
      <c r="AR339" s="13"/>
      <c r="AS339" s="11"/>
      <c r="AT339" s="12"/>
      <c r="AU339" s="12"/>
      <c r="AV339" s="11"/>
      <c r="AW339" s="13"/>
      <c r="AX339" s="11"/>
      <c r="AY339" s="11"/>
      <c r="AZ339" s="13"/>
      <c r="BA339" s="11"/>
      <c r="BB339" s="12"/>
      <c r="BC339" s="12"/>
      <c r="BD339" s="11"/>
      <c r="BE339" s="13"/>
      <c r="BF339" s="11"/>
      <c r="BG339" s="11"/>
      <c r="BH339" s="13"/>
      <c r="BI339" s="11"/>
      <c r="BJ339" s="12"/>
      <c r="BK339" s="12"/>
      <c r="BL339" s="11"/>
      <c r="BM339" s="13"/>
      <c r="BN339" s="11"/>
      <c r="BO339" s="11"/>
      <c r="BP339" s="13"/>
      <c r="BQ339" s="11"/>
      <c r="BR339" s="12"/>
      <c r="BS339" s="12"/>
      <c r="BT339" s="11">
        <v>7</v>
      </c>
      <c r="BU339" s="13">
        <v>3710</v>
      </c>
      <c r="BV339" s="11">
        <v>4</v>
      </c>
      <c r="BW339" s="11"/>
      <c r="BX339" s="13"/>
      <c r="BY339" s="11"/>
      <c r="BZ339" s="12"/>
      <c r="CA339" s="12"/>
      <c r="CB339" s="11"/>
      <c r="CC339" s="13"/>
      <c r="CD339" s="11"/>
      <c r="CE339" s="11"/>
      <c r="CF339" s="13"/>
      <c r="CG339" s="11"/>
      <c r="CH339" s="12"/>
      <c r="CI339" s="12"/>
      <c r="CJ339" s="11"/>
      <c r="CK339" s="13"/>
      <c r="CL339" s="11"/>
      <c r="CM339" s="11"/>
      <c r="CN339" s="13"/>
      <c r="CO339" s="11"/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/>
      <c r="DC339" s="11"/>
      <c r="DD339" s="13"/>
      <c r="DE339" s="11"/>
      <c r="DF339" s="12"/>
      <c r="DG339" s="12"/>
      <c r="DH339" s="11"/>
      <c r="DI339" s="13"/>
      <c r="DJ339" s="11"/>
      <c r="DK339" s="11"/>
      <c r="DL339" s="13"/>
      <c r="DM339" s="11"/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/>
      <c r="DY339" s="13"/>
      <c r="DZ339" s="11"/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/>
      <c r="EQ339" s="11"/>
      <c r="ER339" s="13"/>
      <c r="ES339" s="11"/>
      <c r="ET339" s="12"/>
      <c r="EU339" s="12"/>
      <c r="EV339" s="11"/>
      <c r="EW339" s="13"/>
      <c r="EX339" s="11"/>
      <c r="EY339" s="11"/>
      <c r="EZ339" s="13"/>
      <c r="FA339" s="11"/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/>
      <c r="GE339" s="11"/>
      <c r="GF339" s="13"/>
      <c r="GG339" s="11"/>
      <c r="GH339" s="12"/>
      <c r="GI339" s="12"/>
      <c r="GJ339" s="11"/>
      <c r="GK339" s="13"/>
      <c r="GL339" s="11"/>
      <c r="GM339" s="11"/>
      <c r="GN339" s="13"/>
      <c r="GO339" s="11"/>
      <c r="GP339" s="12"/>
      <c r="GQ339" s="12"/>
      <c r="GR339" s="11"/>
      <c r="GS339" s="13"/>
      <c r="GT339" s="11">
        <v>4</v>
      </c>
      <c r="GU339" s="11"/>
      <c r="GV339" s="13"/>
      <c r="GW339" s="11"/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/>
      <c r="JO339" s="11"/>
      <c r="JP339" s="13"/>
      <c r="JQ339" s="11"/>
      <c r="JR339" s="12"/>
      <c r="JS339" s="12"/>
      <c r="JT339" s="11"/>
      <c r="JU339" s="13"/>
      <c r="JV339" s="11"/>
      <c r="JW339" s="11"/>
      <c r="JX339" s="13"/>
      <c r="JY339" s="11"/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/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  <c r="LH339" s="11"/>
      <c r="LI339" s="13"/>
      <c r="LJ339" s="11"/>
      <c r="LK339" s="11"/>
      <c r="LL339" s="13"/>
      <c r="LM339" s="11"/>
      <c r="LN339" s="12"/>
      <c r="LO339" s="12"/>
      <c r="LP339" s="11"/>
      <c r="LQ339" s="13"/>
      <c r="LR339" s="11"/>
      <c r="LS339" s="11"/>
      <c r="LT339" s="13"/>
      <c r="LU339" s="11"/>
      <c r="LV339" s="12"/>
      <c r="LW339" s="12"/>
    </row>
    <row r="340">
      <c r="A340" s="10" t="s">
        <v>212</v>
      </c>
      <c r="B340" s="10" t="s">
        <v>85</v>
      </c>
      <c r="C340" s="10" t="s">
        <v>215</v>
      </c>
      <c r="D340" s="11">
        <v>26</v>
      </c>
      <c r="E340" s="11">
        <f>=ROUNDDOWN(21.6666666666667,0)</f>
      </c>
      <c r="F340" s="11"/>
      <c r="G340" s="12">
        <v>1</v>
      </c>
      <c r="H340" s="11"/>
      <c r="I340" s="11">
        <f>=ROUNDDOWN({0},0)</f>
      </c>
      <c r="J340" s="11"/>
      <c r="K340" s="12"/>
      <c r="L340" s="11">
        <v>19</v>
      </c>
      <c r="M340" s="13">
        <v>6847.26</v>
      </c>
      <c r="N340" s="11">
        <v>2</v>
      </c>
      <c r="O340" s="14">
        <v>3423.63</v>
      </c>
      <c r="P340" s="11"/>
      <c r="Q340" s="13"/>
      <c r="R340" s="11"/>
      <c r="S340" s="14"/>
      <c r="T340" s="12"/>
      <c r="U340" s="12"/>
      <c r="V340" s="12"/>
      <c r="W340" s="12"/>
      <c r="X340" s="11"/>
      <c r="Y340" s="13"/>
      <c r="Z340" s="11"/>
      <c r="AA340" s="11"/>
      <c r="AB340" s="13"/>
      <c r="AC340" s="11"/>
      <c r="AD340" s="12"/>
      <c r="AE340" s="12"/>
      <c r="AF340" s="11"/>
      <c r="AG340" s="13"/>
      <c r="AH340" s="11">
        <v>2</v>
      </c>
      <c r="AI340" s="11"/>
      <c r="AJ340" s="13"/>
      <c r="AK340" s="11"/>
      <c r="AL340" s="12"/>
      <c r="AM340" s="12"/>
      <c r="AN340" s="11"/>
      <c r="AO340" s="13"/>
      <c r="AP340" s="11"/>
      <c r="AQ340" s="11"/>
      <c r="AR340" s="13"/>
      <c r="AS340" s="11"/>
      <c r="AT340" s="12"/>
      <c r="AU340" s="12"/>
      <c r="AV340" s="11"/>
      <c r="AW340" s="13"/>
      <c r="AX340" s="11"/>
      <c r="AY340" s="11"/>
      <c r="AZ340" s="13"/>
      <c r="BA340" s="11"/>
      <c r="BB340" s="12"/>
      <c r="BC340" s="12"/>
      <c r="BD340" s="11"/>
      <c r="BE340" s="13"/>
      <c r="BF340" s="11"/>
      <c r="BG340" s="11"/>
      <c r="BH340" s="13"/>
      <c r="BI340" s="11"/>
      <c r="BJ340" s="12"/>
      <c r="BK340" s="12"/>
      <c r="BL340" s="11"/>
      <c r="BM340" s="13"/>
      <c r="BN340" s="11"/>
      <c r="BO340" s="11"/>
      <c r="BP340" s="13"/>
      <c r="BQ340" s="11"/>
      <c r="BR340" s="12"/>
      <c r="BS340" s="12"/>
      <c r="BT340" s="11">
        <v>19</v>
      </c>
      <c r="BU340" s="13">
        <v>6847.26</v>
      </c>
      <c r="BV340" s="11">
        <v>2</v>
      </c>
      <c r="BW340" s="11"/>
      <c r="BX340" s="13"/>
      <c r="BY340" s="11"/>
      <c r="BZ340" s="12"/>
      <c r="CA340" s="12"/>
      <c r="CB340" s="11"/>
      <c r="CC340" s="13"/>
      <c r="CD340" s="11"/>
      <c r="CE340" s="11"/>
      <c r="CF340" s="13"/>
      <c r="CG340" s="11"/>
      <c r="CH340" s="12"/>
      <c r="CI340" s="12"/>
      <c r="CJ340" s="11"/>
      <c r="CK340" s="13"/>
      <c r="CL340" s="11"/>
      <c r="CM340" s="11"/>
      <c r="CN340" s="13"/>
      <c r="CO340" s="11"/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/>
      <c r="DI340" s="13"/>
      <c r="DJ340" s="11"/>
      <c r="DK340" s="11"/>
      <c r="DL340" s="13"/>
      <c r="DM340" s="11"/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/>
      <c r="DY340" s="13"/>
      <c r="DZ340" s="11"/>
      <c r="EA340" s="11"/>
      <c r="EB340" s="13"/>
      <c r="EC340" s="11"/>
      <c r="ED340" s="12"/>
      <c r="EE340" s="12"/>
      <c r="EF340" s="11"/>
      <c r="EG340" s="13"/>
      <c r="EH340" s="11"/>
      <c r="EI340" s="11"/>
      <c r="EJ340" s="13"/>
      <c r="EK340" s="11"/>
      <c r="EL340" s="12"/>
      <c r="EM340" s="12"/>
      <c r="EN340" s="11"/>
      <c r="EO340" s="13"/>
      <c r="EP340" s="11"/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/>
      <c r="FE340" s="13"/>
      <c r="FF340" s="11"/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/>
      <c r="FU340" s="13"/>
      <c r="FV340" s="11"/>
      <c r="FW340" s="11"/>
      <c r="FX340" s="13"/>
      <c r="FY340" s="11"/>
      <c r="FZ340" s="12"/>
      <c r="GA340" s="12"/>
      <c r="GB340" s="11"/>
      <c r="GC340" s="13"/>
      <c r="GD340" s="11"/>
      <c r="GE340" s="11"/>
      <c r="GF340" s="13"/>
      <c r="GG340" s="11"/>
      <c r="GH340" s="12"/>
      <c r="GI340" s="12"/>
      <c r="GJ340" s="11"/>
      <c r="GK340" s="13"/>
      <c r="GL340" s="11"/>
      <c r="GM340" s="11"/>
      <c r="GN340" s="13"/>
      <c r="GO340" s="11"/>
      <c r="GP340" s="12"/>
      <c r="GQ340" s="12"/>
      <c r="GR340" s="11"/>
      <c r="GS340" s="13"/>
      <c r="GT340" s="11">
        <v>2</v>
      </c>
      <c r="GU340" s="11"/>
      <c r="GV340" s="13"/>
      <c r="GW340" s="11"/>
      <c r="GX340" s="12"/>
      <c r="GY340" s="12"/>
      <c r="GZ340" s="11"/>
      <c r="HA340" s="13"/>
      <c r="HB340" s="11"/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/>
      <c r="JO340" s="11"/>
      <c r="JP340" s="13"/>
      <c r="JQ340" s="11"/>
      <c r="JR340" s="12"/>
      <c r="JS340" s="12"/>
      <c r="JT340" s="11"/>
      <c r="JU340" s="13"/>
      <c r="JV340" s="11"/>
      <c r="JW340" s="11"/>
      <c r="JX340" s="13"/>
      <c r="JY340" s="11"/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/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  <c r="LH340" s="11"/>
      <c r="LI340" s="13"/>
      <c r="LJ340" s="11"/>
      <c r="LK340" s="11"/>
      <c r="LL340" s="13"/>
      <c r="LM340" s="11"/>
      <c r="LN340" s="12"/>
      <c r="LO340" s="12"/>
      <c r="LP340" s="11"/>
      <c r="LQ340" s="13"/>
      <c r="LR340" s="11"/>
      <c r="LS340" s="11"/>
      <c r="LT340" s="13"/>
      <c r="LU340" s="11"/>
      <c r="LV340" s="12"/>
      <c r="LW340" s="12"/>
    </row>
    <row r="341">
      <c r="A341" s="10" t="s">
        <v>212</v>
      </c>
      <c r="B341" s="10" t="s">
        <v>85</v>
      </c>
      <c r="C341" s="10" t="s">
        <v>216</v>
      </c>
      <c r="D341" s="11"/>
      <c r="E341" s="11">
        <f>=ROUNDDOWN({0},0)</f>
      </c>
      <c r="F341" s="11"/>
      <c r="G341" s="12">
        <v>0.2075</v>
      </c>
      <c r="H341" s="11"/>
      <c r="I341" s="11">
        <f>=ROUNDDOWN({0},0)</f>
      </c>
      <c r="J341" s="11"/>
      <c r="K341" s="12"/>
      <c r="L341" s="11"/>
      <c r="M341" s="13"/>
      <c r="N341" s="11">
        <v>1</v>
      </c>
      <c r="O341" s="14"/>
      <c r="P341" s="11"/>
      <c r="Q341" s="13"/>
      <c r="R341" s="11"/>
      <c r="S341" s="14"/>
      <c r="T341" s="12"/>
      <c r="U341" s="12"/>
      <c r="V341" s="12"/>
      <c r="W341" s="12"/>
      <c r="X341" s="11"/>
      <c r="Y341" s="13"/>
      <c r="Z341" s="11"/>
      <c r="AA341" s="11"/>
      <c r="AB341" s="13"/>
      <c r="AC341" s="11"/>
      <c r="AD341" s="12"/>
      <c r="AE341" s="12"/>
      <c r="AF341" s="11"/>
      <c r="AG341" s="13"/>
      <c r="AH341" s="11"/>
      <c r="AI341" s="11"/>
      <c r="AJ341" s="13"/>
      <c r="AK341" s="11"/>
      <c r="AL341" s="12"/>
      <c r="AM341" s="12"/>
      <c r="AN341" s="11"/>
      <c r="AO341" s="13"/>
      <c r="AP341" s="11"/>
      <c r="AQ341" s="11"/>
      <c r="AR341" s="13"/>
      <c r="AS341" s="11"/>
      <c r="AT341" s="12"/>
      <c r="AU341" s="12"/>
      <c r="AV341" s="11"/>
      <c r="AW341" s="13"/>
      <c r="AX341" s="11"/>
      <c r="AY341" s="11"/>
      <c r="AZ341" s="13"/>
      <c r="BA341" s="11"/>
      <c r="BB341" s="12"/>
      <c r="BC341" s="12"/>
      <c r="BD341" s="11"/>
      <c r="BE341" s="13"/>
      <c r="BF341" s="11"/>
      <c r="BG341" s="11"/>
      <c r="BH341" s="13"/>
      <c r="BI341" s="11"/>
      <c r="BJ341" s="12"/>
      <c r="BK341" s="12"/>
      <c r="BL341" s="11"/>
      <c r="BM341" s="13"/>
      <c r="BN341" s="11"/>
      <c r="BO341" s="11"/>
      <c r="BP341" s="13"/>
      <c r="BQ341" s="11"/>
      <c r="BR341" s="12"/>
      <c r="BS341" s="12"/>
      <c r="BT341" s="11"/>
      <c r="BU341" s="13"/>
      <c r="BV341" s="11">
        <v>1</v>
      </c>
      <c r="BW341" s="11"/>
      <c r="BX341" s="13"/>
      <c r="BY341" s="11"/>
      <c r="BZ341" s="12"/>
      <c r="CA341" s="12"/>
      <c r="CB341" s="11"/>
      <c r="CC341" s="13"/>
      <c r="CD341" s="11"/>
      <c r="CE341" s="11"/>
      <c r="CF341" s="13"/>
      <c r="CG341" s="11"/>
      <c r="CH341" s="12"/>
      <c r="CI341" s="12"/>
      <c r="CJ341" s="11"/>
      <c r="CK341" s="13"/>
      <c r="CL341" s="11"/>
      <c r="CM341" s="11"/>
      <c r="CN341" s="13"/>
      <c r="CO341" s="11"/>
      <c r="CP341" s="12"/>
      <c r="CQ341" s="12"/>
      <c r="CR341" s="11"/>
      <c r="CS341" s="13"/>
      <c r="CT341" s="11"/>
      <c r="CU341" s="11"/>
      <c r="CV341" s="13"/>
      <c r="CW341" s="11"/>
      <c r="CX341" s="12"/>
      <c r="CY341" s="12"/>
      <c r="CZ341" s="11"/>
      <c r="DA341" s="13"/>
      <c r="DB341" s="11"/>
      <c r="DC341" s="11"/>
      <c r="DD341" s="13"/>
      <c r="DE341" s="11"/>
      <c r="DF341" s="12"/>
      <c r="DG341" s="12"/>
      <c r="DH341" s="11"/>
      <c r="DI341" s="13"/>
      <c r="DJ341" s="11"/>
      <c r="DK341" s="11"/>
      <c r="DL341" s="13"/>
      <c r="DM341" s="11"/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/>
      <c r="DY341" s="13"/>
      <c r="DZ341" s="11"/>
      <c r="EA341" s="11"/>
      <c r="EB341" s="13"/>
      <c r="EC341" s="11"/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/>
      <c r="EQ341" s="11"/>
      <c r="ER341" s="13"/>
      <c r="ES341" s="11"/>
      <c r="ET341" s="12"/>
      <c r="EU341" s="12"/>
      <c r="EV341" s="11"/>
      <c r="EW341" s="13"/>
      <c r="EX341" s="11"/>
      <c r="EY341" s="11"/>
      <c r="EZ341" s="13"/>
      <c r="FA341" s="11"/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/>
      <c r="FO341" s="11"/>
      <c r="FP341" s="13"/>
      <c r="FQ341" s="11"/>
      <c r="FR341" s="12"/>
      <c r="FS341" s="12"/>
      <c r="FT341" s="11"/>
      <c r="FU341" s="13"/>
      <c r="FV341" s="11"/>
      <c r="FW341" s="11"/>
      <c r="FX341" s="13"/>
      <c r="FY341" s="11"/>
      <c r="FZ341" s="12"/>
      <c r="GA341" s="12"/>
      <c r="GB341" s="11"/>
      <c r="GC341" s="13"/>
      <c r="GD341" s="11"/>
      <c r="GE341" s="11"/>
      <c r="GF341" s="13"/>
      <c r="GG341" s="11"/>
      <c r="GH341" s="12"/>
      <c r="GI341" s="12"/>
      <c r="GJ341" s="11"/>
      <c r="GK341" s="13"/>
      <c r="GL341" s="11"/>
      <c r="GM341" s="11"/>
      <c r="GN341" s="13"/>
      <c r="GO341" s="11"/>
      <c r="GP341" s="12"/>
      <c r="GQ341" s="12"/>
      <c r="GR341" s="11"/>
      <c r="GS341" s="13"/>
      <c r="GT341" s="11"/>
      <c r="GU341" s="11"/>
      <c r="GV341" s="13"/>
      <c r="GW341" s="11"/>
      <c r="GX341" s="12"/>
      <c r="GY341" s="12"/>
      <c r="GZ341" s="11"/>
      <c r="HA341" s="13"/>
      <c r="HB341" s="11"/>
      <c r="HC341" s="11"/>
      <c r="HD341" s="13"/>
      <c r="HE341" s="11"/>
      <c r="HF341" s="12"/>
      <c r="HG341" s="12"/>
      <c r="HH341" s="11"/>
      <c r="HI341" s="13"/>
      <c r="HJ341" s="11"/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/>
      <c r="JO341" s="11"/>
      <c r="JP341" s="13"/>
      <c r="JQ341" s="11"/>
      <c r="JR341" s="12"/>
      <c r="JS341" s="12"/>
      <c r="JT341" s="11"/>
      <c r="JU341" s="13"/>
      <c r="JV341" s="11"/>
      <c r="JW341" s="11"/>
      <c r="JX341" s="13"/>
      <c r="JY341" s="11"/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  <c r="LH341" s="11"/>
      <c r="LI341" s="13"/>
      <c r="LJ341" s="11"/>
      <c r="LK341" s="11"/>
      <c r="LL341" s="13"/>
      <c r="LM341" s="11"/>
      <c r="LN341" s="12"/>
      <c r="LO341" s="12"/>
      <c r="LP341" s="11"/>
      <c r="LQ341" s="13"/>
      <c r="LR341" s="11"/>
      <c r="LS341" s="11"/>
      <c r="LT341" s="13"/>
      <c r="LU341" s="11"/>
      <c r="LV341" s="12"/>
      <c r="LW341" s="12"/>
    </row>
    <row r="342">
      <c r="A342" s="10" t="s">
        <v>212</v>
      </c>
      <c r="B342" s="10" t="s">
        <v>85</v>
      </c>
      <c r="C342" s="10" t="s">
        <v>217</v>
      </c>
      <c r="D342" s="11">
        <v>25</v>
      </c>
      <c r="E342" s="11">
        <f>=ROUNDDOWN(83.3333333333333,0)</f>
      </c>
      <c r="F342" s="11"/>
      <c r="G342" s="12">
        <v>1</v>
      </c>
      <c r="H342" s="11"/>
      <c r="I342" s="11">
        <f>=ROUNDDOWN({0},0)</f>
      </c>
      <c r="J342" s="11"/>
      <c r="K342" s="12"/>
      <c r="L342" s="11">
        <v>8</v>
      </c>
      <c r="M342" s="13">
        <v>6036.4</v>
      </c>
      <c r="N342" s="11">
        <v>1</v>
      </c>
      <c r="O342" s="14">
        <v>6036.4</v>
      </c>
      <c r="P342" s="11"/>
      <c r="Q342" s="13"/>
      <c r="R342" s="11"/>
      <c r="S342" s="14"/>
      <c r="T342" s="12"/>
      <c r="U342" s="12"/>
      <c r="V342" s="12"/>
      <c r="W342" s="12"/>
      <c r="X342" s="11"/>
      <c r="Y342" s="13"/>
      <c r="Z342" s="11"/>
      <c r="AA342" s="11"/>
      <c r="AB342" s="13"/>
      <c r="AC342" s="11"/>
      <c r="AD342" s="12"/>
      <c r="AE342" s="12"/>
      <c r="AF342" s="11"/>
      <c r="AG342" s="13"/>
      <c r="AH342" s="11">
        <v>1</v>
      </c>
      <c r="AI342" s="11"/>
      <c r="AJ342" s="13"/>
      <c r="AK342" s="11"/>
      <c r="AL342" s="12"/>
      <c r="AM342" s="12"/>
      <c r="AN342" s="11"/>
      <c r="AO342" s="13"/>
      <c r="AP342" s="11"/>
      <c r="AQ342" s="11"/>
      <c r="AR342" s="13"/>
      <c r="AS342" s="11"/>
      <c r="AT342" s="12"/>
      <c r="AU342" s="12"/>
      <c r="AV342" s="11"/>
      <c r="AW342" s="13"/>
      <c r="AX342" s="11"/>
      <c r="AY342" s="11"/>
      <c r="AZ342" s="13"/>
      <c r="BA342" s="11"/>
      <c r="BB342" s="12"/>
      <c r="BC342" s="12"/>
      <c r="BD342" s="11"/>
      <c r="BE342" s="13"/>
      <c r="BF342" s="11"/>
      <c r="BG342" s="11"/>
      <c r="BH342" s="13"/>
      <c r="BI342" s="11"/>
      <c r="BJ342" s="12"/>
      <c r="BK342" s="12"/>
      <c r="BL342" s="11"/>
      <c r="BM342" s="13"/>
      <c r="BN342" s="11"/>
      <c r="BO342" s="11"/>
      <c r="BP342" s="13"/>
      <c r="BQ342" s="11"/>
      <c r="BR342" s="12"/>
      <c r="BS342" s="12"/>
      <c r="BT342" s="11">
        <v>8</v>
      </c>
      <c r="BU342" s="13">
        <v>6036.4</v>
      </c>
      <c r="BV342" s="11">
        <v>1</v>
      </c>
      <c r="BW342" s="11"/>
      <c r="BX342" s="13"/>
      <c r="BY342" s="11"/>
      <c r="BZ342" s="12"/>
      <c r="CA342" s="12"/>
      <c r="CB342" s="11"/>
      <c r="CC342" s="13"/>
      <c r="CD342" s="11"/>
      <c r="CE342" s="11"/>
      <c r="CF342" s="13"/>
      <c r="CG342" s="11"/>
      <c r="CH342" s="12"/>
      <c r="CI342" s="12"/>
      <c r="CJ342" s="11"/>
      <c r="CK342" s="13"/>
      <c r="CL342" s="11"/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/>
      <c r="CX342" s="12"/>
      <c r="CY342" s="12"/>
      <c r="CZ342" s="11"/>
      <c r="DA342" s="13"/>
      <c r="DB342" s="11"/>
      <c r="DC342" s="11"/>
      <c r="DD342" s="13"/>
      <c r="DE342" s="11"/>
      <c r="DF342" s="12"/>
      <c r="DG342" s="12"/>
      <c r="DH342" s="11"/>
      <c r="DI342" s="13"/>
      <c r="DJ342" s="11"/>
      <c r="DK342" s="11"/>
      <c r="DL342" s="13"/>
      <c r="DM342" s="11"/>
      <c r="DN342" s="12"/>
      <c r="DO342" s="12"/>
      <c r="DP342" s="11"/>
      <c r="DQ342" s="13"/>
      <c r="DR342" s="11"/>
      <c r="DS342" s="11"/>
      <c r="DT342" s="13"/>
      <c r="DU342" s="11"/>
      <c r="DV342" s="12"/>
      <c r="DW342" s="12"/>
      <c r="DX342" s="11"/>
      <c r="DY342" s="13"/>
      <c r="DZ342" s="11"/>
      <c r="EA342" s="11"/>
      <c r="EB342" s="13"/>
      <c r="EC342" s="11"/>
      <c r="ED342" s="12"/>
      <c r="EE342" s="12"/>
      <c r="EF342" s="11"/>
      <c r="EG342" s="13"/>
      <c r="EH342" s="11"/>
      <c r="EI342" s="11"/>
      <c r="EJ342" s="13"/>
      <c r="EK342" s="11"/>
      <c r="EL342" s="12"/>
      <c r="EM342" s="12"/>
      <c r="EN342" s="11"/>
      <c r="EO342" s="13"/>
      <c r="EP342" s="11"/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/>
      <c r="FE342" s="13"/>
      <c r="FF342" s="11"/>
      <c r="FG342" s="11"/>
      <c r="FH342" s="13"/>
      <c r="FI342" s="11"/>
      <c r="FJ342" s="12"/>
      <c r="FK342" s="12"/>
      <c r="FL342" s="11"/>
      <c r="FM342" s="13"/>
      <c r="FN342" s="11"/>
      <c r="FO342" s="11"/>
      <c r="FP342" s="13"/>
      <c r="FQ342" s="11"/>
      <c r="FR342" s="12"/>
      <c r="FS342" s="12"/>
      <c r="FT342" s="11"/>
      <c r="FU342" s="13"/>
      <c r="FV342" s="11"/>
      <c r="FW342" s="11"/>
      <c r="FX342" s="13"/>
      <c r="FY342" s="11"/>
      <c r="FZ342" s="12"/>
      <c r="GA342" s="12"/>
      <c r="GB342" s="11"/>
      <c r="GC342" s="13"/>
      <c r="GD342" s="11"/>
      <c r="GE342" s="11"/>
      <c r="GF342" s="13"/>
      <c r="GG342" s="11"/>
      <c r="GH342" s="12"/>
      <c r="GI342" s="12"/>
      <c r="GJ342" s="11"/>
      <c r="GK342" s="13"/>
      <c r="GL342" s="11"/>
      <c r="GM342" s="11"/>
      <c r="GN342" s="13"/>
      <c r="GO342" s="11"/>
      <c r="GP342" s="12"/>
      <c r="GQ342" s="12"/>
      <c r="GR342" s="11"/>
      <c r="GS342" s="13"/>
      <c r="GT342" s="11">
        <v>1</v>
      </c>
      <c r="GU342" s="11"/>
      <c r="GV342" s="13"/>
      <c r="GW342" s="11"/>
      <c r="GX342" s="12"/>
      <c r="GY342" s="12"/>
      <c r="GZ342" s="11"/>
      <c r="HA342" s="13"/>
      <c r="HB342" s="11"/>
      <c r="HC342" s="11"/>
      <c r="HD342" s="13"/>
      <c r="HE342" s="11"/>
      <c r="HF342" s="12"/>
      <c r="HG342" s="12"/>
      <c r="HH342" s="11"/>
      <c r="HI342" s="13"/>
      <c r="HJ342" s="11"/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/>
      <c r="JO342" s="11"/>
      <c r="JP342" s="13"/>
      <c r="JQ342" s="11"/>
      <c r="JR342" s="12"/>
      <c r="JS342" s="12"/>
      <c r="JT342" s="11"/>
      <c r="JU342" s="13"/>
      <c r="JV342" s="11"/>
      <c r="JW342" s="11"/>
      <c r="JX342" s="13"/>
      <c r="JY342" s="11"/>
      <c r="JZ342" s="12"/>
      <c r="KA342" s="12"/>
      <c r="KB342" s="11"/>
      <c r="KC342" s="13"/>
      <c r="KD342" s="11"/>
      <c r="KE342" s="11"/>
      <c r="KF342" s="13"/>
      <c r="KG342" s="11"/>
      <c r="KH342" s="12"/>
      <c r="KI342" s="12"/>
      <c r="KJ342" s="11"/>
      <c r="KK342" s="13"/>
      <c r="KL342" s="11"/>
      <c r="KM342" s="11"/>
      <c r="KN342" s="13"/>
      <c r="KO342" s="11"/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/>
      <c r="LC342" s="11"/>
      <c r="LD342" s="13"/>
      <c r="LE342" s="11"/>
      <c r="LF342" s="12"/>
      <c r="LG342" s="12"/>
      <c r="LH342" s="11"/>
      <c r="LI342" s="13"/>
      <c r="LJ342" s="11"/>
      <c r="LK342" s="11"/>
      <c r="LL342" s="13"/>
      <c r="LM342" s="11"/>
      <c r="LN342" s="12"/>
      <c r="LO342" s="12"/>
      <c r="LP342" s="11"/>
      <c r="LQ342" s="13"/>
      <c r="LR342" s="11"/>
      <c r="LS342" s="11"/>
      <c r="LT342" s="13"/>
      <c r="LU342" s="11"/>
      <c r="LV342" s="12"/>
      <c r="LW342" s="12"/>
    </row>
    <row r="343">
      <c r="A343" s="10" t="s">
        <v>212</v>
      </c>
      <c r="B343" s="10" t="s">
        <v>85</v>
      </c>
      <c r="C343" s="10" t="s">
        <v>218</v>
      </c>
      <c r="D343" s="11"/>
      <c r="E343" s="11">
        <f>=ROUNDDOWN({0},0)</f>
      </c>
      <c r="F343" s="11"/>
      <c r="G343" s="12"/>
      <c r="H343" s="11"/>
      <c r="I343" s="11">
        <f>=ROUNDDOWN({0},0)</f>
      </c>
      <c r="J343" s="11"/>
      <c r="K343" s="12"/>
      <c r="L343" s="11"/>
      <c r="M343" s="13"/>
      <c r="N343" s="11"/>
      <c r="O343" s="14"/>
      <c r="P343" s="11"/>
      <c r="Q343" s="13"/>
      <c r="R343" s="11"/>
      <c r="S343" s="14"/>
      <c r="T343" s="12"/>
      <c r="U343" s="12"/>
      <c r="V343" s="12"/>
      <c r="W343" s="12"/>
      <c r="X343" s="11"/>
      <c r="Y343" s="13"/>
      <c r="Z343" s="11"/>
      <c r="AA343" s="11"/>
      <c r="AB343" s="13"/>
      <c r="AC343" s="11"/>
      <c r="AD343" s="12"/>
      <c r="AE343" s="12"/>
      <c r="AF343" s="11"/>
      <c r="AG343" s="13"/>
      <c r="AH343" s="11"/>
      <c r="AI343" s="11"/>
      <c r="AJ343" s="13"/>
      <c r="AK343" s="11"/>
      <c r="AL343" s="12"/>
      <c r="AM343" s="12"/>
      <c r="AN343" s="11"/>
      <c r="AO343" s="13"/>
      <c r="AP343" s="11"/>
      <c r="AQ343" s="11"/>
      <c r="AR343" s="13"/>
      <c r="AS343" s="11"/>
      <c r="AT343" s="12"/>
      <c r="AU343" s="12"/>
      <c r="AV343" s="11"/>
      <c r="AW343" s="13"/>
      <c r="AX343" s="11"/>
      <c r="AY343" s="11"/>
      <c r="AZ343" s="13"/>
      <c r="BA343" s="11"/>
      <c r="BB343" s="12"/>
      <c r="BC343" s="12"/>
      <c r="BD343" s="11"/>
      <c r="BE343" s="13"/>
      <c r="BF343" s="11"/>
      <c r="BG343" s="11"/>
      <c r="BH343" s="13"/>
      <c r="BI343" s="11"/>
      <c r="BJ343" s="12"/>
      <c r="BK343" s="12"/>
      <c r="BL343" s="11"/>
      <c r="BM343" s="13"/>
      <c r="BN343" s="11"/>
      <c r="BO343" s="11"/>
      <c r="BP343" s="13"/>
      <c r="BQ343" s="11"/>
      <c r="BR343" s="12"/>
      <c r="BS343" s="12"/>
      <c r="BT343" s="11"/>
      <c r="BU343" s="13"/>
      <c r="BV343" s="11"/>
      <c r="BW343" s="11"/>
      <c r="BX343" s="13"/>
      <c r="BY343" s="11"/>
      <c r="BZ343" s="12"/>
      <c r="CA343" s="12"/>
      <c r="CB343" s="11"/>
      <c r="CC343" s="13"/>
      <c r="CD343" s="11"/>
      <c r="CE343" s="11"/>
      <c r="CF343" s="13"/>
      <c r="CG343" s="11"/>
      <c r="CH343" s="12"/>
      <c r="CI343" s="12"/>
      <c r="CJ343" s="11"/>
      <c r="CK343" s="13"/>
      <c r="CL343" s="11"/>
      <c r="CM343" s="11"/>
      <c r="CN343" s="13"/>
      <c r="CO343" s="11"/>
      <c r="CP343" s="12"/>
      <c r="CQ343" s="12"/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/>
      <c r="DK343" s="11"/>
      <c r="DL343" s="13"/>
      <c r="DM343" s="11"/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/>
      <c r="DY343" s="13"/>
      <c r="DZ343" s="11"/>
      <c r="EA343" s="11"/>
      <c r="EB343" s="13"/>
      <c r="EC343" s="11"/>
      <c r="ED343" s="12"/>
      <c r="EE343" s="12"/>
      <c r="EF343" s="11"/>
      <c r="EG343" s="13"/>
      <c r="EH343" s="11"/>
      <c r="EI343" s="11"/>
      <c r="EJ343" s="13"/>
      <c r="EK343" s="11"/>
      <c r="EL343" s="12"/>
      <c r="EM343" s="12"/>
      <c r="EN343" s="11"/>
      <c r="EO343" s="13"/>
      <c r="EP343" s="11"/>
      <c r="EQ343" s="11"/>
      <c r="ER343" s="13"/>
      <c r="ES343" s="11"/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/>
      <c r="FO343" s="11"/>
      <c r="FP343" s="13"/>
      <c r="FQ343" s="11"/>
      <c r="FR343" s="12"/>
      <c r="FS343" s="12"/>
      <c r="FT343" s="11"/>
      <c r="FU343" s="13"/>
      <c r="FV343" s="11"/>
      <c r="FW343" s="11"/>
      <c r="FX343" s="13"/>
      <c r="FY343" s="11"/>
      <c r="FZ343" s="12"/>
      <c r="GA343" s="12"/>
      <c r="GB343" s="11"/>
      <c r="GC343" s="13"/>
      <c r="GD343" s="11"/>
      <c r="GE343" s="11"/>
      <c r="GF343" s="13"/>
      <c r="GG343" s="11"/>
      <c r="GH343" s="12"/>
      <c r="GI343" s="12"/>
      <c r="GJ343" s="11"/>
      <c r="GK343" s="13"/>
      <c r="GL343" s="11"/>
      <c r="GM343" s="11"/>
      <c r="GN343" s="13"/>
      <c r="GO343" s="11"/>
      <c r="GP343" s="12"/>
      <c r="GQ343" s="12"/>
      <c r="GR343" s="11"/>
      <c r="GS343" s="13"/>
      <c r="GT343" s="11"/>
      <c r="GU343" s="11"/>
      <c r="GV343" s="13"/>
      <c r="GW343" s="11"/>
      <c r="GX343" s="12"/>
      <c r="GY343" s="12"/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/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/>
      <c r="JO343" s="11"/>
      <c r="JP343" s="13"/>
      <c r="JQ343" s="11"/>
      <c r="JR343" s="12"/>
      <c r="JS343" s="12"/>
      <c r="JT343" s="11"/>
      <c r="JU343" s="13"/>
      <c r="JV343" s="11"/>
      <c r="JW343" s="11"/>
      <c r="JX343" s="13"/>
      <c r="JY343" s="11"/>
      <c r="JZ343" s="12"/>
      <c r="KA343" s="12"/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/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  <c r="LH343" s="11"/>
      <c r="LI343" s="13"/>
      <c r="LJ343" s="11"/>
      <c r="LK343" s="11"/>
      <c r="LL343" s="13"/>
      <c r="LM343" s="11"/>
      <c r="LN343" s="12"/>
      <c r="LO343" s="12"/>
      <c r="LP343" s="11"/>
      <c r="LQ343" s="13"/>
      <c r="LR343" s="11"/>
      <c r="LS343" s="11"/>
      <c r="LT343" s="13"/>
      <c r="LU343" s="11"/>
      <c r="LV343" s="12"/>
      <c r="LW343" s="12"/>
    </row>
    <row r="344">
      <c r="A344" s="10" t="s">
        <v>212</v>
      </c>
      <c r="B344" s="10" t="s">
        <v>85</v>
      </c>
      <c r="C344" s="10" t="s">
        <v>219</v>
      </c>
      <c r="D344" s="11">
        <v>131</v>
      </c>
      <c r="E344" s="11">
        <f>=ROUNDDOWN(37.4285714285714,0)</f>
      </c>
      <c r="F344" s="11"/>
      <c r="G344" s="12">
        <v>1</v>
      </c>
      <c r="H344" s="11"/>
      <c r="I344" s="11">
        <f>=ROUNDDOWN({0},0)</f>
      </c>
      <c r="J344" s="11"/>
      <c r="K344" s="12"/>
      <c r="L344" s="11">
        <v>18</v>
      </c>
      <c r="M344" s="13">
        <v>4728.8</v>
      </c>
      <c r="N344" s="11">
        <v>3</v>
      </c>
      <c r="O344" s="14">
        <v>1576.27</v>
      </c>
      <c r="P344" s="11"/>
      <c r="Q344" s="13"/>
      <c r="R344" s="11"/>
      <c r="S344" s="14"/>
      <c r="T344" s="12"/>
      <c r="U344" s="12"/>
      <c r="V344" s="12"/>
      <c r="W344" s="12"/>
      <c r="X344" s="11"/>
      <c r="Y344" s="13"/>
      <c r="Z344" s="11"/>
      <c r="AA344" s="11"/>
      <c r="AB344" s="13"/>
      <c r="AC344" s="11"/>
      <c r="AD344" s="12"/>
      <c r="AE344" s="12"/>
      <c r="AF344" s="11"/>
      <c r="AG344" s="13"/>
      <c r="AH344" s="11">
        <v>3</v>
      </c>
      <c r="AI344" s="11"/>
      <c r="AJ344" s="13"/>
      <c r="AK344" s="11"/>
      <c r="AL344" s="12"/>
      <c r="AM344" s="12"/>
      <c r="AN344" s="11"/>
      <c r="AO344" s="13"/>
      <c r="AP344" s="11"/>
      <c r="AQ344" s="11"/>
      <c r="AR344" s="13"/>
      <c r="AS344" s="11"/>
      <c r="AT344" s="12"/>
      <c r="AU344" s="12"/>
      <c r="AV344" s="11"/>
      <c r="AW344" s="13"/>
      <c r="AX344" s="11"/>
      <c r="AY344" s="11"/>
      <c r="AZ344" s="13"/>
      <c r="BA344" s="11"/>
      <c r="BB344" s="12"/>
      <c r="BC344" s="12"/>
      <c r="BD344" s="11"/>
      <c r="BE344" s="13"/>
      <c r="BF344" s="11"/>
      <c r="BG344" s="11"/>
      <c r="BH344" s="13"/>
      <c r="BI344" s="11"/>
      <c r="BJ344" s="12"/>
      <c r="BK344" s="12"/>
      <c r="BL344" s="11"/>
      <c r="BM344" s="13"/>
      <c r="BN344" s="11"/>
      <c r="BO344" s="11"/>
      <c r="BP344" s="13"/>
      <c r="BQ344" s="11"/>
      <c r="BR344" s="12"/>
      <c r="BS344" s="12"/>
      <c r="BT344" s="11">
        <v>18</v>
      </c>
      <c r="BU344" s="13">
        <v>4728.8</v>
      </c>
      <c r="BV344" s="11">
        <v>3</v>
      </c>
      <c r="BW344" s="11"/>
      <c r="BX344" s="13"/>
      <c r="BY344" s="11"/>
      <c r="BZ344" s="12"/>
      <c r="CA344" s="12"/>
      <c r="CB344" s="11"/>
      <c r="CC344" s="13"/>
      <c r="CD344" s="11"/>
      <c r="CE344" s="11"/>
      <c r="CF344" s="13"/>
      <c r="CG344" s="11"/>
      <c r="CH344" s="12"/>
      <c r="CI344" s="12"/>
      <c r="CJ344" s="11"/>
      <c r="CK344" s="13"/>
      <c r="CL344" s="11"/>
      <c r="CM344" s="11"/>
      <c r="CN344" s="13"/>
      <c r="CO344" s="11"/>
      <c r="CP344" s="12"/>
      <c r="CQ344" s="12"/>
      <c r="CR344" s="11"/>
      <c r="CS344" s="13"/>
      <c r="CT344" s="11"/>
      <c r="CU344" s="11"/>
      <c r="CV344" s="13"/>
      <c r="CW344" s="11"/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/>
      <c r="DK344" s="11"/>
      <c r="DL344" s="13"/>
      <c r="DM344" s="11"/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/>
      <c r="DY344" s="13"/>
      <c r="DZ344" s="11"/>
      <c r="EA344" s="11"/>
      <c r="EB344" s="13"/>
      <c r="EC344" s="11"/>
      <c r="ED344" s="12"/>
      <c r="EE344" s="12"/>
      <c r="EF344" s="11"/>
      <c r="EG344" s="13"/>
      <c r="EH344" s="11"/>
      <c r="EI344" s="11"/>
      <c r="EJ344" s="13"/>
      <c r="EK344" s="11"/>
      <c r="EL344" s="12"/>
      <c r="EM344" s="12"/>
      <c r="EN344" s="11"/>
      <c r="EO344" s="13"/>
      <c r="EP344" s="11"/>
      <c r="EQ344" s="11"/>
      <c r="ER344" s="13"/>
      <c r="ES344" s="11"/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/>
      <c r="FO344" s="11"/>
      <c r="FP344" s="13"/>
      <c r="FQ344" s="11"/>
      <c r="FR344" s="12"/>
      <c r="FS344" s="12"/>
      <c r="FT344" s="11"/>
      <c r="FU344" s="13"/>
      <c r="FV344" s="11"/>
      <c r="FW344" s="11"/>
      <c r="FX344" s="13"/>
      <c r="FY344" s="11"/>
      <c r="FZ344" s="12"/>
      <c r="GA344" s="12"/>
      <c r="GB344" s="11"/>
      <c r="GC344" s="13"/>
      <c r="GD344" s="11"/>
      <c r="GE344" s="11"/>
      <c r="GF344" s="13"/>
      <c r="GG344" s="11"/>
      <c r="GH344" s="12"/>
      <c r="GI344" s="12"/>
      <c r="GJ344" s="11"/>
      <c r="GK344" s="13"/>
      <c r="GL344" s="11"/>
      <c r="GM344" s="11"/>
      <c r="GN344" s="13"/>
      <c r="GO344" s="11"/>
      <c r="GP344" s="12"/>
      <c r="GQ344" s="12"/>
      <c r="GR344" s="11"/>
      <c r="GS344" s="13"/>
      <c r="GT344" s="11">
        <v>3</v>
      </c>
      <c r="GU344" s="11"/>
      <c r="GV344" s="13"/>
      <c r="GW344" s="11"/>
      <c r="GX344" s="12"/>
      <c r="GY344" s="12"/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/>
      <c r="IW344" s="13"/>
      <c r="IX344" s="11"/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/>
      <c r="JO344" s="11"/>
      <c r="JP344" s="13"/>
      <c r="JQ344" s="11"/>
      <c r="JR344" s="12"/>
      <c r="JS344" s="12"/>
      <c r="JT344" s="11"/>
      <c r="JU344" s="13"/>
      <c r="JV344" s="11"/>
      <c r="JW344" s="11"/>
      <c r="JX344" s="13"/>
      <c r="JY344" s="11"/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  <c r="LH344" s="11"/>
      <c r="LI344" s="13"/>
      <c r="LJ344" s="11"/>
      <c r="LK344" s="11"/>
      <c r="LL344" s="13"/>
      <c r="LM344" s="11"/>
      <c r="LN344" s="12"/>
      <c r="LO344" s="12"/>
      <c r="LP344" s="11"/>
      <c r="LQ344" s="13"/>
      <c r="LR344" s="11"/>
      <c r="LS344" s="11"/>
      <c r="LT344" s="13"/>
      <c r="LU344" s="11"/>
      <c r="LV344" s="12"/>
      <c r="LW344" s="12"/>
    </row>
    <row r="345">
      <c r="A345" s="10" t="s">
        <v>212</v>
      </c>
      <c r="B345" s="10" t="s">
        <v>85</v>
      </c>
      <c r="C345" s="10" t="s">
        <v>220</v>
      </c>
      <c r="D345" s="11"/>
      <c r="E345" s="11">
        <f>=ROUNDDOWN({0},0)</f>
      </c>
      <c r="F345" s="11"/>
      <c r="G345" s="12"/>
      <c r="H345" s="11"/>
      <c r="I345" s="11">
        <f>=ROUNDDOWN({0},0)</f>
      </c>
      <c r="J345" s="11"/>
      <c r="K345" s="12"/>
      <c r="L345" s="11"/>
      <c r="M345" s="13"/>
      <c r="N345" s="11"/>
      <c r="O345" s="14"/>
      <c r="P345" s="11"/>
      <c r="Q345" s="13"/>
      <c r="R345" s="11"/>
      <c r="S345" s="14"/>
      <c r="T345" s="12"/>
      <c r="U345" s="12"/>
      <c r="V345" s="12"/>
      <c r="W345" s="12"/>
      <c r="X345" s="11"/>
      <c r="Y345" s="13"/>
      <c r="Z345" s="11"/>
      <c r="AA345" s="11"/>
      <c r="AB345" s="13"/>
      <c r="AC345" s="11"/>
      <c r="AD345" s="12"/>
      <c r="AE345" s="12"/>
      <c r="AF345" s="11"/>
      <c r="AG345" s="13"/>
      <c r="AH345" s="11"/>
      <c r="AI345" s="11"/>
      <c r="AJ345" s="13"/>
      <c r="AK345" s="11"/>
      <c r="AL345" s="12"/>
      <c r="AM345" s="12"/>
      <c r="AN345" s="11"/>
      <c r="AO345" s="13"/>
      <c r="AP345" s="11"/>
      <c r="AQ345" s="11"/>
      <c r="AR345" s="13"/>
      <c r="AS345" s="11"/>
      <c r="AT345" s="12"/>
      <c r="AU345" s="12"/>
      <c r="AV345" s="11"/>
      <c r="AW345" s="13"/>
      <c r="AX345" s="11"/>
      <c r="AY345" s="11"/>
      <c r="AZ345" s="13"/>
      <c r="BA345" s="11"/>
      <c r="BB345" s="12"/>
      <c r="BC345" s="12"/>
      <c r="BD345" s="11"/>
      <c r="BE345" s="13"/>
      <c r="BF345" s="11"/>
      <c r="BG345" s="11"/>
      <c r="BH345" s="13"/>
      <c r="BI345" s="11"/>
      <c r="BJ345" s="12"/>
      <c r="BK345" s="12"/>
      <c r="BL345" s="11"/>
      <c r="BM345" s="13"/>
      <c r="BN345" s="11"/>
      <c r="BO345" s="11"/>
      <c r="BP345" s="13"/>
      <c r="BQ345" s="11"/>
      <c r="BR345" s="12"/>
      <c r="BS345" s="12"/>
      <c r="BT345" s="11"/>
      <c r="BU345" s="13"/>
      <c r="BV345" s="11"/>
      <c r="BW345" s="11"/>
      <c r="BX345" s="13"/>
      <c r="BY345" s="11"/>
      <c r="BZ345" s="12"/>
      <c r="CA345" s="12"/>
      <c r="CB345" s="11"/>
      <c r="CC345" s="13"/>
      <c r="CD345" s="11"/>
      <c r="CE345" s="11"/>
      <c r="CF345" s="13"/>
      <c r="CG345" s="11"/>
      <c r="CH345" s="12"/>
      <c r="CI345" s="12"/>
      <c r="CJ345" s="11"/>
      <c r="CK345" s="13"/>
      <c r="CL345" s="11"/>
      <c r="CM345" s="11"/>
      <c r="CN345" s="13"/>
      <c r="CO345" s="11"/>
      <c r="CP345" s="12"/>
      <c r="CQ345" s="12"/>
      <c r="CR345" s="11"/>
      <c r="CS345" s="13"/>
      <c r="CT345" s="11"/>
      <c r="CU345" s="11"/>
      <c r="CV345" s="13"/>
      <c r="CW345" s="11"/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/>
      <c r="DK345" s="11"/>
      <c r="DL345" s="13"/>
      <c r="DM345" s="11"/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/>
      <c r="DY345" s="13"/>
      <c r="DZ345" s="11"/>
      <c r="EA345" s="11"/>
      <c r="EB345" s="13"/>
      <c r="EC345" s="11"/>
      <c r="ED345" s="12"/>
      <c r="EE345" s="12"/>
      <c r="EF345" s="11"/>
      <c r="EG345" s="13"/>
      <c r="EH345" s="11"/>
      <c r="EI345" s="11"/>
      <c r="EJ345" s="13"/>
      <c r="EK345" s="11"/>
      <c r="EL345" s="12"/>
      <c r="EM345" s="12"/>
      <c r="EN345" s="11"/>
      <c r="EO345" s="13"/>
      <c r="EP345" s="11"/>
      <c r="EQ345" s="11"/>
      <c r="ER345" s="13"/>
      <c r="ES345" s="11"/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/>
      <c r="FE345" s="13"/>
      <c r="FF345" s="11"/>
      <c r="FG345" s="11"/>
      <c r="FH345" s="13"/>
      <c r="FI345" s="11"/>
      <c r="FJ345" s="12"/>
      <c r="FK345" s="12"/>
      <c r="FL345" s="11"/>
      <c r="FM345" s="13"/>
      <c r="FN345" s="11"/>
      <c r="FO345" s="11"/>
      <c r="FP345" s="13"/>
      <c r="FQ345" s="11"/>
      <c r="FR345" s="12"/>
      <c r="FS345" s="12"/>
      <c r="FT345" s="11"/>
      <c r="FU345" s="13"/>
      <c r="FV345" s="11"/>
      <c r="FW345" s="11"/>
      <c r="FX345" s="13"/>
      <c r="FY345" s="11"/>
      <c r="FZ345" s="12"/>
      <c r="GA345" s="12"/>
      <c r="GB345" s="11"/>
      <c r="GC345" s="13"/>
      <c r="GD345" s="11"/>
      <c r="GE345" s="11"/>
      <c r="GF345" s="13"/>
      <c r="GG345" s="11"/>
      <c r="GH345" s="12"/>
      <c r="GI345" s="12"/>
      <c r="GJ345" s="11"/>
      <c r="GK345" s="13"/>
      <c r="GL345" s="11"/>
      <c r="GM345" s="11"/>
      <c r="GN345" s="13"/>
      <c r="GO345" s="11"/>
      <c r="GP345" s="12"/>
      <c r="GQ345" s="12"/>
      <c r="GR345" s="11"/>
      <c r="GS345" s="13"/>
      <c r="GT345" s="11"/>
      <c r="GU345" s="11"/>
      <c r="GV345" s="13"/>
      <c r="GW345" s="11"/>
      <c r="GX345" s="12"/>
      <c r="GY345" s="12"/>
      <c r="GZ345" s="11"/>
      <c r="HA345" s="13"/>
      <c r="HB345" s="11"/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/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/>
      <c r="JO345" s="11"/>
      <c r="JP345" s="13"/>
      <c r="JQ345" s="11"/>
      <c r="JR345" s="12"/>
      <c r="JS345" s="12"/>
      <c r="JT345" s="11"/>
      <c r="JU345" s="13"/>
      <c r="JV345" s="11"/>
      <c r="JW345" s="11"/>
      <c r="JX345" s="13"/>
      <c r="JY345" s="11"/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  <c r="LH345" s="11"/>
      <c r="LI345" s="13"/>
      <c r="LJ345" s="11"/>
      <c r="LK345" s="11"/>
      <c r="LL345" s="13"/>
      <c r="LM345" s="11"/>
      <c r="LN345" s="12"/>
      <c r="LO345" s="12"/>
      <c r="LP345" s="11"/>
      <c r="LQ345" s="13"/>
      <c r="LR345" s="11"/>
      <c r="LS345" s="11"/>
      <c r="LT345" s="13"/>
      <c r="LU345" s="11"/>
      <c r="LV345" s="12"/>
      <c r="LW345" s="12"/>
    </row>
    <row r="346">
      <c r="A346" s="10" t="s">
        <v>212</v>
      </c>
      <c r="B346" s="10" t="s">
        <v>85</v>
      </c>
      <c r="C346" s="10" t="s">
        <v>221</v>
      </c>
      <c r="D346" s="11">
        <v>111</v>
      </c>
      <c r="E346" s="11">
        <f>=ROUNDDOWN(85.3846153846154,0)</f>
      </c>
      <c r="F346" s="11"/>
      <c r="G346" s="12">
        <v>1</v>
      </c>
      <c r="H346" s="11"/>
      <c r="I346" s="11">
        <f>=ROUNDDOWN({0},0)</f>
      </c>
      <c r="J346" s="11"/>
      <c r="K346" s="12"/>
      <c r="L346" s="11">
        <v>12</v>
      </c>
      <c r="M346" s="13">
        <v>6894.49</v>
      </c>
      <c r="N346" s="11">
        <v>3</v>
      </c>
      <c r="O346" s="14">
        <v>2298.16</v>
      </c>
      <c r="P346" s="11"/>
      <c r="Q346" s="13"/>
      <c r="R346" s="11"/>
      <c r="S346" s="14"/>
      <c r="T346" s="12"/>
      <c r="U346" s="12"/>
      <c r="V346" s="12"/>
      <c r="W346" s="12"/>
      <c r="X346" s="11"/>
      <c r="Y346" s="13"/>
      <c r="Z346" s="11"/>
      <c r="AA346" s="11"/>
      <c r="AB346" s="13"/>
      <c r="AC346" s="11"/>
      <c r="AD346" s="12"/>
      <c r="AE346" s="12"/>
      <c r="AF346" s="11"/>
      <c r="AG346" s="13"/>
      <c r="AH346" s="11">
        <v>1</v>
      </c>
      <c r="AI346" s="11"/>
      <c r="AJ346" s="13"/>
      <c r="AK346" s="11"/>
      <c r="AL346" s="12"/>
      <c r="AM346" s="12"/>
      <c r="AN346" s="11"/>
      <c r="AO346" s="13"/>
      <c r="AP346" s="11"/>
      <c r="AQ346" s="11"/>
      <c r="AR346" s="13"/>
      <c r="AS346" s="11"/>
      <c r="AT346" s="12"/>
      <c r="AU346" s="12"/>
      <c r="AV346" s="11"/>
      <c r="AW346" s="13"/>
      <c r="AX346" s="11"/>
      <c r="AY346" s="11"/>
      <c r="AZ346" s="13"/>
      <c r="BA346" s="11"/>
      <c r="BB346" s="12"/>
      <c r="BC346" s="12"/>
      <c r="BD346" s="11"/>
      <c r="BE346" s="13"/>
      <c r="BF346" s="11"/>
      <c r="BG346" s="11"/>
      <c r="BH346" s="13"/>
      <c r="BI346" s="11"/>
      <c r="BJ346" s="12"/>
      <c r="BK346" s="12"/>
      <c r="BL346" s="11"/>
      <c r="BM346" s="13"/>
      <c r="BN346" s="11"/>
      <c r="BO346" s="11"/>
      <c r="BP346" s="13"/>
      <c r="BQ346" s="11"/>
      <c r="BR346" s="12"/>
      <c r="BS346" s="12"/>
      <c r="BT346" s="11">
        <v>12</v>
      </c>
      <c r="BU346" s="13">
        <v>6894.49</v>
      </c>
      <c r="BV346" s="11">
        <v>3</v>
      </c>
      <c r="BW346" s="11"/>
      <c r="BX346" s="13"/>
      <c r="BY346" s="11"/>
      <c r="BZ346" s="12"/>
      <c r="CA346" s="12"/>
      <c r="CB346" s="11"/>
      <c r="CC346" s="13"/>
      <c r="CD346" s="11"/>
      <c r="CE346" s="11"/>
      <c r="CF346" s="13"/>
      <c r="CG346" s="11"/>
      <c r="CH346" s="12"/>
      <c r="CI346" s="12"/>
      <c r="CJ346" s="11"/>
      <c r="CK346" s="13"/>
      <c r="CL346" s="11"/>
      <c r="CM346" s="11"/>
      <c r="CN346" s="13"/>
      <c r="CO346" s="11"/>
      <c r="CP346" s="12"/>
      <c r="CQ346" s="12"/>
      <c r="CR346" s="11"/>
      <c r="CS346" s="13"/>
      <c r="CT346" s="11"/>
      <c r="CU346" s="11"/>
      <c r="CV346" s="13"/>
      <c r="CW346" s="11"/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/>
      <c r="DK346" s="11"/>
      <c r="DL346" s="13"/>
      <c r="DM346" s="11"/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/>
      <c r="DY346" s="13"/>
      <c r="DZ346" s="11"/>
      <c r="EA346" s="11"/>
      <c r="EB346" s="13"/>
      <c r="EC346" s="11"/>
      <c r="ED346" s="12"/>
      <c r="EE346" s="12"/>
      <c r="EF346" s="11"/>
      <c r="EG346" s="13"/>
      <c r="EH346" s="11"/>
      <c r="EI346" s="11"/>
      <c r="EJ346" s="13"/>
      <c r="EK346" s="11"/>
      <c r="EL346" s="12"/>
      <c r="EM346" s="12"/>
      <c r="EN346" s="11"/>
      <c r="EO346" s="13"/>
      <c r="EP346" s="11"/>
      <c r="EQ346" s="11"/>
      <c r="ER346" s="13"/>
      <c r="ES346" s="11"/>
      <c r="ET346" s="12"/>
      <c r="EU346" s="12"/>
      <c r="EV346" s="11"/>
      <c r="EW346" s="13"/>
      <c r="EX346" s="11"/>
      <c r="EY346" s="11"/>
      <c r="EZ346" s="13"/>
      <c r="FA346" s="11"/>
      <c r="FB346" s="12"/>
      <c r="FC346" s="12"/>
      <c r="FD346" s="11"/>
      <c r="FE346" s="13"/>
      <c r="FF346" s="11"/>
      <c r="FG346" s="11"/>
      <c r="FH346" s="13"/>
      <c r="FI346" s="11"/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/>
      <c r="FW346" s="11"/>
      <c r="FX346" s="13"/>
      <c r="FY346" s="11"/>
      <c r="FZ346" s="12"/>
      <c r="GA346" s="12"/>
      <c r="GB346" s="11"/>
      <c r="GC346" s="13"/>
      <c r="GD346" s="11"/>
      <c r="GE346" s="11"/>
      <c r="GF346" s="13"/>
      <c r="GG346" s="11"/>
      <c r="GH346" s="12"/>
      <c r="GI346" s="12"/>
      <c r="GJ346" s="11"/>
      <c r="GK346" s="13"/>
      <c r="GL346" s="11"/>
      <c r="GM346" s="11"/>
      <c r="GN346" s="13"/>
      <c r="GO346" s="11"/>
      <c r="GP346" s="12"/>
      <c r="GQ346" s="12"/>
      <c r="GR346" s="11"/>
      <c r="GS346" s="13"/>
      <c r="GT346" s="11">
        <v>3</v>
      </c>
      <c r="GU346" s="11"/>
      <c r="GV346" s="13"/>
      <c r="GW346" s="11"/>
      <c r="GX346" s="12"/>
      <c r="GY346" s="12"/>
      <c r="GZ346" s="11"/>
      <c r="HA346" s="13"/>
      <c r="HB346" s="11"/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/>
      <c r="JO346" s="11"/>
      <c r="JP346" s="13"/>
      <c r="JQ346" s="11"/>
      <c r="JR346" s="12"/>
      <c r="JS346" s="12"/>
      <c r="JT346" s="11"/>
      <c r="JU346" s="13"/>
      <c r="JV346" s="11"/>
      <c r="JW346" s="11"/>
      <c r="JX346" s="13"/>
      <c r="JY346" s="11"/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  <c r="LH346" s="11"/>
      <c r="LI346" s="13"/>
      <c r="LJ346" s="11"/>
      <c r="LK346" s="11"/>
      <c r="LL346" s="13"/>
      <c r="LM346" s="11"/>
      <c r="LN346" s="12"/>
      <c r="LO346" s="12"/>
      <c r="LP346" s="11"/>
      <c r="LQ346" s="13"/>
      <c r="LR346" s="11"/>
      <c r="LS346" s="11"/>
      <c r="LT346" s="13"/>
      <c r="LU346" s="11"/>
      <c r="LV346" s="12"/>
      <c r="LW346" s="12"/>
    </row>
    <row r="347">
      <c r="A347" s="10" t="s">
        <v>212</v>
      </c>
      <c r="B347" s="10" t="s">
        <v>85</v>
      </c>
      <c r="C347" s="10" t="s">
        <v>222</v>
      </c>
      <c r="D347" s="11">
        <v>403</v>
      </c>
      <c r="E347" s="11">
        <f>=ROUNDDOWN(108.918918918919,0)</f>
      </c>
      <c r="F347" s="11">
        <v>142</v>
      </c>
      <c r="G347" s="12">
        <v>0.8711</v>
      </c>
      <c r="H347" s="11"/>
      <c r="I347" s="11">
        <f>=ROUNDDOWN({0},0)</f>
      </c>
      <c r="J347" s="11"/>
      <c r="K347" s="12"/>
      <c r="L347" s="11">
        <v>34</v>
      </c>
      <c r="M347" s="13">
        <v>16543.1</v>
      </c>
      <c r="N347" s="11">
        <v>18</v>
      </c>
      <c r="O347" s="14">
        <v>919.06</v>
      </c>
      <c r="P347" s="11"/>
      <c r="Q347" s="13"/>
      <c r="R347" s="11"/>
      <c r="S347" s="14"/>
      <c r="T347" s="12"/>
      <c r="U347" s="12"/>
      <c r="V347" s="12"/>
      <c r="W347" s="12"/>
      <c r="X347" s="11"/>
      <c r="Y347" s="13"/>
      <c r="Z347" s="11"/>
      <c r="AA347" s="11"/>
      <c r="AB347" s="13"/>
      <c r="AC347" s="11"/>
      <c r="AD347" s="12"/>
      <c r="AE347" s="12"/>
      <c r="AF347" s="11"/>
      <c r="AG347" s="13"/>
      <c r="AH347" s="11">
        <v>5</v>
      </c>
      <c r="AI347" s="11"/>
      <c r="AJ347" s="13"/>
      <c r="AK347" s="11"/>
      <c r="AL347" s="12"/>
      <c r="AM347" s="12"/>
      <c r="AN347" s="11"/>
      <c r="AO347" s="13"/>
      <c r="AP347" s="11"/>
      <c r="AQ347" s="11"/>
      <c r="AR347" s="13"/>
      <c r="AS347" s="11"/>
      <c r="AT347" s="12"/>
      <c r="AU347" s="12"/>
      <c r="AV347" s="11"/>
      <c r="AW347" s="13"/>
      <c r="AX347" s="11"/>
      <c r="AY347" s="11"/>
      <c r="AZ347" s="13"/>
      <c r="BA347" s="11"/>
      <c r="BB347" s="12"/>
      <c r="BC347" s="12"/>
      <c r="BD347" s="11"/>
      <c r="BE347" s="13"/>
      <c r="BF347" s="11"/>
      <c r="BG347" s="11"/>
      <c r="BH347" s="13"/>
      <c r="BI347" s="11"/>
      <c r="BJ347" s="12"/>
      <c r="BK347" s="12"/>
      <c r="BL347" s="11"/>
      <c r="BM347" s="13"/>
      <c r="BN347" s="11"/>
      <c r="BO347" s="11"/>
      <c r="BP347" s="13"/>
      <c r="BQ347" s="11"/>
      <c r="BR347" s="12"/>
      <c r="BS347" s="12"/>
      <c r="BT347" s="11">
        <v>34</v>
      </c>
      <c r="BU347" s="13">
        <v>16543.1</v>
      </c>
      <c r="BV347" s="11">
        <v>18</v>
      </c>
      <c r="BW347" s="11"/>
      <c r="BX347" s="13"/>
      <c r="BY347" s="11"/>
      <c r="BZ347" s="12"/>
      <c r="CA347" s="12"/>
      <c r="CB347" s="11"/>
      <c r="CC347" s="13"/>
      <c r="CD347" s="11"/>
      <c r="CE347" s="11"/>
      <c r="CF347" s="13"/>
      <c r="CG347" s="11"/>
      <c r="CH347" s="12"/>
      <c r="CI347" s="12"/>
      <c r="CJ347" s="11"/>
      <c r="CK347" s="13"/>
      <c r="CL347" s="11"/>
      <c r="CM347" s="11"/>
      <c r="CN347" s="13"/>
      <c r="CO347" s="11"/>
      <c r="CP347" s="12"/>
      <c r="CQ347" s="12"/>
      <c r="CR347" s="11"/>
      <c r="CS347" s="13"/>
      <c r="CT347" s="11"/>
      <c r="CU347" s="11"/>
      <c r="CV347" s="13"/>
      <c r="CW347" s="11"/>
      <c r="CX347" s="12"/>
      <c r="CY347" s="12"/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/>
      <c r="DK347" s="11"/>
      <c r="DL347" s="13"/>
      <c r="DM347" s="11"/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/>
      <c r="DY347" s="13"/>
      <c r="DZ347" s="11"/>
      <c r="EA347" s="11"/>
      <c r="EB347" s="13"/>
      <c r="EC347" s="11"/>
      <c r="ED347" s="12"/>
      <c r="EE347" s="12"/>
      <c r="EF347" s="11"/>
      <c r="EG347" s="13"/>
      <c r="EH347" s="11"/>
      <c r="EI347" s="11"/>
      <c r="EJ347" s="13"/>
      <c r="EK347" s="11"/>
      <c r="EL347" s="12"/>
      <c r="EM347" s="12"/>
      <c r="EN347" s="11"/>
      <c r="EO347" s="13"/>
      <c r="EP347" s="11"/>
      <c r="EQ347" s="11"/>
      <c r="ER347" s="13"/>
      <c r="ES347" s="11"/>
      <c r="ET347" s="12"/>
      <c r="EU347" s="12"/>
      <c r="EV347" s="11"/>
      <c r="EW347" s="13"/>
      <c r="EX347" s="11"/>
      <c r="EY347" s="11"/>
      <c r="EZ347" s="13"/>
      <c r="FA347" s="11"/>
      <c r="FB347" s="12"/>
      <c r="FC347" s="12"/>
      <c r="FD347" s="11"/>
      <c r="FE347" s="13"/>
      <c r="FF347" s="11"/>
      <c r="FG347" s="11"/>
      <c r="FH347" s="13"/>
      <c r="FI347" s="11"/>
      <c r="FJ347" s="12"/>
      <c r="FK347" s="12"/>
      <c r="FL347" s="11"/>
      <c r="FM347" s="13"/>
      <c r="FN347" s="11"/>
      <c r="FO347" s="11"/>
      <c r="FP347" s="13"/>
      <c r="FQ347" s="11"/>
      <c r="FR347" s="12"/>
      <c r="FS347" s="12"/>
      <c r="FT347" s="11"/>
      <c r="FU347" s="13"/>
      <c r="FV347" s="11"/>
      <c r="FW347" s="11"/>
      <c r="FX347" s="13"/>
      <c r="FY347" s="11"/>
      <c r="FZ347" s="12"/>
      <c r="GA347" s="12"/>
      <c r="GB347" s="11"/>
      <c r="GC347" s="13"/>
      <c r="GD347" s="11"/>
      <c r="GE347" s="11"/>
      <c r="GF347" s="13"/>
      <c r="GG347" s="11"/>
      <c r="GH347" s="12"/>
      <c r="GI347" s="12"/>
      <c r="GJ347" s="11"/>
      <c r="GK347" s="13"/>
      <c r="GL347" s="11"/>
      <c r="GM347" s="11"/>
      <c r="GN347" s="13"/>
      <c r="GO347" s="11"/>
      <c r="GP347" s="12"/>
      <c r="GQ347" s="12"/>
      <c r="GR347" s="11"/>
      <c r="GS347" s="13"/>
      <c r="GT347" s="11">
        <v>15</v>
      </c>
      <c r="GU347" s="11"/>
      <c r="GV347" s="13"/>
      <c r="GW347" s="11"/>
      <c r="GX347" s="12"/>
      <c r="GY347" s="12"/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/>
      <c r="JO347" s="11"/>
      <c r="JP347" s="13"/>
      <c r="JQ347" s="11"/>
      <c r="JR347" s="12"/>
      <c r="JS347" s="12"/>
      <c r="JT347" s="11"/>
      <c r="JU347" s="13"/>
      <c r="JV347" s="11"/>
      <c r="JW347" s="11"/>
      <c r="JX347" s="13"/>
      <c r="JY347" s="11"/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/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  <c r="LH347" s="11"/>
      <c r="LI347" s="13"/>
      <c r="LJ347" s="11"/>
      <c r="LK347" s="11"/>
      <c r="LL347" s="13"/>
      <c r="LM347" s="11"/>
      <c r="LN347" s="12"/>
      <c r="LO347" s="12"/>
      <c r="LP347" s="11"/>
      <c r="LQ347" s="13"/>
      <c r="LR347" s="11"/>
      <c r="LS347" s="11"/>
      <c r="LT347" s="13"/>
      <c r="LU347" s="11"/>
      <c r="LV347" s="12"/>
      <c r="LW347" s="12"/>
    </row>
    <row r="348">
      <c r="A348" s="10" t="s">
        <v>212</v>
      </c>
      <c r="B348" s="10" t="s">
        <v>85</v>
      </c>
      <c r="C348" s="10" t="s">
        <v>223</v>
      </c>
      <c r="D348" s="11"/>
      <c r="E348" s="11">
        <f>=ROUNDDOWN({0},0)</f>
      </c>
      <c r="F348" s="11"/>
      <c r="G348" s="12"/>
      <c r="H348" s="11"/>
      <c r="I348" s="11">
        <f>=ROUNDDOWN({0},0)</f>
      </c>
      <c r="J348" s="11"/>
      <c r="K348" s="12"/>
      <c r="L348" s="11"/>
      <c r="M348" s="13"/>
      <c r="N348" s="11"/>
      <c r="O348" s="14"/>
      <c r="P348" s="11"/>
      <c r="Q348" s="13"/>
      <c r="R348" s="11"/>
      <c r="S348" s="14"/>
      <c r="T348" s="12"/>
      <c r="U348" s="12"/>
      <c r="V348" s="12"/>
      <c r="W348" s="12"/>
      <c r="X348" s="11"/>
      <c r="Y348" s="13"/>
      <c r="Z348" s="11"/>
      <c r="AA348" s="11"/>
      <c r="AB348" s="13"/>
      <c r="AC348" s="11"/>
      <c r="AD348" s="12"/>
      <c r="AE348" s="12"/>
      <c r="AF348" s="11"/>
      <c r="AG348" s="13"/>
      <c r="AH348" s="11"/>
      <c r="AI348" s="11"/>
      <c r="AJ348" s="13"/>
      <c r="AK348" s="11"/>
      <c r="AL348" s="12"/>
      <c r="AM348" s="12"/>
      <c r="AN348" s="11"/>
      <c r="AO348" s="13"/>
      <c r="AP348" s="11"/>
      <c r="AQ348" s="11"/>
      <c r="AR348" s="13"/>
      <c r="AS348" s="11"/>
      <c r="AT348" s="12"/>
      <c r="AU348" s="12"/>
      <c r="AV348" s="11"/>
      <c r="AW348" s="13"/>
      <c r="AX348" s="11"/>
      <c r="AY348" s="11"/>
      <c r="AZ348" s="13"/>
      <c r="BA348" s="11"/>
      <c r="BB348" s="12"/>
      <c r="BC348" s="12"/>
      <c r="BD348" s="11"/>
      <c r="BE348" s="13"/>
      <c r="BF348" s="11"/>
      <c r="BG348" s="11"/>
      <c r="BH348" s="13"/>
      <c r="BI348" s="11"/>
      <c r="BJ348" s="12"/>
      <c r="BK348" s="12"/>
      <c r="BL348" s="11"/>
      <c r="BM348" s="13"/>
      <c r="BN348" s="11"/>
      <c r="BO348" s="11"/>
      <c r="BP348" s="13"/>
      <c r="BQ348" s="11"/>
      <c r="BR348" s="12"/>
      <c r="BS348" s="12"/>
      <c r="BT348" s="11"/>
      <c r="BU348" s="13"/>
      <c r="BV348" s="11"/>
      <c r="BW348" s="11"/>
      <c r="BX348" s="13"/>
      <c r="BY348" s="11"/>
      <c r="BZ348" s="12"/>
      <c r="CA348" s="12"/>
      <c r="CB348" s="11"/>
      <c r="CC348" s="13"/>
      <c r="CD348" s="11"/>
      <c r="CE348" s="11"/>
      <c r="CF348" s="13"/>
      <c r="CG348" s="11"/>
      <c r="CH348" s="12"/>
      <c r="CI348" s="12"/>
      <c r="CJ348" s="11"/>
      <c r="CK348" s="13"/>
      <c r="CL348" s="11"/>
      <c r="CM348" s="11"/>
      <c r="CN348" s="13"/>
      <c r="CO348" s="11"/>
      <c r="CP348" s="12"/>
      <c r="CQ348" s="12"/>
      <c r="CR348" s="11"/>
      <c r="CS348" s="13"/>
      <c r="CT348" s="11"/>
      <c r="CU348" s="11"/>
      <c r="CV348" s="13"/>
      <c r="CW348" s="11"/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/>
      <c r="DK348" s="11"/>
      <c r="DL348" s="13"/>
      <c r="DM348" s="11"/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/>
      <c r="DY348" s="13"/>
      <c r="DZ348" s="11"/>
      <c r="EA348" s="11"/>
      <c r="EB348" s="13"/>
      <c r="EC348" s="11"/>
      <c r="ED348" s="12"/>
      <c r="EE348" s="12"/>
      <c r="EF348" s="11"/>
      <c r="EG348" s="13"/>
      <c r="EH348" s="11"/>
      <c r="EI348" s="11"/>
      <c r="EJ348" s="13"/>
      <c r="EK348" s="11"/>
      <c r="EL348" s="12"/>
      <c r="EM348" s="12"/>
      <c r="EN348" s="11"/>
      <c r="EO348" s="13"/>
      <c r="EP348" s="11"/>
      <c r="EQ348" s="11"/>
      <c r="ER348" s="13"/>
      <c r="ES348" s="11"/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/>
      <c r="FU348" s="13"/>
      <c r="FV348" s="11"/>
      <c r="FW348" s="11"/>
      <c r="FX348" s="13"/>
      <c r="FY348" s="11"/>
      <c r="FZ348" s="12"/>
      <c r="GA348" s="12"/>
      <c r="GB348" s="11"/>
      <c r="GC348" s="13"/>
      <c r="GD348" s="11"/>
      <c r="GE348" s="11"/>
      <c r="GF348" s="13"/>
      <c r="GG348" s="11"/>
      <c r="GH348" s="12"/>
      <c r="GI348" s="12"/>
      <c r="GJ348" s="11"/>
      <c r="GK348" s="13"/>
      <c r="GL348" s="11"/>
      <c r="GM348" s="11"/>
      <c r="GN348" s="13"/>
      <c r="GO348" s="11"/>
      <c r="GP348" s="12"/>
      <c r="GQ348" s="12"/>
      <c r="GR348" s="11"/>
      <c r="GS348" s="13"/>
      <c r="GT348" s="11"/>
      <c r="GU348" s="11"/>
      <c r="GV348" s="13"/>
      <c r="GW348" s="11"/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/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/>
      <c r="JO348" s="11"/>
      <c r="JP348" s="13"/>
      <c r="JQ348" s="11"/>
      <c r="JR348" s="12"/>
      <c r="JS348" s="12"/>
      <c r="JT348" s="11"/>
      <c r="JU348" s="13"/>
      <c r="JV348" s="11"/>
      <c r="JW348" s="11"/>
      <c r="JX348" s="13"/>
      <c r="JY348" s="11"/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/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  <c r="LH348" s="11"/>
      <c r="LI348" s="13"/>
      <c r="LJ348" s="11"/>
      <c r="LK348" s="11"/>
      <c r="LL348" s="13"/>
      <c r="LM348" s="11"/>
      <c r="LN348" s="12"/>
      <c r="LO348" s="12"/>
      <c r="LP348" s="11"/>
      <c r="LQ348" s="13"/>
      <c r="LR348" s="11"/>
      <c r="LS348" s="11"/>
      <c r="LT348" s="13"/>
      <c r="LU348" s="11"/>
      <c r="LV348" s="12"/>
      <c r="LW348" s="12"/>
    </row>
    <row r="349">
      <c r="A349" s="10" t="s">
        <v>212</v>
      </c>
      <c r="B349" s="10" t="s">
        <v>85</v>
      </c>
      <c r="C349" s="10" t="s">
        <v>93</v>
      </c>
      <c r="D349" s="11">
        <v>1263</v>
      </c>
      <c r="E349" s="11">
        <f>=ROUNDDOWN(789.375,0)</f>
      </c>
      <c r="F349" s="11"/>
      <c r="G349" s="12">
        <v>1</v>
      </c>
      <c r="H349" s="11"/>
      <c r="I349" s="11">
        <f>=ROUNDDOWN({0},0)</f>
      </c>
      <c r="J349" s="11"/>
      <c r="K349" s="12"/>
      <c r="L349" s="11">
        <v>22</v>
      </c>
      <c r="M349" s="13">
        <v>965.38</v>
      </c>
      <c r="N349" s="11">
        <v>15</v>
      </c>
      <c r="O349" s="14">
        <v>64.36</v>
      </c>
      <c r="P349" s="11"/>
      <c r="Q349" s="13"/>
      <c r="R349" s="11"/>
      <c r="S349" s="14"/>
      <c r="T349" s="12"/>
      <c r="U349" s="12"/>
      <c r="V349" s="12"/>
      <c r="W349" s="12"/>
      <c r="X349" s="11"/>
      <c r="Y349" s="13"/>
      <c r="Z349" s="11"/>
      <c r="AA349" s="11"/>
      <c r="AB349" s="13"/>
      <c r="AC349" s="11"/>
      <c r="AD349" s="12"/>
      <c r="AE349" s="12"/>
      <c r="AF349" s="11"/>
      <c r="AG349" s="13"/>
      <c r="AH349" s="11"/>
      <c r="AI349" s="11"/>
      <c r="AJ349" s="13"/>
      <c r="AK349" s="11"/>
      <c r="AL349" s="12"/>
      <c r="AM349" s="12"/>
      <c r="AN349" s="11"/>
      <c r="AO349" s="13"/>
      <c r="AP349" s="11"/>
      <c r="AQ349" s="11"/>
      <c r="AR349" s="13"/>
      <c r="AS349" s="11"/>
      <c r="AT349" s="12"/>
      <c r="AU349" s="12"/>
      <c r="AV349" s="11"/>
      <c r="AW349" s="13"/>
      <c r="AX349" s="11"/>
      <c r="AY349" s="11"/>
      <c r="AZ349" s="13"/>
      <c r="BA349" s="11"/>
      <c r="BB349" s="12"/>
      <c r="BC349" s="12"/>
      <c r="BD349" s="11"/>
      <c r="BE349" s="13"/>
      <c r="BF349" s="11"/>
      <c r="BG349" s="11"/>
      <c r="BH349" s="13"/>
      <c r="BI349" s="11"/>
      <c r="BJ349" s="12"/>
      <c r="BK349" s="12"/>
      <c r="BL349" s="11"/>
      <c r="BM349" s="13"/>
      <c r="BN349" s="11"/>
      <c r="BO349" s="11"/>
      <c r="BP349" s="13"/>
      <c r="BQ349" s="11"/>
      <c r="BR349" s="12"/>
      <c r="BS349" s="12"/>
      <c r="BT349" s="11">
        <v>21</v>
      </c>
      <c r="BU349" s="13">
        <v>922.19</v>
      </c>
      <c r="BV349" s="11">
        <v>15</v>
      </c>
      <c r="BW349" s="11"/>
      <c r="BX349" s="13"/>
      <c r="BY349" s="11"/>
      <c r="BZ349" s="12"/>
      <c r="CA349" s="12"/>
      <c r="CB349" s="11"/>
      <c r="CC349" s="13"/>
      <c r="CD349" s="11"/>
      <c r="CE349" s="11"/>
      <c r="CF349" s="13"/>
      <c r="CG349" s="11"/>
      <c r="CH349" s="12"/>
      <c r="CI349" s="12"/>
      <c r="CJ349" s="11"/>
      <c r="CK349" s="13"/>
      <c r="CL349" s="11"/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/>
      <c r="DK349" s="11"/>
      <c r="DL349" s="13"/>
      <c r="DM349" s="11"/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/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/>
      <c r="FU349" s="13"/>
      <c r="FV349" s="11">
        <v>15</v>
      </c>
      <c r="FW349" s="11"/>
      <c r="FX349" s="13"/>
      <c r="FY349" s="11"/>
      <c r="FZ349" s="12"/>
      <c r="GA349" s="12"/>
      <c r="GB349" s="11"/>
      <c r="GC349" s="13"/>
      <c r="GD349" s="11"/>
      <c r="GE349" s="11"/>
      <c r="GF349" s="13"/>
      <c r="GG349" s="11"/>
      <c r="GH349" s="12"/>
      <c r="GI349" s="12"/>
      <c r="GJ349" s="11"/>
      <c r="GK349" s="13"/>
      <c r="GL349" s="11"/>
      <c r="GM349" s="11"/>
      <c r="GN349" s="13"/>
      <c r="GO349" s="11"/>
      <c r="GP349" s="12"/>
      <c r="GQ349" s="12"/>
      <c r="GR349" s="11">
        <v>1</v>
      </c>
      <c r="GS349" s="13">
        <v>43.19</v>
      </c>
      <c r="GT349" s="11">
        <v>15</v>
      </c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/>
      <c r="JR349" s="12"/>
      <c r="JS349" s="12"/>
      <c r="JT349" s="11"/>
      <c r="JU349" s="13"/>
      <c r="JV349" s="11"/>
      <c r="JW349" s="11"/>
      <c r="JX349" s="13"/>
      <c r="JY349" s="11"/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  <c r="LH349" s="11"/>
      <c r="LI349" s="13"/>
      <c r="LJ349" s="11"/>
      <c r="LK349" s="11"/>
      <c r="LL349" s="13"/>
      <c r="LM349" s="11"/>
      <c r="LN349" s="12"/>
      <c r="LO349" s="12"/>
      <c r="LP349" s="11"/>
      <c r="LQ349" s="13"/>
      <c r="LR349" s="11"/>
      <c r="LS349" s="11"/>
      <c r="LT349" s="13"/>
      <c r="LU349" s="11"/>
      <c r="LV349" s="12"/>
      <c r="LW349" s="12"/>
    </row>
    <row r="350">
      <c r="A350" s="10" t="s">
        <v>212</v>
      </c>
      <c r="B350" s="10" t="s">
        <v>85</v>
      </c>
      <c r="C350" s="10" t="s">
        <v>224</v>
      </c>
      <c r="D350" s="11">
        <v>82</v>
      </c>
      <c r="E350" s="11">
        <f>=ROUNDDOWN(22.7777777777778,0)</f>
      </c>
      <c r="F350" s="11"/>
      <c r="G350" s="12">
        <v>1</v>
      </c>
      <c r="H350" s="11"/>
      <c r="I350" s="11">
        <f>=ROUNDDOWN({0},0)</f>
      </c>
      <c r="J350" s="11"/>
      <c r="K350" s="12"/>
      <c r="L350" s="11">
        <v>16</v>
      </c>
      <c r="M350" s="13">
        <v>1728.3</v>
      </c>
      <c r="N350" s="11">
        <v>2</v>
      </c>
      <c r="O350" s="14">
        <v>864.15</v>
      </c>
      <c r="P350" s="11"/>
      <c r="Q350" s="13"/>
      <c r="R350" s="11"/>
      <c r="S350" s="14"/>
      <c r="T350" s="12"/>
      <c r="U350" s="12"/>
      <c r="V350" s="12"/>
      <c r="W350" s="12"/>
      <c r="X350" s="11"/>
      <c r="Y350" s="13"/>
      <c r="Z350" s="11"/>
      <c r="AA350" s="11"/>
      <c r="AB350" s="13"/>
      <c r="AC350" s="11"/>
      <c r="AD350" s="12"/>
      <c r="AE350" s="12"/>
      <c r="AF350" s="11"/>
      <c r="AG350" s="13"/>
      <c r="AH350" s="11">
        <v>2</v>
      </c>
      <c r="AI350" s="11"/>
      <c r="AJ350" s="13"/>
      <c r="AK350" s="11"/>
      <c r="AL350" s="12"/>
      <c r="AM350" s="12"/>
      <c r="AN350" s="11"/>
      <c r="AO350" s="13"/>
      <c r="AP350" s="11"/>
      <c r="AQ350" s="11"/>
      <c r="AR350" s="13"/>
      <c r="AS350" s="11"/>
      <c r="AT350" s="12"/>
      <c r="AU350" s="12"/>
      <c r="AV350" s="11"/>
      <c r="AW350" s="13"/>
      <c r="AX350" s="11"/>
      <c r="AY350" s="11"/>
      <c r="AZ350" s="13"/>
      <c r="BA350" s="11"/>
      <c r="BB350" s="12"/>
      <c r="BC350" s="12"/>
      <c r="BD350" s="11"/>
      <c r="BE350" s="13"/>
      <c r="BF350" s="11"/>
      <c r="BG350" s="11"/>
      <c r="BH350" s="13"/>
      <c r="BI350" s="11"/>
      <c r="BJ350" s="12"/>
      <c r="BK350" s="12"/>
      <c r="BL350" s="11"/>
      <c r="BM350" s="13"/>
      <c r="BN350" s="11"/>
      <c r="BO350" s="11"/>
      <c r="BP350" s="13"/>
      <c r="BQ350" s="11"/>
      <c r="BR350" s="12"/>
      <c r="BS350" s="12"/>
      <c r="BT350" s="11">
        <v>16</v>
      </c>
      <c r="BU350" s="13">
        <v>1728.3</v>
      </c>
      <c r="BV350" s="11">
        <v>2</v>
      </c>
      <c r="BW350" s="11"/>
      <c r="BX350" s="13"/>
      <c r="BY350" s="11"/>
      <c r="BZ350" s="12"/>
      <c r="CA350" s="12"/>
      <c r="CB350" s="11"/>
      <c r="CC350" s="13"/>
      <c r="CD350" s="11"/>
      <c r="CE350" s="11"/>
      <c r="CF350" s="13"/>
      <c r="CG350" s="11"/>
      <c r="CH350" s="12"/>
      <c r="CI350" s="12"/>
      <c r="CJ350" s="11"/>
      <c r="CK350" s="13"/>
      <c r="CL350" s="11"/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/>
      <c r="DK350" s="11"/>
      <c r="DL350" s="13"/>
      <c r="DM350" s="11"/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/>
      <c r="DY350" s="13"/>
      <c r="DZ350" s="11"/>
      <c r="EA350" s="11"/>
      <c r="EB350" s="13"/>
      <c r="EC350" s="11"/>
      <c r="ED350" s="12"/>
      <c r="EE350" s="12"/>
      <c r="EF350" s="11"/>
      <c r="EG350" s="13"/>
      <c r="EH350" s="11"/>
      <c r="EI350" s="11"/>
      <c r="EJ350" s="13"/>
      <c r="EK350" s="11"/>
      <c r="EL350" s="12"/>
      <c r="EM350" s="12"/>
      <c r="EN350" s="11"/>
      <c r="EO350" s="13"/>
      <c r="EP350" s="11"/>
      <c r="EQ350" s="11"/>
      <c r="ER350" s="13"/>
      <c r="ES350" s="11"/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/>
      <c r="FO350" s="11"/>
      <c r="FP350" s="13"/>
      <c r="FQ350" s="11"/>
      <c r="FR350" s="12"/>
      <c r="FS350" s="12"/>
      <c r="FT350" s="11"/>
      <c r="FU350" s="13"/>
      <c r="FV350" s="11">
        <v>2</v>
      </c>
      <c r="FW350" s="11"/>
      <c r="FX350" s="13"/>
      <c r="FY350" s="11"/>
      <c r="FZ350" s="12"/>
      <c r="GA350" s="12"/>
      <c r="GB350" s="11"/>
      <c r="GC350" s="13"/>
      <c r="GD350" s="11"/>
      <c r="GE350" s="11"/>
      <c r="GF350" s="13"/>
      <c r="GG350" s="11"/>
      <c r="GH350" s="12"/>
      <c r="GI350" s="12"/>
      <c r="GJ350" s="11"/>
      <c r="GK350" s="13"/>
      <c r="GL350" s="11"/>
      <c r="GM350" s="11"/>
      <c r="GN350" s="13"/>
      <c r="GO350" s="11"/>
      <c r="GP350" s="12"/>
      <c r="GQ350" s="12"/>
      <c r="GR350" s="11"/>
      <c r="GS350" s="13"/>
      <c r="GT350" s="11">
        <v>2</v>
      </c>
      <c r="GU350" s="11"/>
      <c r="GV350" s="13"/>
      <c r="GW350" s="11"/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/>
      <c r="JO350" s="11"/>
      <c r="JP350" s="13"/>
      <c r="JQ350" s="11"/>
      <c r="JR350" s="12"/>
      <c r="JS350" s="12"/>
      <c r="JT350" s="11"/>
      <c r="JU350" s="13"/>
      <c r="JV350" s="11"/>
      <c r="JW350" s="11"/>
      <c r="JX350" s="13"/>
      <c r="JY350" s="11"/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/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  <c r="LH350" s="11"/>
      <c r="LI350" s="13"/>
      <c r="LJ350" s="11"/>
      <c r="LK350" s="11"/>
      <c r="LL350" s="13"/>
      <c r="LM350" s="11"/>
      <c r="LN350" s="12"/>
      <c r="LO350" s="12"/>
      <c r="LP350" s="11"/>
      <c r="LQ350" s="13"/>
      <c r="LR350" s="11"/>
      <c r="LS350" s="11"/>
      <c r="LT350" s="13"/>
      <c r="LU350" s="11"/>
      <c r="LV350" s="12"/>
      <c r="LW350" s="12"/>
    </row>
    <row r="351">
      <c r="A351" s="10" t="s">
        <v>212</v>
      </c>
      <c r="B351" s="10" t="s">
        <v>85</v>
      </c>
      <c r="C351" s="10" t="s">
        <v>225</v>
      </c>
      <c r="D351" s="11">
        <v>676</v>
      </c>
      <c r="E351" s="11">
        <f>=ROUNDDOWN(92.6027397260274,0)</f>
      </c>
      <c r="F351" s="11">
        <v>49</v>
      </c>
      <c r="G351" s="12">
        <v>0.6341</v>
      </c>
      <c r="H351" s="11"/>
      <c r="I351" s="11">
        <f>=ROUNDDOWN({0},0)</f>
      </c>
      <c r="J351" s="11"/>
      <c r="K351" s="12"/>
      <c r="L351" s="11">
        <v>65</v>
      </c>
      <c r="M351" s="13">
        <v>13602.98</v>
      </c>
      <c r="N351" s="11">
        <v>15</v>
      </c>
      <c r="O351" s="14">
        <v>906.87</v>
      </c>
      <c r="P351" s="11"/>
      <c r="Q351" s="13"/>
      <c r="R351" s="11"/>
      <c r="S351" s="14"/>
      <c r="T351" s="12"/>
      <c r="U351" s="12"/>
      <c r="V351" s="12"/>
      <c r="W351" s="12"/>
      <c r="X351" s="11"/>
      <c r="Y351" s="13"/>
      <c r="Z351" s="11"/>
      <c r="AA351" s="11"/>
      <c r="AB351" s="13"/>
      <c r="AC351" s="11"/>
      <c r="AD351" s="12"/>
      <c r="AE351" s="12"/>
      <c r="AF351" s="11"/>
      <c r="AG351" s="13"/>
      <c r="AH351" s="11">
        <v>6</v>
      </c>
      <c r="AI351" s="11"/>
      <c r="AJ351" s="13"/>
      <c r="AK351" s="11"/>
      <c r="AL351" s="12"/>
      <c r="AM351" s="12"/>
      <c r="AN351" s="11"/>
      <c r="AO351" s="13"/>
      <c r="AP351" s="11"/>
      <c r="AQ351" s="11"/>
      <c r="AR351" s="13"/>
      <c r="AS351" s="11"/>
      <c r="AT351" s="12"/>
      <c r="AU351" s="12"/>
      <c r="AV351" s="11"/>
      <c r="AW351" s="13"/>
      <c r="AX351" s="11"/>
      <c r="AY351" s="11"/>
      <c r="AZ351" s="13"/>
      <c r="BA351" s="11"/>
      <c r="BB351" s="12"/>
      <c r="BC351" s="12"/>
      <c r="BD351" s="11"/>
      <c r="BE351" s="13"/>
      <c r="BF351" s="11"/>
      <c r="BG351" s="11"/>
      <c r="BH351" s="13"/>
      <c r="BI351" s="11"/>
      <c r="BJ351" s="12"/>
      <c r="BK351" s="12"/>
      <c r="BL351" s="11"/>
      <c r="BM351" s="13"/>
      <c r="BN351" s="11"/>
      <c r="BO351" s="11"/>
      <c r="BP351" s="13"/>
      <c r="BQ351" s="11"/>
      <c r="BR351" s="12"/>
      <c r="BS351" s="12"/>
      <c r="BT351" s="11">
        <v>61</v>
      </c>
      <c r="BU351" s="13">
        <v>12096.38</v>
      </c>
      <c r="BV351" s="11">
        <v>15</v>
      </c>
      <c r="BW351" s="11"/>
      <c r="BX351" s="13"/>
      <c r="BY351" s="11"/>
      <c r="BZ351" s="12"/>
      <c r="CA351" s="12"/>
      <c r="CB351" s="11"/>
      <c r="CC351" s="13"/>
      <c r="CD351" s="11"/>
      <c r="CE351" s="11"/>
      <c r="CF351" s="13"/>
      <c r="CG351" s="11"/>
      <c r="CH351" s="12"/>
      <c r="CI351" s="12"/>
      <c r="CJ351" s="11"/>
      <c r="CK351" s="13"/>
      <c r="CL351" s="11"/>
      <c r="CM351" s="11"/>
      <c r="CN351" s="13"/>
      <c r="CO351" s="11"/>
      <c r="CP351" s="12"/>
      <c r="CQ351" s="12"/>
      <c r="CR351" s="11"/>
      <c r="CS351" s="13"/>
      <c r="CT351" s="11"/>
      <c r="CU351" s="11"/>
      <c r="CV351" s="13"/>
      <c r="CW351" s="11"/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/>
      <c r="DK351" s="11"/>
      <c r="DL351" s="13"/>
      <c r="DM351" s="11"/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/>
      <c r="DY351" s="13"/>
      <c r="DZ351" s="11"/>
      <c r="EA351" s="11"/>
      <c r="EB351" s="13"/>
      <c r="EC351" s="11"/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/>
      <c r="EO351" s="13"/>
      <c r="EP351" s="11"/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/>
      <c r="FO351" s="11"/>
      <c r="FP351" s="13"/>
      <c r="FQ351" s="11"/>
      <c r="FR351" s="12"/>
      <c r="FS351" s="12"/>
      <c r="FT351" s="11"/>
      <c r="FU351" s="13"/>
      <c r="FV351" s="11">
        <v>5</v>
      </c>
      <c r="FW351" s="11"/>
      <c r="FX351" s="13"/>
      <c r="FY351" s="11"/>
      <c r="FZ351" s="12"/>
      <c r="GA351" s="12"/>
      <c r="GB351" s="11"/>
      <c r="GC351" s="13"/>
      <c r="GD351" s="11"/>
      <c r="GE351" s="11"/>
      <c r="GF351" s="13"/>
      <c r="GG351" s="11"/>
      <c r="GH351" s="12"/>
      <c r="GI351" s="12"/>
      <c r="GJ351" s="11"/>
      <c r="GK351" s="13"/>
      <c r="GL351" s="11"/>
      <c r="GM351" s="11"/>
      <c r="GN351" s="13"/>
      <c r="GO351" s="11"/>
      <c r="GP351" s="12"/>
      <c r="GQ351" s="12"/>
      <c r="GR351" s="11">
        <v>4</v>
      </c>
      <c r="GS351" s="13">
        <v>1506.6</v>
      </c>
      <c r="GT351" s="11">
        <v>8</v>
      </c>
      <c r="GU351" s="11"/>
      <c r="GV351" s="13"/>
      <c r="GW351" s="11"/>
      <c r="GX351" s="12"/>
      <c r="GY351" s="12"/>
      <c r="GZ351" s="11"/>
      <c r="HA351" s="13"/>
      <c r="HB351" s="11"/>
      <c r="HC351" s="11"/>
      <c r="HD351" s="13"/>
      <c r="HE351" s="11"/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/>
      <c r="JO351" s="11"/>
      <c r="JP351" s="13"/>
      <c r="JQ351" s="11"/>
      <c r="JR351" s="12"/>
      <c r="JS351" s="12"/>
      <c r="JT351" s="11"/>
      <c r="JU351" s="13"/>
      <c r="JV351" s="11"/>
      <c r="JW351" s="11"/>
      <c r="JX351" s="13"/>
      <c r="JY351" s="11"/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  <c r="LH351" s="11"/>
      <c r="LI351" s="13"/>
      <c r="LJ351" s="11"/>
      <c r="LK351" s="11"/>
      <c r="LL351" s="13"/>
      <c r="LM351" s="11"/>
      <c r="LN351" s="12"/>
      <c r="LO351" s="12"/>
      <c r="LP351" s="11"/>
      <c r="LQ351" s="13"/>
      <c r="LR351" s="11"/>
      <c r="LS351" s="11"/>
      <c r="LT351" s="13"/>
      <c r="LU351" s="11"/>
      <c r="LV351" s="12"/>
      <c r="LW351" s="12"/>
    </row>
    <row r="352">
      <c r="A352" s="10" t="s">
        <v>212</v>
      </c>
      <c r="B352" s="10" t="s">
        <v>86</v>
      </c>
      <c r="C352" s="10" t="s">
        <v>77</v>
      </c>
      <c r="D352" s="11">
        <v>3270</v>
      </c>
      <c r="E352" s="11">
        <f>=ROUNDDOWN({0},0)</f>
      </c>
      <c r="F352" s="11">
        <v>267</v>
      </c>
      <c r="G352" s="12"/>
      <c r="H352" s="11"/>
      <c r="I352" s="11">
        <f>=ROUNDDOWN({0},0)</f>
      </c>
      <c r="J352" s="11"/>
      <c r="K352" s="12"/>
      <c r="L352" s="11">
        <v>235</v>
      </c>
      <c r="M352" s="13">
        <v>74414.88</v>
      </c>
      <c r="N352" s="11">
        <v>76</v>
      </c>
      <c r="O352" s="14">
        <v>979.14</v>
      </c>
      <c r="P352" s="11"/>
      <c r="Q352" s="13"/>
      <c r="R352" s="11"/>
      <c r="S352" s="14"/>
      <c r="T352" s="12"/>
      <c r="U352" s="12"/>
      <c r="V352" s="12"/>
      <c r="W352" s="12"/>
      <c r="X352" s="11"/>
      <c r="Y352" s="13"/>
      <c r="Z352" s="11"/>
      <c r="AA352" s="11"/>
      <c r="AB352" s="13"/>
      <c r="AC352" s="11"/>
      <c r="AD352" s="12"/>
      <c r="AE352" s="12"/>
      <c r="AF352" s="11"/>
      <c r="AG352" s="13"/>
      <c r="AH352" s="11">
        <v>25</v>
      </c>
      <c r="AI352" s="11"/>
      <c r="AJ352" s="13"/>
      <c r="AK352" s="11"/>
      <c r="AL352" s="12"/>
      <c r="AM352" s="12"/>
      <c r="AN352" s="11"/>
      <c r="AO352" s="13"/>
      <c r="AP352" s="11"/>
      <c r="AQ352" s="11"/>
      <c r="AR352" s="13"/>
      <c r="AS352" s="11"/>
      <c r="AT352" s="12"/>
      <c r="AU352" s="12"/>
      <c r="AV352" s="11"/>
      <c r="AW352" s="13"/>
      <c r="AX352" s="11"/>
      <c r="AY352" s="11"/>
      <c r="AZ352" s="13"/>
      <c r="BA352" s="11"/>
      <c r="BB352" s="12"/>
      <c r="BC352" s="12"/>
      <c r="BD352" s="11"/>
      <c r="BE352" s="13"/>
      <c r="BF352" s="11"/>
      <c r="BG352" s="11"/>
      <c r="BH352" s="13"/>
      <c r="BI352" s="11"/>
      <c r="BJ352" s="12"/>
      <c r="BK352" s="12"/>
      <c r="BL352" s="11"/>
      <c r="BM352" s="13"/>
      <c r="BN352" s="11"/>
      <c r="BO352" s="11"/>
      <c r="BP352" s="13"/>
      <c r="BQ352" s="11"/>
      <c r="BR352" s="12"/>
      <c r="BS352" s="12"/>
      <c r="BT352" s="11">
        <v>230</v>
      </c>
      <c r="BU352" s="13">
        <v>72865.09</v>
      </c>
      <c r="BV352" s="11">
        <v>76</v>
      </c>
      <c r="BW352" s="11"/>
      <c r="BX352" s="13"/>
      <c r="BY352" s="11"/>
      <c r="BZ352" s="12"/>
      <c r="CA352" s="12"/>
      <c r="CB352" s="11"/>
      <c r="CC352" s="13"/>
      <c r="CD352" s="11"/>
      <c r="CE352" s="11"/>
      <c r="CF352" s="13"/>
      <c r="CG352" s="11"/>
      <c r="CH352" s="12"/>
      <c r="CI352" s="12"/>
      <c r="CJ352" s="11"/>
      <c r="CK352" s="13"/>
      <c r="CL352" s="11"/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/>
      <c r="DK352" s="11"/>
      <c r="DL352" s="13"/>
      <c r="DM352" s="11"/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/>
      <c r="EG352" s="13"/>
      <c r="EH352" s="11"/>
      <c r="EI352" s="11"/>
      <c r="EJ352" s="13"/>
      <c r="EK352" s="11"/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>
        <v>22</v>
      </c>
      <c r="FW352" s="11"/>
      <c r="FX352" s="13"/>
      <c r="FY352" s="11"/>
      <c r="FZ352" s="12"/>
      <c r="GA352" s="12"/>
      <c r="GB352" s="11"/>
      <c r="GC352" s="13"/>
      <c r="GD352" s="11"/>
      <c r="GE352" s="11"/>
      <c r="GF352" s="13"/>
      <c r="GG352" s="11"/>
      <c r="GH352" s="12"/>
      <c r="GI352" s="12"/>
      <c r="GJ352" s="11"/>
      <c r="GK352" s="13"/>
      <c r="GL352" s="11"/>
      <c r="GM352" s="11"/>
      <c r="GN352" s="13"/>
      <c r="GO352" s="11"/>
      <c r="GP352" s="12"/>
      <c r="GQ352" s="12"/>
      <c r="GR352" s="11">
        <v>5</v>
      </c>
      <c r="GS352" s="13">
        <v>1549.79</v>
      </c>
      <c r="GT352" s="11">
        <v>60</v>
      </c>
      <c r="GU352" s="11"/>
      <c r="GV352" s="13"/>
      <c r="GW352" s="11"/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/>
      <c r="JR352" s="12"/>
      <c r="JS352" s="12"/>
      <c r="JT352" s="11"/>
      <c r="JU352" s="13"/>
      <c r="JV352" s="11"/>
      <c r="JW352" s="11"/>
      <c r="JX352" s="13"/>
      <c r="JY352" s="11"/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  <c r="LH352" s="11"/>
      <c r="LI352" s="13"/>
      <c r="LJ352" s="11"/>
      <c r="LK352" s="11"/>
      <c r="LL352" s="13"/>
      <c r="LM352" s="11"/>
      <c r="LN352" s="12"/>
      <c r="LO352" s="12"/>
      <c r="LP352" s="11"/>
      <c r="LQ352" s="13"/>
      <c r="LR352" s="11"/>
      <c r="LS352" s="11"/>
      <c r="LT352" s="13"/>
      <c r="LU352" s="11"/>
      <c r="LV352" s="12"/>
      <c r="LW352" s="12"/>
    </row>
    <row r="353">
      <c r="A353" s="10" t="s">
        <v>226</v>
      </c>
      <c r="B353" s="10" t="s">
        <v>77</v>
      </c>
      <c r="C353" s="10" t="s">
        <v>77</v>
      </c>
      <c r="D353" s="11">
        <v>3270</v>
      </c>
      <c r="E353" s="11">
        <f>=ROUNDDOWN({0},0)</f>
      </c>
      <c r="F353" s="11">
        <v>267</v>
      </c>
      <c r="G353" s="12"/>
      <c r="H353" s="11"/>
      <c r="I353" s="11">
        <f>=ROUNDDOWN({0},0)</f>
      </c>
      <c r="J353" s="11"/>
      <c r="K353" s="12"/>
      <c r="L353" s="11">
        <v>235</v>
      </c>
      <c r="M353" s="13">
        <v>74414.88</v>
      </c>
      <c r="N353" s="11">
        <v>76</v>
      </c>
      <c r="O353" s="14">
        <v>979.14</v>
      </c>
      <c r="P353" s="11"/>
      <c r="Q353" s="13"/>
      <c r="R353" s="11"/>
      <c r="S353" s="14"/>
      <c r="T353" s="12"/>
      <c r="U353" s="12"/>
      <c r="V353" s="12"/>
      <c r="W353" s="12"/>
      <c r="X353" s="11"/>
      <c r="Y353" s="13"/>
      <c r="Z353" s="11"/>
      <c r="AA353" s="11"/>
      <c r="AB353" s="13"/>
      <c r="AC353" s="11"/>
      <c r="AD353" s="12"/>
      <c r="AE353" s="12"/>
      <c r="AF353" s="11"/>
      <c r="AG353" s="13"/>
      <c r="AH353" s="11">
        <v>25</v>
      </c>
      <c r="AI353" s="11"/>
      <c r="AJ353" s="13"/>
      <c r="AK353" s="11"/>
      <c r="AL353" s="12"/>
      <c r="AM353" s="12"/>
      <c r="AN353" s="11"/>
      <c r="AO353" s="13"/>
      <c r="AP353" s="11"/>
      <c r="AQ353" s="11"/>
      <c r="AR353" s="13"/>
      <c r="AS353" s="11"/>
      <c r="AT353" s="12"/>
      <c r="AU353" s="12"/>
      <c r="AV353" s="11"/>
      <c r="AW353" s="13"/>
      <c r="AX353" s="11"/>
      <c r="AY353" s="11"/>
      <c r="AZ353" s="13"/>
      <c r="BA353" s="11"/>
      <c r="BB353" s="12"/>
      <c r="BC353" s="12"/>
      <c r="BD353" s="11"/>
      <c r="BE353" s="13"/>
      <c r="BF353" s="11"/>
      <c r="BG353" s="11"/>
      <c r="BH353" s="13"/>
      <c r="BI353" s="11"/>
      <c r="BJ353" s="12"/>
      <c r="BK353" s="12"/>
      <c r="BL353" s="11"/>
      <c r="BM353" s="13"/>
      <c r="BN353" s="11"/>
      <c r="BO353" s="11"/>
      <c r="BP353" s="13"/>
      <c r="BQ353" s="11"/>
      <c r="BR353" s="12"/>
      <c r="BS353" s="12"/>
      <c r="BT353" s="11">
        <v>230</v>
      </c>
      <c r="BU353" s="13">
        <v>72865.09</v>
      </c>
      <c r="BV353" s="11">
        <v>76</v>
      </c>
      <c r="BW353" s="11"/>
      <c r="BX353" s="13"/>
      <c r="BY353" s="11"/>
      <c r="BZ353" s="12"/>
      <c r="CA353" s="12"/>
      <c r="CB353" s="11"/>
      <c r="CC353" s="13"/>
      <c r="CD353" s="11"/>
      <c r="CE353" s="11"/>
      <c r="CF353" s="13"/>
      <c r="CG353" s="11"/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/>
      <c r="DK353" s="11"/>
      <c r="DL353" s="13"/>
      <c r="DM353" s="11"/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/>
      <c r="DY353" s="13"/>
      <c r="DZ353" s="11"/>
      <c r="EA353" s="11"/>
      <c r="EB353" s="13"/>
      <c r="EC353" s="11"/>
      <c r="ED353" s="12"/>
      <c r="EE353" s="12"/>
      <c r="EF353" s="11"/>
      <c r="EG353" s="13"/>
      <c r="EH353" s="11"/>
      <c r="EI353" s="11"/>
      <c r="EJ353" s="13"/>
      <c r="EK353" s="11"/>
      <c r="EL353" s="12"/>
      <c r="EM353" s="12"/>
      <c r="EN353" s="11"/>
      <c r="EO353" s="13"/>
      <c r="EP353" s="11"/>
      <c r="EQ353" s="11"/>
      <c r="ER353" s="13"/>
      <c r="ES353" s="11"/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>
        <v>22</v>
      </c>
      <c r="FW353" s="11"/>
      <c r="FX353" s="13"/>
      <c r="FY353" s="11"/>
      <c r="FZ353" s="12"/>
      <c r="GA353" s="12"/>
      <c r="GB353" s="11"/>
      <c r="GC353" s="13"/>
      <c r="GD353" s="11"/>
      <c r="GE353" s="11"/>
      <c r="GF353" s="13"/>
      <c r="GG353" s="11"/>
      <c r="GH353" s="12"/>
      <c r="GI353" s="12"/>
      <c r="GJ353" s="11"/>
      <c r="GK353" s="13"/>
      <c r="GL353" s="11"/>
      <c r="GM353" s="11"/>
      <c r="GN353" s="13"/>
      <c r="GO353" s="11"/>
      <c r="GP353" s="12"/>
      <c r="GQ353" s="12"/>
      <c r="GR353" s="11">
        <v>5</v>
      </c>
      <c r="GS353" s="13">
        <v>1549.79</v>
      </c>
      <c r="GT353" s="11">
        <v>60</v>
      </c>
      <c r="GU353" s="11"/>
      <c r="GV353" s="13"/>
      <c r="GW353" s="11"/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/>
      <c r="JO353" s="11"/>
      <c r="JP353" s="13"/>
      <c r="JQ353" s="11"/>
      <c r="JR353" s="12"/>
      <c r="JS353" s="12"/>
      <c r="JT353" s="11"/>
      <c r="JU353" s="13"/>
      <c r="JV353" s="11"/>
      <c r="JW353" s="11"/>
      <c r="JX353" s="13"/>
      <c r="JY353" s="11"/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  <c r="LH353" s="11"/>
      <c r="LI353" s="13"/>
      <c r="LJ353" s="11"/>
      <c r="LK353" s="11"/>
      <c r="LL353" s="13"/>
      <c r="LM353" s="11"/>
      <c r="LN353" s="12"/>
      <c r="LO353" s="12"/>
      <c r="LP353" s="11"/>
      <c r="LQ353" s="13"/>
      <c r="LR353" s="11"/>
      <c r="LS353" s="11"/>
      <c r="LT353" s="13"/>
      <c r="LU353" s="11"/>
      <c r="LV353" s="12"/>
      <c r="LW353" s="12"/>
    </row>
    <row r="354">
      <c r="A354" s="10" t="s">
        <v>227</v>
      </c>
      <c r="B354" s="10" t="s">
        <v>73</v>
      </c>
      <c r="C354" s="10" t="s">
        <v>228</v>
      </c>
      <c r="D354" s="11">
        <v>506</v>
      </c>
      <c r="E354" s="11">
        <f>=ROUNDDOWN(36.1428571428571,0)</f>
      </c>
      <c r="F354" s="11"/>
      <c r="G354" s="12"/>
      <c r="H354" s="11"/>
      <c r="I354" s="11">
        <f>=ROUNDDOWN({0},0)</f>
      </c>
      <c r="J354" s="11"/>
      <c r="K354" s="12"/>
      <c r="L354" s="11">
        <v>84</v>
      </c>
      <c r="M354" s="13">
        <v>5989.75</v>
      </c>
      <c r="N354" s="11">
        <v>7</v>
      </c>
      <c r="O354" s="14">
        <v>855.68</v>
      </c>
      <c r="P354" s="11"/>
      <c r="Q354" s="13"/>
      <c r="R354" s="11"/>
      <c r="S354" s="14"/>
      <c r="T354" s="12"/>
      <c r="U354" s="12"/>
      <c r="V354" s="12"/>
      <c r="W354" s="12"/>
      <c r="X354" s="11">
        <v>8</v>
      </c>
      <c r="Y354" s="13">
        <v>758.4</v>
      </c>
      <c r="Z354" s="11">
        <v>2</v>
      </c>
      <c r="AA354" s="11"/>
      <c r="AB354" s="13"/>
      <c r="AC354" s="11"/>
      <c r="AD354" s="12"/>
      <c r="AE354" s="12"/>
      <c r="AF354" s="11">
        <v>22</v>
      </c>
      <c r="AG354" s="13">
        <v>1162.79</v>
      </c>
      <c r="AH354" s="11">
        <v>6</v>
      </c>
      <c r="AI354" s="11"/>
      <c r="AJ354" s="13"/>
      <c r="AK354" s="11"/>
      <c r="AL354" s="12"/>
      <c r="AM354" s="12"/>
      <c r="AN354" s="11">
        <v>17</v>
      </c>
      <c r="AO354" s="13">
        <v>1296.61</v>
      </c>
      <c r="AP354" s="11">
        <v>7</v>
      </c>
      <c r="AQ354" s="11"/>
      <c r="AR354" s="13"/>
      <c r="AS354" s="11"/>
      <c r="AT354" s="12"/>
      <c r="AU354" s="12"/>
      <c r="AV354" s="11">
        <v>5</v>
      </c>
      <c r="AW354" s="13">
        <v>501.91</v>
      </c>
      <c r="AX354" s="11">
        <v>2</v>
      </c>
      <c r="AY354" s="11"/>
      <c r="AZ354" s="13"/>
      <c r="BA354" s="11"/>
      <c r="BB354" s="12"/>
      <c r="BC354" s="12"/>
      <c r="BD354" s="11">
        <v>4</v>
      </c>
      <c r="BE354" s="13">
        <v>368.68</v>
      </c>
      <c r="BF354" s="11">
        <v>1</v>
      </c>
      <c r="BG354" s="11"/>
      <c r="BH354" s="13"/>
      <c r="BI354" s="11"/>
      <c r="BJ354" s="12"/>
      <c r="BK354" s="12"/>
      <c r="BL354" s="11">
        <v>2</v>
      </c>
      <c r="BM354" s="13">
        <v>193.12</v>
      </c>
      <c r="BN354" s="11">
        <v>7</v>
      </c>
      <c r="BO354" s="11"/>
      <c r="BP354" s="13"/>
      <c r="BQ354" s="11"/>
      <c r="BR354" s="12"/>
      <c r="BS354" s="12"/>
      <c r="BT354" s="11">
        <v>1</v>
      </c>
      <c r="BU354" s="13">
        <v>74.72</v>
      </c>
      <c r="BV354" s="11"/>
      <c r="BW354" s="11"/>
      <c r="BX354" s="13"/>
      <c r="BY354" s="11"/>
      <c r="BZ354" s="12"/>
      <c r="CA354" s="12"/>
      <c r="CB354" s="11"/>
      <c r="CC354" s="13"/>
      <c r="CD354" s="11"/>
      <c r="CE354" s="11"/>
      <c r="CF354" s="13"/>
      <c r="CG354" s="11"/>
      <c r="CH354" s="12"/>
      <c r="CI354" s="12"/>
      <c r="CJ354" s="11"/>
      <c r="CK354" s="13"/>
      <c r="CL354" s="11">
        <v>6</v>
      </c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>
        <v>7</v>
      </c>
      <c r="DA354" s="13">
        <v>679.14</v>
      </c>
      <c r="DB354" s="11">
        <v>1</v>
      </c>
      <c r="DC354" s="11"/>
      <c r="DD354" s="13"/>
      <c r="DE354" s="11"/>
      <c r="DF354" s="12"/>
      <c r="DG354" s="12"/>
      <c r="DH354" s="11">
        <v>12</v>
      </c>
      <c r="DI354" s="13">
        <v>407.52</v>
      </c>
      <c r="DJ354" s="11"/>
      <c r="DK354" s="11"/>
      <c r="DL354" s="13"/>
      <c r="DM354" s="11"/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>
        <v>1</v>
      </c>
      <c r="DY354" s="13">
        <v>96.56</v>
      </c>
      <c r="DZ354" s="11">
        <v>1</v>
      </c>
      <c r="EA354" s="11"/>
      <c r="EB354" s="13"/>
      <c r="EC354" s="11"/>
      <c r="ED354" s="12"/>
      <c r="EE354" s="12"/>
      <c r="EF354" s="11"/>
      <c r="EG354" s="13"/>
      <c r="EH354" s="11"/>
      <c r="EI354" s="11"/>
      <c r="EJ354" s="13"/>
      <c r="EK354" s="11"/>
      <c r="EL354" s="12"/>
      <c r="EM354" s="12"/>
      <c r="EN354" s="11"/>
      <c r="EO354" s="13"/>
      <c r="EP354" s="11">
        <v>7</v>
      </c>
      <c r="EQ354" s="11"/>
      <c r="ER354" s="13"/>
      <c r="ES354" s="11"/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/>
      <c r="FG354" s="11"/>
      <c r="FH354" s="13"/>
      <c r="FI354" s="11"/>
      <c r="FJ354" s="12"/>
      <c r="FK354" s="12"/>
      <c r="FL354" s="11">
        <v>1</v>
      </c>
      <c r="FM354" s="13">
        <v>71.1</v>
      </c>
      <c r="FN354" s="11">
        <v>1</v>
      </c>
      <c r="FO354" s="11"/>
      <c r="FP354" s="13"/>
      <c r="FQ354" s="11"/>
      <c r="FR354" s="12"/>
      <c r="FS354" s="12"/>
      <c r="FT354" s="11"/>
      <c r="FU354" s="13"/>
      <c r="FV354" s="11">
        <v>5</v>
      </c>
      <c r="FW354" s="11"/>
      <c r="FX354" s="13"/>
      <c r="FY354" s="11"/>
      <c r="FZ354" s="12"/>
      <c r="GA354" s="12"/>
      <c r="GB354" s="11">
        <v>4</v>
      </c>
      <c r="GC354" s="13">
        <v>379.2</v>
      </c>
      <c r="GD354" s="11">
        <v>2</v>
      </c>
      <c r="GE354" s="11"/>
      <c r="GF354" s="13"/>
      <c r="GG354" s="11"/>
      <c r="GH354" s="12"/>
      <c r="GI354" s="12"/>
      <c r="GJ354" s="11"/>
      <c r="GK354" s="13"/>
      <c r="GL354" s="11">
        <v>2</v>
      </c>
      <c r="GM354" s="11"/>
      <c r="GN354" s="13"/>
      <c r="GO354" s="11"/>
      <c r="GP354" s="12"/>
      <c r="GQ354" s="12"/>
      <c r="GR354" s="11"/>
      <c r="GS354" s="13"/>
      <c r="GT354" s="11">
        <v>5</v>
      </c>
      <c r="GU354" s="11"/>
      <c r="GV354" s="13"/>
      <c r="GW354" s="11"/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/>
      <c r="JO354" s="11"/>
      <c r="JP354" s="13"/>
      <c r="JQ354" s="11"/>
      <c r="JR354" s="12"/>
      <c r="JS354" s="12"/>
      <c r="JT354" s="11"/>
      <c r="JU354" s="13"/>
      <c r="JV354" s="11">
        <v>2</v>
      </c>
      <c r="JW354" s="11"/>
      <c r="JX354" s="13"/>
      <c r="JY354" s="11"/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  <c r="LH354" s="11"/>
      <c r="LI354" s="13"/>
      <c r="LJ354" s="11"/>
      <c r="LK354" s="11"/>
      <c r="LL354" s="13"/>
      <c r="LM354" s="11"/>
      <c r="LN354" s="12"/>
      <c r="LO354" s="12"/>
      <c r="LP354" s="11"/>
      <c r="LQ354" s="13"/>
      <c r="LR354" s="11"/>
      <c r="LS354" s="11"/>
      <c r="LT354" s="13"/>
      <c r="LU354" s="11"/>
      <c r="LV354" s="12"/>
      <c r="LW354" s="12"/>
    </row>
    <row r="355">
      <c r="A355" s="10" t="s">
        <v>227</v>
      </c>
      <c r="B355" s="10" t="s">
        <v>73</v>
      </c>
      <c r="C355" s="10" t="s">
        <v>213</v>
      </c>
      <c r="D355" s="11">
        <v>1593</v>
      </c>
      <c r="E355" s="11">
        <f>=ROUNDDOWN(35.1655629139073,0)</f>
      </c>
      <c r="F355" s="11">
        <v>100</v>
      </c>
      <c r="G355" s="12">
        <v>0.5054</v>
      </c>
      <c r="H355" s="11"/>
      <c r="I355" s="11">
        <f>=ROUNDDOWN({0},0)</f>
      </c>
      <c r="J355" s="11"/>
      <c r="K355" s="12"/>
      <c r="L355" s="11">
        <v>205</v>
      </c>
      <c r="M355" s="13">
        <v>25985.85</v>
      </c>
      <c r="N355" s="11">
        <v>11</v>
      </c>
      <c r="O355" s="14">
        <v>2362.35</v>
      </c>
      <c r="P355" s="11"/>
      <c r="Q355" s="13"/>
      <c r="R355" s="11"/>
      <c r="S355" s="14"/>
      <c r="T355" s="12"/>
      <c r="U355" s="12"/>
      <c r="V355" s="12"/>
      <c r="W355" s="12"/>
      <c r="X355" s="11"/>
      <c r="Y355" s="13"/>
      <c r="Z355" s="11">
        <v>2</v>
      </c>
      <c r="AA355" s="11"/>
      <c r="AB355" s="13"/>
      <c r="AC355" s="11"/>
      <c r="AD355" s="12"/>
      <c r="AE355" s="12"/>
      <c r="AF355" s="11">
        <v>88</v>
      </c>
      <c r="AG355" s="13">
        <v>10258.7</v>
      </c>
      <c r="AH355" s="11">
        <v>10</v>
      </c>
      <c r="AI355" s="11"/>
      <c r="AJ355" s="13"/>
      <c r="AK355" s="11"/>
      <c r="AL355" s="12"/>
      <c r="AM355" s="12"/>
      <c r="AN355" s="11">
        <v>23</v>
      </c>
      <c r="AO355" s="13">
        <v>3224.63</v>
      </c>
      <c r="AP355" s="11">
        <v>11</v>
      </c>
      <c r="AQ355" s="11"/>
      <c r="AR355" s="13"/>
      <c r="AS355" s="11"/>
      <c r="AT355" s="12"/>
      <c r="AU355" s="12"/>
      <c r="AV355" s="11">
        <v>17</v>
      </c>
      <c r="AW355" s="13">
        <v>2460.43</v>
      </c>
      <c r="AX355" s="11">
        <v>9</v>
      </c>
      <c r="AY355" s="11"/>
      <c r="AZ355" s="13"/>
      <c r="BA355" s="11"/>
      <c r="BB355" s="12"/>
      <c r="BC355" s="12"/>
      <c r="BD355" s="11">
        <v>9</v>
      </c>
      <c r="BE355" s="13">
        <v>1073.49</v>
      </c>
      <c r="BF355" s="11">
        <v>3</v>
      </c>
      <c r="BG355" s="11"/>
      <c r="BH355" s="13"/>
      <c r="BI355" s="11"/>
      <c r="BJ355" s="12"/>
      <c r="BK355" s="12"/>
      <c r="BL355" s="11">
        <v>24</v>
      </c>
      <c r="BM355" s="13">
        <v>3276.48</v>
      </c>
      <c r="BN355" s="11">
        <v>10</v>
      </c>
      <c r="BO355" s="11"/>
      <c r="BP355" s="13"/>
      <c r="BQ355" s="11"/>
      <c r="BR355" s="12"/>
      <c r="BS355" s="12"/>
      <c r="BT355" s="11"/>
      <c r="BU355" s="13"/>
      <c r="BV355" s="11"/>
      <c r="BW355" s="11"/>
      <c r="BX355" s="13"/>
      <c r="BY355" s="11"/>
      <c r="BZ355" s="12"/>
      <c r="CA355" s="12"/>
      <c r="CB355" s="11">
        <v>11</v>
      </c>
      <c r="CC355" s="13">
        <v>1374.15</v>
      </c>
      <c r="CD355" s="11">
        <v>7</v>
      </c>
      <c r="CE355" s="11"/>
      <c r="CF355" s="13"/>
      <c r="CG355" s="11"/>
      <c r="CH355" s="12"/>
      <c r="CI355" s="12"/>
      <c r="CJ355" s="11"/>
      <c r="CK355" s="13"/>
      <c r="CL355" s="11">
        <v>9</v>
      </c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>
        <v>2</v>
      </c>
      <c r="DA355" s="13">
        <v>260.2</v>
      </c>
      <c r="DB355" s="11">
        <v>4</v>
      </c>
      <c r="DC355" s="11"/>
      <c r="DD355" s="13"/>
      <c r="DE355" s="11"/>
      <c r="DF355" s="12"/>
      <c r="DG355" s="12"/>
      <c r="DH355" s="11"/>
      <c r="DI355" s="13"/>
      <c r="DJ355" s="11"/>
      <c r="DK355" s="11"/>
      <c r="DL355" s="13"/>
      <c r="DM355" s="11"/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>
        <v>2</v>
      </c>
      <c r="DY355" s="13">
        <v>258.96</v>
      </c>
      <c r="DZ355" s="11">
        <v>6</v>
      </c>
      <c r="EA355" s="11"/>
      <c r="EB355" s="13"/>
      <c r="EC355" s="11"/>
      <c r="ED355" s="12"/>
      <c r="EE355" s="12"/>
      <c r="EF355" s="11"/>
      <c r="EG355" s="13"/>
      <c r="EH355" s="11"/>
      <c r="EI355" s="11"/>
      <c r="EJ355" s="13"/>
      <c r="EK355" s="11"/>
      <c r="EL355" s="12"/>
      <c r="EM355" s="12"/>
      <c r="EN355" s="11">
        <v>2</v>
      </c>
      <c r="EO355" s="13">
        <v>498</v>
      </c>
      <c r="EP355" s="11">
        <v>11</v>
      </c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/>
      <c r="FG355" s="11"/>
      <c r="FH355" s="13"/>
      <c r="FI355" s="11"/>
      <c r="FJ355" s="12"/>
      <c r="FK355" s="12"/>
      <c r="FL355" s="11">
        <v>2</v>
      </c>
      <c r="FM355" s="13">
        <v>193.93</v>
      </c>
      <c r="FN355" s="11">
        <v>3</v>
      </c>
      <c r="FO355" s="11"/>
      <c r="FP355" s="13"/>
      <c r="FQ355" s="11"/>
      <c r="FR355" s="12"/>
      <c r="FS355" s="12"/>
      <c r="FT355" s="11"/>
      <c r="FU355" s="13"/>
      <c r="FV355" s="11">
        <v>4</v>
      </c>
      <c r="FW355" s="11"/>
      <c r="FX355" s="13"/>
      <c r="FY355" s="11"/>
      <c r="FZ355" s="12"/>
      <c r="GA355" s="12"/>
      <c r="GB355" s="11">
        <v>25</v>
      </c>
      <c r="GC355" s="13">
        <v>3106.88</v>
      </c>
      <c r="GD355" s="11">
        <v>8</v>
      </c>
      <c r="GE355" s="11"/>
      <c r="GF355" s="13"/>
      <c r="GG355" s="11"/>
      <c r="GH355" s="12"/>
      <c r="GI355" s="12"/>
      <c r="GJ355" s="11"/>
      <c r="GK355" s="13"/>
      <c r="GL355" s="11">
        <v>8</v>
      </c>
      <c r="GM355" s="11"/>
      <c r="GN355" s="13"/>
      <c r="GO355" s="11"/>
      <c r="GP355" s="12"/>
      <c r="GQ355" s="12"/>
      <c r="GR355" s="11"/>
      <c r="GS355" s="13"/>
      <c r="GT355" s="11">
        <v>7</v>
      </c>
      <c r="GU355" s="11"/>
      <c r="GV355" s="13"/>
      <c r="GW355" s="11"/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/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/>
      <c r="JO355" s="11"/>
      <c r="JP355" s="13"/>
      <c r="JQ355" s="11"/>
      <c r="JR355" s="12"/>
      <c r="JS355" s="12"/>
      <c r="JT355" s="11"/>
      <c r="JU355" s="13"/>
      <c r="JV355" s="11"/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  <c r="LH355" s="11"/>
      <c r="LI355" s="13"/>
      <c r="LJ355" s="11"/>
      <c r="LK355" s="11"/>
      <c r="LL355" s="13"/>
      <c r="LM355" s="11"/>
      <c r="LN355" s="12"/>
      <c r="LO355" s="12"/>
      <c r="LP355" s="11"/>
      <c r="LQ355" s="13"/>
      <c r="LR355" s="11"/>
      <c r="LS355" s="11"/>
      <c r="LT355" s="13"/>
      <c r="LU355" s="11"/>
      <c r="LV355" s="12"/>
      <c r="LW355" s="12"/>
    </row>
    <row r="356">
      <c r="A356" s="10" t="s">
        <v>227</v>
      </c>
      <c r="B356" s="10" t="s">
        <v>73</v>
      </c>
      <c r="C356" s="10" t="s">
        <v>216</v>
      </c>
      <c r="D356" s="11">
        <v>299</v>
      </c>
      <c r="E356" s="11">
        <f>=ROUNDDOWN(49.8333333333333,0)</f>
      </c>
      <c r="F356" s="11"/>
      <c r="G356" s="12"/>
      <c r="H356" s="11"/>
      <c r="I356" s="11">
        <f>=ROUNDDOWN({0},0)</f>
      </c>
      <c r="J356" s="11"/>
      <c r="K356" s="12"/>
      <c r="L356" s="11"/>
      <c r="M356" s="13"/>
      <c r="N356" s="11">
        <v>3</v>
      </c>
      <c r="O356" s="14"/>
      <c r="P356" s="11"/>
      <c r="Q356" s="13"/>
      <c r="R356" s="11"/>
      <c r="S356" s="14"/>
      <c r="T356" s="12"/>
      <c r="U356" s="12"/>
      <c r="V356" s="12"/>
      <c r="W356" s="12"/>
      <c r="X356" s="11"/>
      <c r="Y356" s="13"/>
      <c r="Z356" s="11"/>
      <c r="AA356" s="11"/>
      <c r="AB356" s="13"/>
      <c r="AC356" s="11"/>
      <c r="AD356" s="12"/>
      <c r="AE356" s="12"/>
      <c r="AF356" s="11"/>
      <c r="AG356" s="13"/>
      <c r="AH356" s="11">
        <v>3</v>
      </c>
      <c r="AI356" s="11"/>
      <c r="AJ356" s="13"/>
      <c r="AK356" s="11"/>
      <c r="AL356" s="12"/>
      <c r="AM356" s="12"/>
      <c r="AN356" s="11"/>
      <c r="AO356" s="13"/>
      <c r="AP356" s="11">
        <v>3</v>
      </c>
      <c r="AQ356" s="11"/>
      <c r="AR356" s="13"/>
      <c r="AS356" s="11"/>
      <c r="AT356" s="12"/>
      <c r="AU356" s="12"/>
      <c r="AV356" s="11"/>
      <c r="AW356" s="13"/>
      <c r="AX356" s="11"/>
      <c r="AY356" s="11"/>
      <c r="AZ356" s="13"/>
      <c r="BA356" s="11"/>
      <c r="BB356" s="12"/>
      <c r="BC356" s="12"/>
      <c r="BD356" s="11"/>
      <c r="BE356" s="13"/>
      <c r="BF356" s="11"/>
      <c r="BG356" s="11"/>
      <c r="BH356" s="13"/>
      <c r="BI356" s="11"/>
      <c r="BJ356" s="12"/>
      <c r="BK356" s="12"/>
      <c r="BL356" s="11"/>
      <c r="BM356" s="13"/>
      <c r="BN356" s="11">
        <v>3</v>
      </c>
      <c r="BO356" s="11"/>
      <c r="BP356" s="13"/>
      <c r="BQ356" s="11"/>
      <c r="BR356" s="12"/>
      <c r="BS356" s="12"/>
      <c r="BT356" s="11"/>
      <c r="BU356" s="13"/>
      <c r="BV356" s="11"/>
      <c r="BW356" s="11"/>
      <c r="BX356" s="13"/>
      <c r="BY356" s="11"/>
      <c r="BZ356" s="12"/>
      <c r="CA356" s="12"/>
      <c r="CB356" s="11"/>
      <c r="CC356" s="13"/>
      <c r="CD356" s="11"/>
      <c r="CE356" s="11"/>
      <c r="CF356" s="13"/>
      <c r="CG356" s="11"/>
      <c r="CH356" s="12"/>
      <c r="CI356" s="12"/>
      <c r="CJ356" s="11"/>
      <c r="CK356" s="13"/>
      <c r="CL356" s="11">
        <v>3</v>
      </c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/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/>
      <c r="DK356" s="11"/>
      <c r="DL356" s="13"/>
      <c r="DM356" s="11"/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/>
      <c r="DY356" s="13"/>
      <c r="DZ356" s="11"/>
      <c r="EA356" s="11"/>
      <c r="EB356" s="13"/>
      <c r="EC356" s="11"/>
      <c r="ED356" s="12"/>
      <c r="EE356" s="12"/>
      <c r="EF356" s="11"/>
      <c r="EG356" s="13"/>
      <c r="EH356" s="11"/>
      <c r="EI356" s="11"/>
      <c r="EJ356" s="13"/>
      <c r="EK356" s="11"/>
      <c r="EL356" s="12"/>
      <c r="EM356" s="12"/>
      <c r="EN356" s="11"/>
      <c r="EO356" s="13"/>
      <c r="EP356" s="11">
        <v>3</v>
      </c>
      <c r="EQ356" s="11"/>
      <c r="ER356" s="13"/>
      <c r="ES356" s="11"/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>
        <v>3</v>
      </c>
      <c r="FW356" s="11"/>
      <c r="FX356" s="13"/>
      <c r="FY356" s="11"/>
      <c r="FZ356" s="12"/>
      <c r="GA356" s="12"/>
      <c r="GB356" s="11"/>
      <c r="GC356" s="13"/>
      <c r="GD356" s="11"/>
      <c r="GE356" s="11"/>
      <c r="GF356" s="13"/>
      <c r="GG356" s="11"/>
      <c r="GH356" s="12"/>
      <c r="GI356" s="12"/>
      <c r="GJ356" s="11"/>
      <c r="GK356" s="13"/>
      <c r="GL356" s="11"/>
      <c r="GM356" s="11"/>
      <c r="GN356" s="13"/>
      <c r="GO356" s="11"/>
      <c r="GP356" s="12"/>
      <c r="GQ356" s="12"/>
      <c r="GR356" s="11"/>
      <c r="GS356" s="13"/>
      <c r="GT356" s="11">
        <v>3</v>
      </c>
      <c r="GU356" s="11"/>
      <c r="GV356" s="13"/>
      <c r="GW356" s="11"/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/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/>
      <c r="JO356" s="11"/>
      <c r="JP356" s="13"/>
      <c r="JQ356" s="11"/>
      <c r="JR356" s="12"/>
      <c r="JS356" s="12"/>
      <c r="JT356" s="11"/>
      <c r="JU356" s="13"/>
      <c r="JV356" s="11"/>
      <c r="JW356" s="11"/>
      <c r="JX356" s="13"/>
      <c r="JY356" s="11"/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  <c r="LH356" s="11"/>
      <c r="LI356" s="13"/>
      <c r="LJ356" s="11"/>
      <c r="LK356" s="11"/>
      <c r="LL356" s="13"/>
      <c r="LM356" s="11"/>
      <c r="LN356" s="12"/>
      <c r="LO356" s="12"/>
      <c r="LP356" s="11"/>
      <c r="LQ356" s="13"/>
      <c r="LR356" s="11"/>
      <c r="LS356" s="11"/>
      <c r="LT356" s="13"/>
      <c r="LU356" s="11"/>
      <c r="LV356" s="12"/>
      <c r="LW356" s="12"/>
    </row>
    <row r="357">
      <c r="A357" s="10" t="s">
        <v>227</v>
      </c>
      <c r="B357" s="10" t="s">
        <v>73</v>
      </c>
      <c r="C357" s="10" t="s">
        <v>229</v>
      </c>
      <c r="D357" s="11">
        <v>1886</v>
      </c>
      <c r="E357" s="11">
        <f>=ROUNDDOWN(509.72972972973,0)</f>
      </c>
      <c r="F357" s="11"/>
      <c r="G357" s="12"/>
      <c r="H357" s="11"/>
      <c r="I357" s="11">
        <f>=ROUNDDOWN({0},0)</f>
      </c>
      <c r="J357" s="11"/>
      <c r="K357" s="12"/>
      <c r="L357" s="11">
        <v>30</v>
      </c>
      <c r="M357" s="13">
        <v>6550.98</v>
      </c>
      <c r="N357" s="11">
        <v>4</v>
      </c>
      <c r="O357" s="14">
        <v>1637.74</v>
      </c>
      <c r="P357" s="11"/>
      <c r="Q357" s="13"/>
      <c r="R357" s="11"/>
      <c r="S357" s="14"/>
      <c r="T357" s="12"/>
      <c r="U357" s="12"/>
      <c r="V357" s="12"/>
      <c r="W357" s="12"/>
      <c r="X357" s="11"/>
      <c r="Y357" s="13"/>
      <c r="Z357" s="11"/>
      <c r="AA357" s="11"/>
      <c r="AB357" s="13"/>
      <c r="AC357" s="11"/>
      <c r="AD357" s="12"/>
      <c r="AE357" s="12"/>
      <c r="AF357" s="11"/>
      <c r="AG357" s="13"/>
      <c r="AH357" s="11"/>
      <c r="AI357" s="11"/>
      <c r="AJ357" s="13"/>
      <c r="AK357" s="11"/>
      <c r="AL357" s="12"/>
      <c r="AM357" s="12"/>
      <c r="AN357" s="11"/>
      <c r="AO357" s="13"/>
      <c r="AP357" s="11"/>
      <c r="AQ357" s="11"/>
      <c r="AR357" s="13"/>
      <c r="AS357" s="11"/>
      <c r="AT357" s="12"/>
      <c r="AU357" s="12"/>
      <c r="AV357" s="11"/>
      <c r="AW357" s="13"/>
      <c r="AX357" s="11">
        <v>2</v>
      </c>
      <c r="AY357" s="11"/>
      <c r="AZ357" s="13"/>
      <c r="BA357" s="11"/>
      <c r="BB357" s="12"/>
      <c r="BC357" s="12"/>
      <c r="BD357" s="11"/>
      <c r="BE357" s="13"/>
      <c r="BF357" s="11"/>
      <c r="BG357" s="11"/>
      <c r="BH357" s="13"/>
      <c r="BI357" s="11"/>
      <c r="BJ357" s="12"/>
      <c r="BK357" s="12"/>
      <c r="BL357" s="11"/>
      <c r="BM357" s="13"/>
      <c r="BN357" s="11"/>
      <c r="BO357" s="11"/>
      <c r="BP357" s="13"/>
      <c r="BQ357" s="11"/>
      <c r="BR357" s="12"/>
      <c r="BS357" s="12"/>
      <c r="BT357" s="11">
        <v>22</v>
      </c>
      <c r="BU357" s="13">
        <v>4589.1</v>
      </c>
      <c r="BV357" s="11">
        <v>4</v>
      </c>
      <c r="BW357" s="11"/>
      <c r="BX357" s="13"/>
      <c r="BY357" s="11"/>
      <c r="BZ357" s="12"/>
      <c r="CA357" s="12"/>
      <c r="CB357" s="11">
        <v>3</v>
      </c>
      <c r="CC357" s="13">
        <v>561.93</v>
      </c>
      <c r="CD357" s="11">
        <v>1</v>
      </c>
      <c r="CE357" s="11"/>
      <c r="CF357" s="13"/>
      <c r="CG357" s="11"/>
      <c r="CH357" s="12"/>
      <c r="CI357" s="12"/>
      <c r="CJ357" s="11"/>
      <c r="CK357" s="13"/>
      <c r="CL357" s="11"/>
      <c r="CM357" s="11"/>
      <c r="CN357" s="13"/>
      <c r="CO357" s="11"/>
      <c r="CP357" s="12"/>
      <c r="CQ357" s="12"/>
      <c r="CR357" s="11"/>
      <c r="CS357" s="13"/>
      <c r="CT357" s="11"/>
      <c r="CU357" s="11"/>
      <c r="CV357" s="13"/>
      <c r="CW357" s="11"/>
      <c r="CX357" s="12"/>
      <c r="CY357" s="12"/>
      <c r="CZ357" s="11"/>
      <c r="DA357" s="13"/>
      <c r="DB357" s="11">
        <v>2</v>
      </c>
      <c r="DC357" s="11"/>
      <c r="DD357" s="13"/>
      <c r="DE357" s="11"/>
      <c r="DF357" s="12"/>
      <c r="DG357" s="12"/>
      <c r="DH357" s="11"/>
      <c r="DI357" s="13"/>
      <c r="DJ357" s="11"/>
      <c r="DK357" s="11"/>
      <c r="DL357" s="13"/>
      <c r="DM357" s="11"/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/>
      <c r="DY357" s="13"/>
      <c r="DZ357" s="11"/>
      <c r="EA357" s="11"/>
      <c r="EB357" s="13"/>
      <c r="EC357" s="11"/>
      <c r="ED357" s="12"/>
      <c r="EE357" s="12"/>
      <c r="EF357" s="11"/>
      <c r="EG357" s="13"/>
      <c r="EH357" s="11"/>
      <c r="EI357" s="11"/>
      <c r="EJ357" s="13"/>
      <c r="EK357" s="11"/>
      <c r="EL357" s="12"/>
      <c r="EM357" s="12"/>
      <c r="EN357" s="11">
        <v>5</v>
      </c>
      <c r="EO357" s="13">
        <v>1399.95</v>
      </c>
      <c r="EP357" s="11">
        <v>2</v>
      </c>
      <c r="EQ357" s="11"/>
      <c r="ER357" s="13"/>
      <c r="ES357" s="11"/>
      <c r="ET357" s="12"/>
      <c r="EU357" s="12"/>
      <c r="EV357" s="11"/>
      <c r="EW357" s="13"/>
      <c r="EX357" s="11"/>
      <c r="EY357" s="11"/>
      <c r="EZ357" s="13"/>
      <c r="FA357" s="11"/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/>
      <c r="FW357" s="11"/>
      <c r="FX357" s="13"/>
      <c r="FY357" s="11"/>
      <c r="FZ357" s="12"/>
      <c r="GA357" s="12"/>
      <c r="GB357" s="11"/>
      <c r="GC357" s="13"/>
      <c r="GD357" s="11"/>
      <c r="GE357" s="11"/>
      <c r="GF357" s="13"/>
      <c r="GG357" s="11"/>
      <c r="GH357" s="12"/>
      <c r="GI357" s="12"/>
      <c r="GJ357" s="11"/>
      <c r="GK357" s="13"/>
      <c r="GL357" s="11"/>
      <c r="GM357" s="11"/>
      <c r="GN357" s="13"/>
      <c r="GO357" s="11"/>
      <c r="GP357" s="12"/>
      <c r="GQ357" s="12"/>
      <c r="GR357" s="11"/>
      <c r="GS357" s="13"/>
      <c r="GT357" s="11">
        <v>4</v>
      </c>
      <c r="GU357" s="11"/>
      <c r="GV357" s="13"/>
      <c r="GW357" s="11"/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/>
      <c r="JO357" s="11"/>
      <c r="JP357" s="13"/>
      <c r="JQ357" s="11"/>
      <c r="JR357" s="12"/>
      <c r="JS357" s="12"/>
      <c r="JT357" s="11"/>
      <c r="JU357" s="13"/>
      <c r="JV357" s="11">
        <v>3</v>
      </c>
      <c r="JW357" s="11"/>
      <c r="JX357" s="13"/>
      <c r="JY357" s="11"/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  <c r="LH357" s="11"/>
      <c r="LI357" s="13"/>
      <c r="LJ357" s="11"/>
      <c r="LK357" s="11"/>
      <c r="LL357" s="13"/>
      <c r="LM357" s="11"/>
      <c r="LN357" s="12"/>
      <c r="LO357" s="12"/>
      <c r="LP357" s="11"/>
      <c r="LQ357" s="13"/>
      <c r="LR357" s="11"/>
      <c r="LS357" s="11"/>
      <c r="LT357" s="13"/>
      <c r="LU357" s="11"/>
      <c r="LV357" s="12"/>
      <c r="LW357" s="12"/>
    </row>
    <row r="358">
      <c r="A358" s="10" t="s">
        <v>227</v>
      </c>
      <c r="B358" s="10" t="s">
        <v>73</v>
      </c>
      <c r="C358" s="10" t="s">
        <v>230</v>
      </c>
      <c r="D358" s="11">
        <v>497</v>
      </c>
      <c r="E358" s="11">
        <f>=ROUNDDOWN(184.074074074074,0)</f>
      </c>
      <c r="F358" s="11"/>
      <c r="G358" s="12"/>
      <c r="H358" s="11"/>
      <c r="I358" s="11">
        <f>=ROUNDDOWN({0},0)</f>
      </c>
      <c r="J358" s="11"/>
      <c r="K358" s="12"/>
      <c r="L358" s="11">
        <v>34</v>
      </c>
      <c r="M358" s="13">
        <v>3019.02</v>
      </c>
      <c r="N358" s="11">
        <v>2</v>
      </c>
      <c r="O358" s="14">
        <v>1509.51</v>
      </c>
      <c r="P358" s="11"/>
      <c r="Q358" s="13"/>
      <c r="R358" s="11"/>
      <c r="S358" s="14"/>
      <c r="T358" s="12"/>
      <c r="U358" s="12"/>
      <c r="V358" s="12"/>
      <c r="W358" s="12"/>
      <c r="X358" s="11">
        <v>13</v>
      </c>
      <c r="Y358" s="13">
        <v>704.99</v>
      </c>
      <c r="Z358" s="11">
        <v>2</v>
      </c>
      <c r="AA358" s="11"/>
      <c r="AB358" s="13"/>
      <c r="AC358" s="11"/>
      <c r="AD358" s="12"/>
      <c r="AE358" s="12"/>
      <c r="AF358" s="11">
        <v>1</v>
      </c>
      <c r="AG358" s="13">
        <v>32.85</v>
      </c>
      <c r="AH358" s="11">
        <v>2</v>
      </c>
      <c r="AI358" s="11"/>
      <c r="AJ358" s="13"/>
      <c r="AK358" s="11"/>
      <c r="AL358" s="12"/>
      <c r="AM358" s="12"/>
      <c r="AN358" s="11"/>
      <c r="AO358" s="13"/>
      <c r="AP358" s="11">
        <v>2</v>
      </c>
      <c r="AQ358" s="11"/>
      <c r="AR358" s="13"/>
      <c r="AS358" s="11"/>
      <c r="AT358" s="12"/>
      <c r="AU358" s="12"/>
      <c r="AV358" s="11">
        <v>5</v>
      </c>
      <c r="AW358" s="13">
        <v>582.18</v>
      </c>
      <c r="AX358" s="11">
        <v>2</v>
      </c>
      <c r="AY358" s="11"/>
      <c r="AZ358" s="13"/>
      <c r="BA358" s="11"/>
      <c r="BB358" s="12"/>
      <c r="BC358" s="12"/>
      <c r="BD358" s="11"/>
      <c r="BE358" s="13"/>
      <c r="BF358" s="11"/>
      <c r="BG358" s="11"/>
      <c r="BH358" s="13"/>
      <c r="BI358" s="11"/>
      <c r="BJ358" s="12"/>
      <c r="BK358" s="12"/>
      <c r="BL358" s="11"/>
      <c r="BM358" s="13"/>
      <c r="BN358" s="11">
        <v>2</v>
      </c>
      <c r="BO358" s="11"/>
      <c r="BP358" s="13"/>
      <c r="BQ358" s="11"/>
      <c r="BR358" s="12"/>
      <c r="BS358" s="12"/>
      <c r="BT358" s="11">
        <v>14</v>
      </c>
      <c r="BU358" s="13">
        <v>1593.56</v>
      </c>
      <c r="BV358" s="11">
        <v>2</v>
      </c>
      <c r="BW358" s="11"/>
      <c r="BX358" s="13"/>
      <c r="BY358" s="11"/>
      <c r="BZ358" s="12"/>
      <c r="CA358" s="12"/>
      <c r="CB358" s="11"/>
      <c r="CC358" s="13"/>
      <c r="CD358" s="11">
        <v>2</v>
      </c>
      <c r="CE358" s="11"/>
      <c r="CF358" s="13"/>
      <c r="CG358" s="11"/>
      <c r="CH358" s="12"/>
      <c r="CI358" s="12"/>
      <c r="CJ358" s="11"/>
      <c r="CK358" s="13"/>
      <c r="CL358" s="11"/>
      <c r="CM358" s="11"/>
      <c r="CN358" s="13"/>
      <c r="CO358" s="11"/>
      <c r="CP358" s="12"/>
      <c r="CQ358" s="12"/>
      <c r="CR358" s="11"/>
      <c r="CS358" s="13"/>
      <c r="CT358" s="11"/>
      <c r="CU358" s="11"/>
      <c r="CV358" s="13"/>
      <c r="CW358" s="11"/>
      <c r="CX358" s="12"/>
      <c r="CY358" s="12"/>
      <c r="CZ358" s="11">
        <v>1</v>
      </c>
      <c r="DA358" s="13">
        <v>105.44</v>
      </c>
      <c r="DB358" s="11">
        <v>1</v>
      </c>
      <c r="DC358" s="11"/>
      <c r="DD358" s="13"/>
      <c r="DE358" s="11"/>
      <c r="DF358" s="12"/>
      <c r="DG358" s="12"/>
      <c r="DH358" s="11"/>
      <c r="DI358" s="13"/>
      <c r="DJ358" s="11"/>
      <c r="DK358" s="11"/>
      <c r="DL358" s="13"/>
      <c r="DM358" s="11"/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/>
      <c r="DY358" s="13"/>
      <c r="DZ358" s="11"/>
      <c r="EA358" s="11"/>
      <c r="EB358" s="13"/>
      <c r="EC358" s="11"/>
      <c r="ED358" s="12"/>
      <c r="EE358" s="12"/>
      <c r="EF358" s="11"/>
      <c r="EG358" s="13"/>
      <c r="EH358" s="11"/>
      <c r="EI358" s="11"/>
      <c r="EJ358" s="13"/>
      <c r="EK358" s="11"/>
      <c r="EL358" s="12"/>
      <c r="EM358" s="12"/>
      <c r="EN358" s="11"/>
      <c r="EO358" s="13"/>
      <c r="EP358" s="11">
        <v>2</v>
      </c>
      <c r="EQ358" s="11"/>
      <c r="ER358" s="13"/>
      <c r="ES358" s="11"/>
      <c r="ET358" s="12"/>
      <c r="EU358" s="12"/>
      <c r="EV358" s="11"/>
      <c r="EW358" s="13"/>
      <c r="EX358" s="11"/>
      <c r="EY358" s="11"/>
      <c r="EZ358" s="13"/>
      <c r="FA358" s="11"/>
      <c r="FB358" s="12"/>
      <c r="FC358" s="12"/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/>
      <c r="FO358" s="11"/>
      <c r="FP358" s="13"/>
      <c r="FQ358" s="11"/>
      <c r="FR358" s="12"/>
      <c r="FS358" s="12"/>
      <c r="FT358" s="11"/>
      <c r="FU358" s="13"/>
      <c r="FV358" s="11"/>
      <c r="FW358" s="11"/>
      <c r="FX358" s="13"/>
      <c r="FY358" s="11"/>
      <c r="FZ358" s="12"/>
      <c r="GA358" s="12"/>
      <c r="GB358" s="11"/>
      <c r="GC358" s="13"/>
      <c r="GD358" s="11"/>
      <c r="GE358" s="11"/>
      <c r="GF358" s="13"/>
      <c r="GG358" s="11"/>
      <c r="GH358" s="12"/>
      <c r="GI358" s="12"/>
      <c r="GJ358" s="11"/>
      <c r="GK358" s="13"/>
      <c r="GL358" s="11"/>
      <c r="GM358" s="11"/>
      <c r="GN358" s="13"/>
      <c r="GO358" s="11"/>
      <c r="GP358" s="12"/>
      <c r="GQ358" s="12"/>
      <c r="GR358" s="11"/>
      <c r="GS358" s="13"/>
      <c r="GT358" s="11">
        <v>2</v>
      </c>
      <c r="GU358" s="11"/>
      <c r="GV358" s="13"/>
      <c r="GW358" s="11"/>
      <c r="GX358" s="12"/>
      <c r="GY358" s="12"/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/>
      <c r="JO358" s="11"/>
      <c r="JP358" s="13"/>
      <c r="JQ358" s="11"/>
      <c r="JR358" s="12"/>
      <c r="JS358" s="12"/>
      <c r="JT358" s="11"/>
      <c r="JU358" s="13"/>
      <c r="JV358" s="11">
        <v>2</v>
      </c>
      <c r="JW358" s="11"/>
      <c r="JX358" s="13"/>
      <c r="JY358" s="11"/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  <c r="LH358" s="11"/>
      <c r="LI358" s="13"/>
      <c r="LJ358" s="11"/>
      <c r="LK358" s="11"/>
      <c r="LL358" s="13"/>
      <c r="LM358" s="11"/>
      <c r="LN358" s="12"/>
      <c r="LO358" s="12"/>
      <c r="LP358" s="11"/>
      <c r="LQ358" s="13"/>
      <c r="LR358" s="11"/>
      <c r="LS358" s="11"/>
      <c r="LT358" s="13"/>
      <c r="LU358" s="11"/>
      <c r="LV358" s="12"/>
      <c r="LW358" s="12"/>
    </row>
    <row r="359">
      <c r="A359" s="10" t="s">
        <v>227</v>
      </c>
      <c r="B359" s="10" t="s">
        <v>73</v>
      </c>
      <c r="C359" s="10" t="s">
        <v>218</v>
      </c>
      <c r="D359" s="11">
        <v>637</v>
      </c>
      <c r="E359" s="11">
        <f>=ROUNDDOWN(45.5,0)</f>
      </c>
      <c r="F359" s="11"/>
      <c r="G359" s="12">
        <v>1</v>
      </c>
      <c r="H359" s="11"/>
      <c r="I359" s="11">
        <f>=ROUNDDOWN({0},0)</f>
      </c>
      <c r="J359" s="11"/>
      <c r="K359" s="12"/>
      <c r="L359" s="11">
        <v>31</v>
      </c>
      <c r="M359" s="13">
        <v>3311.62</v>
      </c>
      <c r="N359" s="11">
        <v>7</v>
      </c>
      <c r="O359" s="14">
        <v>473.09</v>
      </c>
      <c r="P359" s="11"/>
      <c r="Q359" s="13"/>
      <c r="R359" s="11"/>
      <c r="S359" s="14"/>
      <c r="T359" s="12"/>
      <c r="U359" s="12"/>
      <c r="V359" s="12"/>
      <c r="W359" s="12"/>
      <c r="X359" s="11"/>
      <c r="Y359" s="13"/>
      <c r="Z359" s="11"/>
      <c r="AA359" s="11"/>
      <c r="AB359" s="13"/>
      <c r="AC359" s="11"/>
      <c r="AD359" s="12"/>
      <c r="AE359" s="12"/>
      <c r="AF359" s="11">
        <v>15</v>
      </c>
      <c r="AG359" s="13">
        <v>1381.09</v>
      </c>
      <c r="AH359" s="11">
        <v>7</v>
      </c>
      <c r="AI359" s="11"/>
      <c r="AJ359" s="13"/>
      <c r="AK359" s="11"/>
      <c r="AL359" s="12"/>
      <c r="AM359" s="12"/>
      <c r="AN359" s="11">
        <v>3</v>
      </c>
      <c r="AO359" s="13">
        <v>381.03</v>
      </c>
      <c r="AP359" s="11">
        <v>7</v>
      </c>
      <c r="AQ359" s="11"/>
      <c r="AR359" s="13"/>
      <c r="AS359" s="11"/>
      <c r="AT359" s="12"/>
      <c r="AU359" s="12"/>
      <c r="AV359" s="11">
        <v>4</v>
      </c>
      <c r="AW359" s="13">
        <v>501.69</v>
      </c>
      <c r="AX359" s="11">
        <v>3</v>
      </c>
      <c r="AY359" s="11"/>
      <c r="AZ359" s="13"/>
      <c r="BA359" s="11"/>
      <c r="BB359" s="12"/>
      <c r="BC359" s="12"/>
      <c r="BD359" s="11">
        <v>4</v>
      </c>
      <c r="BE359" s="13">
        <v>452.46</v>
      </c>
      <c r="BF359" s="11">
        <v>1</v>
      </c>
      <c r="BG359" s="11"/>
      <c r="BH359" s="13"/>
      <c r="BI359" s="11"/>
      <c r="BJ359" s="12"/>
      <c r="BK359" s="12"/>
      <c r="BL359" s="11"/>
      <c r="BM359" s="13"/>
      <c r="BN359" s="11">
        <v>7</v>
      </c>
      <c r="BO359" s="11"/>
      <c r="BP359" s="13"/>
      <c r="BQ359" s="11"/>
      <c r="BR359" s="12"/>
      <c r="BS359" s="12"/>
      <c r="BT359" s="11"/>
      <c r="BU359" s="13"/>
      <c r="BV359" s="11"/>
      <c r="BW359" s="11"/>
      <c r="BX359" s="13"/>
      <c r="BY359" s="11"/>
      <c r="BZ359" s="12"/>
      <c r="CA359" s="12"/>
      <c r="CB359" s="11"/>
      <c r="CC359" s="13"/>
      <c r="CD359" s="11"/>
      <c r="CE359" s="11"/>
      <c r="CF359" s="13"/>
      <c r="CG359" s="11"/>
      <c r="CH359" s="12"/>
      <c r="CI359" s="12"/>
      <c r="CJ359" s="11"/>
      <c r="CK359" s="13"/>
      <c r="CL359" s="11">
        <v>7</v>
      </c>
      <c r="CM359" s="11"/>
      <c r="CN359" s="13"/>
      <c r="CO359" s="11"/>
      <c r="CP359" s="12"/>
      <c r="CQ359" s="12"/>
      <c r="CR359" s="11"/>
      <c r="CS359" s="13"/>
      <c r="CT359" s="11"/>
      <c r="CU359" s="11"/>
      <c r="CV359" s="13"/>
      <c r="CW359" s="11"/>
      <c r="CX359" s="12"/>
      <c r="CY359" s="12"/>
      <c r="CZ359" s="11">
        <v>5</v>
      </c>
      <c r="DA359" s="13">
        <v>595.35</v>
      </c>
      <c r="DB359" s="11">
        <v>1</v>
      </c>
      <c r="DC359" s="11"/>
      <c r="DD359" s="13"/>
      <c r="DE359" s="11"/>
      <c r="DF359" s="12"/>
      <c r="DG359" s="12"/>
      <c r="DH359" s="11"/>
      <c r="DI359" s="13"/>
      <c r="DJ359" s="11"/>
      <c r="DK359" s="11"/>
      <c r="DL359" s="13"/>
      <c r="DM359" s="11"/>
      <c r="DN359" s="12"/>
      <c r="DO359" s="12"/>
      <c r="DP359" s="11"/>
      <c r="DQ359" s="13"/>
      <c r="DR359" s="11"/>
      <c r="DS359" s="11"/>
      <c r="DT359" s="13"/>
      <c r="DU359" s="11"/>
      <c r="DV359" s="12"/>
      <c r="DW359" s="12"/>
      <c r="DX359" s="11"/>
      <c r="DY359" s="13"/>
      <c r="DZ359" s="11">
        <v>2</v>
      </c>
      <c r="EA359" s="11"/>
      <c r="EB359" s="13"/>
      <c r="EC359" s="11"/>
      <c r="ED359" s="12"/>
      <c r="EE359" s="12"/>
      <c r="EF359" s="11"/>
      <c r="EG359" s="13"/>
      <c r="EH359" s="11"/>
      <c r="EI359" s="11"/>
      <c r="EJ359" s="13"/>
      <c r="EK359" s="11"/>
      <c r="EL359" s="12"/>
      <c r="EM359" s="12"/>
      <c r="EN359" s="11"/>
      <c r="EO359" s="13"/>
      <c r="EP359" s="11">
        <v>7</v>
      </c>
      <c r="EQ359" s="11"/>
      <c r="ER359" s="13"/>
      <c r="ES359" s="11"/>
      <c r="ET359" s="12"/>
      <c r="EU359" s="12"/>
      <c r="EV359" s="11"/>
      <c r="EW359" s="13"/>
      <c r="EX359" s="11"/>
      <c r="EY359" s="11"/>
      <c r="EZ359" s="13"/>
      <c r="FA359" s="11"/>
      <c r="FB359" s="12"/>
      <c r="FC359" s="12"/>
      <c r="FD359" s="11"/>
      <c r="FE359" s="13"/>
      <c r="FF359" s="11"/>
      <c r="FG359" s="11"/>
      <c r="FH359" s="13"/>
      <c r="FI359" s="11"/>
      <c r="FJ359" s="12"/>
      <c r="FK359" s="12"/>
      <c r="FL359" s="11"/>
      <c r="FM359" s="13"/>
      <c r="FN359" s="11"/>
      <c r="FO359" s="11"/>
      <c r="FP359" s="13"/>
      <c r="FQ359" s="11"/>
      <c r="FR359" s="12"/>
      <c r="FS359" s="12"/>
      <c r="FT359" s="11"/>
      <c r="FU359" s="13"/>
      <c r="FV359" s="11">
        <v>4</v>
      </c>
      <c r="FW359" s="11"/>
      <c r="FX359" s="13"/>
      <c r="FY359" s="11"/>
      <c r="FZ359" s="12"/>
      <c r="GA359" s="12"/>
      <c r="GB359" s="11"/>
      <c r="GC359" s="13"/>
      <c r="GD359" s="11">
        <v>3</v>
      </c>
      <c r="GE359" s="11"/>
      <c r="GF359" s="13"/>
      <c r="GG359" s="11"/>
      <c r="GH359" s="12"/>
      <c r="GI359" s="12"/>
      <c r="GJ359" s="11"/>
      <c r="GK359" s="13"/>
      <c r="GL359" s="11">
        <v>3</v>
      </c>
      <c r="GM359" s="11"/>
      <c r="GN359" s="13"/>
      <c r="GO359" s="11"/>
      <c r="GP359" s="12"/>
      <c r="GQ359" s="12"/>
      <c r="GR359" s="11"/>
      <c r="GS359" s="13"/>
      <c r="GT359" s="11">
        <v>5</v>
      </c>
      <c r="GU359" s="11"/>
      <c r="GV359" s="13"/>
      <c r="GW359" s="11"/>
      <c r="GX359" s="12"/>
      <c r="GY359" s="12"/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/>
      <c r="HS359" s="11"/>
      <c r="HT359" s="13"/>
      <c r="HU359" s="11"/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/>
      <c r="IW359" s="13"/>
      <c r="IX359" s="11"/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/>
      <c r="JO359" s="11"/>
      <c r="JP359" s="13"/>
      <c r="JQ359" s="11"/>
      <c r="JR359" s="12"/>
      <c r="JS359" s="12"/>
      <c r="JT359" s="11"/>
      <c r="JU359" s="13"/>
      <c r="JV359" s="11"/>
      <c r="JW359" s="11"/>
      <c r="JX359" s="13"/>
      <c r="JY359" s="11"/>
      <c r="JZ359" s="12"/>
      <c r="KA359" s="12"/>
      <c r="KB359" s="11"/>
      <c r="KC359" s="13"/>
      <c r="KD359" s="11"/>
      <c r="KE359" s="11"/>
      <c r="KF359" s="13"/>
      <c r="KG359" s="11"/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  <c r="LH359" s="11"/>
      <c r="LI359" s="13"/>
      <c r="LJ359" s="11"/>
      <c r="LK359" s="11"/>
      <c r="LL359" s="13"/>
      <c r="LM359" s="11"/>
      <c r="LN359" s="12"/>
      <c r="LO359" s="12"/>
      <c r="LP359" s="11"/>
      <c r="LQ359" s="13"/>
      <c r="LR359" s="11"/>
      <c r="LS359" s="11"/>
      <c r="LT359" s="13"/>
      <c r="LU359" s="11"/>
      <c r="LV359" s="12"/>
      <c r="LW359" s="12"/>
    </row>
    <row r="360">
      <c r="A360" s="10" t="s">
        <v>227</v>
      </c>
      <c r="B360" s="10" t="s">
        <v>73</v>
      </c>
      <c r="C360" s="10" t="s">
        <v>224</v>
      </c>
      <c r="D360" s="11">
        <v>73</v>
      </c>
      <c r="E360" s="11">
        <f>=ROUNDDOWN(12.1666666666667,0)</f>
      </c>
      <c r="F360" s="11"/>
      <c r="G360" s="12"/>
      <c r="H360" s="11"/>
      <c r="I360" s="11">
        <f>=ROUNDDOWN({0},0)</f>
      </c>
      <c r="J360" s="11"/>
      <c r="K360" s="12"/>
      <c r="L360" s="11">
        <v>61</v>
      </c>
      <c r="M360" s="13">
        <v>2882.48</v>
      </c>
      <c r="N360" s="11">
        <v>1</v>
      </c>
      <c r="O360" s="14">
        <v>2882.48</v>
      </c>
      <c r="P360" s="11"/>
      <c r="Q360" s="13"/>
      <c r="R360" s="11"/>
      <c r="S360" s="14"/>
      <c r="T360" s="12"/>
      <c r="U360" s="12"/>
      <c r="V360" s="12"/>
      <c r="W360" s="12"/>
      <c r="X360" s="11"/>
      <c r="Y360" s="13"/>
      <c r="Z360" s="11">
        <v>1</v>
      </c>
      <c r="AA360" s="11"/>
      <c r="AB360" s="13"/>
      <c r="AC360" s="11"/>
      <c r="AD360" s="12"/>
      <c r="AE360" s="12"/>
      <c r="AF360" s="11">
        <v>14</v>
      </c>
      <c r="AG360" s="13">
        <v>431.32</v>
      </c>
      <c r="AH360" s="11">
        <v>1</v>
      </c>
      <c r="AI360" s="11"/>
      <c r="AJ360" s="13"/>
      <c r="AK360" s="11"/>
      <c r="AL360" s="12"/>
      <c r="AM360" s="12"/>
      <c r="AN360" s="11"/>
      <c r="AO360" s="13"/>
      <c r="AP360" s="11">
        <v>1</v>
      </c>
      <c r="AQ360" s="11"/>
      <c r="AR360" s="13"/>
      <c r="AS360" s="11"/>
      <c r="AT360" s="12"/>
      <c r="AU360" s="12"/>
      <c r="AV360" s="11"/>
      <c r="AW360" s="13"/>
      <c r="AX360" s="11">
        <v>1</v>
      </c>
      <c r="AY360" s="11"/>
      <c r="AZ360" s="13"/>
      <c r="BA360" s="11"/>
      <c r="BB360" s="12"/>
      <c r="BC360" s="12"/>
      <c r="BD360" s="11"/>
      <c r="BE360" s="13"/>
      <c r="BF360" s="11"/>
      <c r="BG360" s="11"/>
      <c r="BH360" s="13"/>
      <c r="BI360" s="11"/>
      <c r="BJ360" s="12"/>
      <c r="BK360" s="12"/>
      <c r="BL360" s="11"/>
      <c r="BM360" s="13"/>
      <c r="BN360" s="11">
        <v>1</v>
      </c>
      <c r="BO360" s="11"/>
      <c r="BP360" s="13"/>
      <c r="BQ360" s="11"/>
      <c r="BR360" s="12"/>
      <c r="BS360" s="12"/>
      <c r="BT360" s="11">
        <v>1</v>
      </c>
      <c r="BU360" s="13">
        <v>141.5</v>
      </c>
      <c r="BV360" s="11">
        <v>1</v>
      </c>
      <c r="BW360" s="11"/>
      <c r="BX360" s="13"/>
      <c r="BY360" s="11"/>
      <c r="BZ360" s="12"/>
      <c r="CA360" s="12"/>
      <c r="CB360" s="11"/>
      <c r="CC360" s="13"/>
      <c r="CD360" s="11">
        <v>1</v>
      </c>
      <c r="CE360" s="11"/>
      <c r="CF360" s="13"/>
      <c r="CG360" s="11"/>
      <c r="CH360" s="12"/>
      <c r="CI360" s="12"/>
      <c r="CJ360" s="11"/>
      <c r="CK360" s="13"/>
      <c r="CL360" s="11"/>
      <c r="CM360" s="11"/>
      <c r="CN360" s="13"/>
      <c r="CO360" s="11"/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>
        <v>46</v>
      </c>
      <c r="DI360" s="13">
        <v>2309.66</v>
      </c>
      <c r="DJ360" s="11">
        <v>1</v>
      </c>
      <c r="DK360" s="11"/>
      <c r="DL360" s="13"/>
      <c r="DM360" s="11"/>
      <c r="DN360" s="12"/>
      <c r="DO360" s="12"/>
      <c r="DP360" s="11"/>
      <c r="DQ360" s="13"/>
      <c r="DR360" s="11"/>
      <c r="DS360" s="11"/>
      <c r="DT360" s="13"/>
      <c r="DU360" s="11"/>
      <c r="DV360" s="12"/>
      <c r="DW360" s="12"/>
      <c r="DX360" s="11"/>
      <c r="DY360" s="13"/>
      <c r="DZ360" s="11"/>
      <c r="EA360" s="11"/>
      <c r="EB360" s="13"/>
      <c r="EC360" s="11"/>
      <c r="ED360" s="12"/>
      <c r="EE360" s="12"/>
      <c r="EF360" s="11"/>
      <c r="EG360" s="13"/>
      <c r="EH360" s="11"/>
      <c r="EI360" s="11"/>
      <c r="EJ360" s="13"/>
      <c r="EK360" s="11"/>
      <c r="EL360" s="12"/>
      <c r="EM360" s="12"/>
      <c r="EN360" s="11"/>
      <c r="EO360" s="13"/>
      <c r="EP360" s="11">
        <v>1</v>
      </c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/>
      <c r="FZ360" s="12"/>
      <c r="GA360" s="12"/>
      <c r="GB360" s="11"/>
      <c r="GC360" s="13"/>
      <c r="GD360" s="11"/>
      <c r="GE360" s="11"/>
      <c r="GF360" s="13"/>
      <c r="GG360" s="11"/>
      <c r="GH360" s="12"/>
      <c r="GI360" s="12"/>
      <c r="GJ360" s="11"/>
      <c r="GK360" s="13"/>
      <c r="GL360" s="11"/>
      <c r="GM360" s="11"/>
      <c r="GN360" s="13"/>
      <c r="GO360" s="11"/>
      <c r="GP360" s="12"/>
      <c r="GQ360" s="12"/>
      <c r="GR360" s="11"/>
      <c r="GS360" s="13"/>
      <c r="GT360" s="11">
        <v>1</v>
      </c>
      <c r="GU360" s="11"/>
      <c r="GV360" s="13"/>
      <c r="GW360" s="11"/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>
        <v>1</v>
      </c>
      <c r="JW360" s="11"/>
      <c r="JX360" s="13"/>
      <c r="JY360" s="11"/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  <c r="LH360" s="11"/>
      <c r="LI360" s="13"/>
      <c r="LJ360" s="11"/>
      <c r="LK360" s="11"/>
      <c r="LL360" s="13"/>
      <c r="LM360" s="11"/>
      <c r="LN360" s="12"/>
      <c r="LO360" s="12"/>
      <c r="LP360" s="11"/>
      <c r="LQ360" s="13"/>
      <c r="LR360" s="11"/>
      <c r="LS360" s="11"/>
      <c r="LT360" s="13"/>
      <c r="LU360" s="11"/>
      <c r="LV360" s="12"/>
      <c r="LW360" s="12"/>
    </row>
    <row r="361">
      <c r="A361" s="10" t="s">
        <v>227</v>
      </c>
      <c r="B361" s="10" t="s">
        <v>76</v>
      </c>
      <c r="C361" s="10" t="s">
        <v>77</v>
      </c>
      <c r="D361" s="11">
        <v>5491</v>
      </c>
      <c r="E361" s="11">
        <f>=ROUNDDOWN({0},0)</f>
      </c>
      <c r="F361" s="11">
        <v>100</v>
      </c>
      <c r="G361" s="12"/>
      <c r="H361" s="11"/>
      <c r="I361" s="11">
        <f>=ROUNDDOWN({0},0)</f>
      </c>
      <c r="J361" s="11"/>
      <c r="K361" s="12"/>
      <c r="L361" s="11">
        <v>445</v>
      </c>
      <c r="M361" s="13">
        <v>47739.7</v>
      </c>
      <c r="N361" s="11">
        <v>35</v>
      </c>
      <c r="O361" s="14">
        <v>1363.99</v>
      </c>
      <c r="P361" s="11"/>
      <c r="Q361" s="13"/>
      <c r="R361" s="11"/>
      <c r="S361" s="14"/>
      <c r="T361" s="12"/>
      <c r="U361" s="12"/>
      <c r="V361" s="12"/>
      <c r="W361" s="12"/>
      <c r="X361" s="11">
        <v>21</v>
      </c>
      <c r="Y361" s="13">
        <v>1463.39</v>
      </c>
      <c r="Z361" s="11">
        <v>7</v>
      </c>
      <c r="AA361" s="11"/>
      <c r="AB361" s="13"/>
      <c r="AC361" s="11"/>
      <c r="AD361" s="12"/>
      <c r="AE361" s="12"/>
      <c r="AF361" s="11">
        <v>140</v>
      </c>
      <c r="AG361" s="13">
        <v>13266.75</v>
      </c>
      <c r="AH361" s="11">
        <v>29</v>
      </c>
      <c r="AI361" s="11"/>
      <c r="AJ361" s="13"/>
      <c r="AK361" s="11"/>
      <c r="AL361" s="12"/>
      <c r="AM361" s="12"/>
      <c r="AN361" s="11">
        <v>43</v>
      </c>
      <c r="AO361" s="13">
        <v>4902.27</v>
      </c>
      <c r="AP361" s="11">
        <v>31</v>
      </c>
      <c r="AQ361" s="11"/>
      <c r="AR361" s="13"/>
      <c r="AS361" s="11"/>
      <c r="AT361" s="12"/>
      <c r="AU361" s="12"/>
      <c r="AV361" s="11">
        <v>31</v>
      </c>
      <c r="AW361" s="13">
        <v>4046.21</v>
      </c>
      <c r="AX361" s="11">
        <v>19</v>
      </c>
      <c r="AY361" s="11"/>
      <c r="AZ361" s="13"/>
      <c r="BA361" s="11"/>
      <c r="BB361" s="12"/>
      <c r="BC361" s="12"/>
      <c r="BD361" s="11">
        <v>17</v>
      </c>
      <c r="BE361" s="13">
        <v>1894.63</v>
      </c>
      <c r="BF361" s="11">
        <v>5</v>
      </c>
      <c r="BG361" s="11"/>
      <c r="BH361" s="13"/>
      <c r="BI361" s="11"/>
      <c r="BJ361" s="12"/>
      <c r="BK361" s="12"/>
      <c r="BL361" s="11">
        <v>26</v>
      </c>
      <c r="BM361" s="13">
        <v>3469.6</v>
      </c>
      <c r="BN361" s="11">
        <v>30</v>
      </c>
      <c r="BO361" s="11"/>
      <c r="BP361" s="13"/>
      <c r="BQ361" s="11"/>
      <c r="BR361" s="12"/>
      <c r="BS361" s="12"/>
      <c r="BT361" s="11">
        <v>38</v>
      </c>
      <c r="BU361" s="13">
        <v>6398.88</v>
      </c>
      <c r="BV361" s="11">
        <v>7</v>
      </c>
      <c r="BW361" s="11"/>
      <c r="BX361" s="13"/>
      <c r="BY361" s="11"/>
      <c r="BZ361" s="12"/>
      <c r="CA361" s="12"/>
      <c r="CB361" s="11">
        <v>14</v>
      </c>
      <c r="CC361" s="13">
        <v>1936.08</v>
      </c>
      <c r="CD361" s="11">
        <v>11</v>
      </c>
      <c r="CE361" s="11"/>
      <c r="CF361" s="13"/>
      <c r="CG361" s="11"/>
      <c r="CH361" s="12"/>
      <c r="CI361" s="12"/>
      <c r="CJ361" s="11"/>
      <c r="CK361" s="13"/>
      <c r="CL361" s="11">
        <v>25</v>
      </c>
      <c r="CM361" s="11"/>
      <c r="CN361" s="13"/>
      <c r="CO361" s="11"/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>
        <v>15</v>
      </c>
      <c r="DA361" s="13">
        <v>1640.13</v>
      </c>
      <c r="DB361" s="11">
        <v>9</v>
      </c>
      <c r="DC361" s="11"/>
      <c r="DD361" s="13"/>
      <c r="DE361" s="11"/>
      <c r="DF361" s="12"/>
      <c r="DG361" s="12"/>
      <c r="DH361" s="11">
        <v>58</v>
      </c>
      <c r="DI361" s="13">
        <v>2717.18</v>
      </c>
      <c r="DJ361" s="11">
        <v>1</v>
      </c>
      <c r="DK361" s="11"/>
      <c r="DL361" s="13"/>
      <c r="DM361" s="11"/>
      <c r="DN361" s="12"/>
      <c r="DO361" s="12"/>
      <c r="DP361" s="11"/>
      <c r="DQ361" s="13"/>
      <c r="DR361" s="11"/>
      <c r="DS361" s="11"/>
      <c r="DT361" s="13"/>
      <c r="DU361" s="11"/>
      <c r="DV361" s="12"/>
      <c r="DW361" s="12"/>
      <c r="DX361" s="11">
        <v>3</v>
      </c>
      <c r="DY361" s="13">
        <v>355.52</v>
      </c>
      <c r="DZ361" s="11">
        <v>9</v>
      </c>
      <c r="EA361" s="11"/>
      <c r="EB361" s="13"/>
      <c r="EC361" s="11"/>
      <c r="ED361" s="12"/>
      <c r="EE361" s="12"/>
      <c r="EF361" s="11"/>
      <c r="EG361" s="13"/>
      <c r="EH361" s="11"/>
      <c r="EI361" s="11"/>
      <c r="EJ361" s="13"/>
      <c r="EK361" s="11"/>
      <c r="EL361" s="12"/>
      <c r="EM361" s="12"/>
      <c r="EN361" s="11">
        <v>7</v>
      </c>
      <c r="EO361" s="13">
        <v>1897.95</v>
      </c>
      <c r="EP361" s="11">
        <v>33</v>
      </c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/>
      <c r="FG361" s="11"/>
      <c r="FH361" s="13"/>
      <c r="FI361" s="11"/>
      <c r="FJ361" s="12"/>
      <c r="FK361" s="12"/>
      <c r="FL361" s="11">
        <v>3</v>
      </c>
      <c r="FM361" s="13">
        <v>265.03</v>
      </c>
      <c r="FN361" s="11">
        <v>4</v>
      </c>
      <c r="FO361" s="11"/>
      <c r="FP361" s="13"/>
      <c r="FQ361" s="11"/>
      <c r="FR361" s="12"/>
      <c r="FS361" s="12"/>
      <c r="FT361" s="11"/>
      <c r="FU361" s="13"/>
      <c r="FV361" s="11">
        <v>16</v>
      </c>
      <c r="FW361" s="11"/>
      <c r="FX361" s="13"/>
      <c r="FY361" s="11"/>
      <c r="FZ361" s="12"/>
      <c r="GA361" s="12"/>
      <c r="GB361" s="11">
        <v>29</v>
      </c>
      <c r="GC361" s="13">
        <v>3486.08</v>
      </c>
      <c r="GD361" s="11">
        <v>13</v>
      </c>
      <c r="GE361" s="11"/>
      <c r="GF361" s="13"/>
      <c r="GG361" s="11"/>
      <c r="GH361" s="12"/>
      <c r="GI361" s="12"/>
      <c r="GJ361" s="11"/>
      <c r="GK361" s="13"/>
      <c r="GL361" s="11">
        <v>13</v>
      </c>
      <c r="GM361" s="11"/>
      <c r="GN361" s="13"/>
      <c r="GO361" s="11"/>
      <c r="GP361" s="12"/>
      <c r="GQ361" s="12"/>
      <c r="GR361" s="11"/>
      <c r="GS361" s="13"/>
      <c r="GT361" s="11">
        <v>27</v>
      </c>
      <c r="GU361" s="11"/>
      <c r="GV361" s="13"/>
      <c r="GW361" s="11"/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/>
      <c r="JR361" s="12"/>
      <c r="JS361" s="12"/>
      <c r="JT361" s="11"/>
      <c r="JU361" s="13"/>
      <c r="JV361" s="11">
        <v>8</v>
      </c>
      <c r="JW361" s="11"/>
      <c r="JX361" s="13"/>
      <c r="JY361" s="11"/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  <c r="LH361" s="11"/>
      <c r="LI361" s="13"/>
      <c r="LJ361" s="11"/>
      <c r="LK361" s="11"/>
      <c r="LL361" s="13"/>
      <c r="LM361" s="11"/>
      <c r="LN361" s="12"/>
      <c r="LO361" s="12"/>
      <c r="LP361" s="11"/>
      <c r="LQ361" s="13"/>
      <c r="LR361" s="11"/>
      <c r="LS361" s="11"/>
      <c r="LT361" s="13"/>
      <c r="LU361" s="11"/>
      <c r="LV361" s="12"/>
      <c r="LW361" s="12"/>
    </row>
    <row r="362">
      <c r="A362" s="10" t="s">
        <v>227</v>
      </c>
      <c r="B362" s="10" t="s">
        <v>103</v>
      </c>
      <c r="C362" s="10" t="s">
        <v>224</v>
      </c>
      <c r="D362" s="11">
        <v>14</v>
      </c>
      <c r="E362" s="11">
        <f>=ROUNDDOWN({0},0)</f>
      </c>
      <c r="F362" s="11"/>
      <c r="G362" s="12"/>
      <c r="H362" s="11"/>
      <c r="I362" s="11">
        <f>=ROUNDDOWN({0},0)</f>
      </c>
      <c r="J362" s="11"/>
      <c r="K362" s="12"/>
      <c r="L362" s="11">
        <v>1</v>
      </c>
      <c r="M362" s="13">
        <v>278.83</v>
      </c>
      <c r="N362" s="11"/>
      <c r="O362" s="14"/>
      <c r="P362" s="11"/>
      <c r="Q362" s="13"/>
      <c r="R362" s="11"/>
      <c r="S362" s="14"/>
      <c r="T362" s="12"/>
      <c r="U362" s="12"/>
      <c r="V362" s="12"/>
      <c r="W362" s="12"/>
      <c r="X362" s="11"/>
      <c r="Y362" s="13"/>
      <c r="Z362" s="11"/>
      <c r="AA362" s="11"/>
      <c r="AB362" s="13"/>
      <c r="AC362" s="11"/>
      <c r="AD362" s="12"/>
      <c r="AE362" s="12"/>
      <c r="AF362" s="11"/>
      <c r="AG362" s="13"/>
      <c r="AH362" s="11"/>
      <c r="AI362" s="11"/>
      <c r="AJ362" s="13"/>
      <c r="AK362" s="11"/>
      <c r="AL362" s="12"/>
      <c r="AM362" s="12"/>
      <c r="AN362" s="11"/>
      <c r="AO362" s="13"/>
      <c r="AP362" s="11"/>
      <c r="AQ362" s="11"/>
      <c r="AR362" s="13"/>
      <c r="AS362" s="11"/>
      <c r="AT362" s="12"/>
      <c r="AU362" s="12"/>
      <c r="AV362" s="11"/>
      <c r="AW362" s="13"/>
      <c r="AX362" s="11"/>
      <c r="AY362" s="11"/>
      <c r="AZ362" s="13"/>
      <c r="BA362" s="11"/>
      <c r="BB362" s="12"/>
      <c r="BC362" s="12"/>
      <c r="BD362" s="11"/>
      <c r="BE362" s="13"/>
      <c r="BF362" s="11"/>
      <c r="BG362" s="11"/>
      <c r="BH362" s="13"/>
      <c r="BI362" s="11"/>
      <c r="BJ362" s="12"/>
      <c r="BK362" s="12"/>
      <c r="BL362" s="11"/>
      <c r="BM362" s="13"/>
      <c r="BN362" s="11"/>
      <c r="BO362" s="11"/>
      <c r="BP362" s="13"/>
      <c r="BQ362" s="11"/>
      <c r="BR362" s="12"/>
      <c r="BS362" s="12"/>
      <c r="BT362" s="11">
        <v>1</v>
      </c>
      <c r="BU362" s="13">
        <v>278.83</v>
      </c>
      <c r="BV362" s="11"/>
      <c r="BW362" s="11"/>
      <c r="BX362" s="13"/>
      <c r="BY362" s="11"/>
      <c r="BZ362" s="12"/>
      <c r="CA362" s="12"/>
      <c r="CB362" s="11"/>
      <c r="CC362" s="13"/>
      <c r="CD362" s="11"/>
      <c r="CE362" s="11"/>
      <c r="CF362" s="13"/>
      <c r="CG362" s="11"/>
      <c r="CH362" s="12"/>
      <c r="CI362" s="12"/>
      <c r="CJ362" s="11"/>
      <c r="CK362" s="13"/>
      <c r="CL362" s="11"/>
      <c r="CM362" s="11"/>
      <c r="CN362" s="13"/>
      <c r="CO362" s="11"/>
      <c r="CP362" s="12"/>
      <c r="CQ362" s="12"/>
      <c r="CR362" s="11"/>
      <c r="CS362" s="13"/>
      <c r="CT362" s="11"/>
      <c r="CU362" s="11"/>
      <c r="CV362" s="13"/>
      <c r="CW362" s="11"/>
      <c r="CX362" s="12"/>
      <c r="CY362" s="12"/>
      <c r="CZ362" s="11"/>
      <c r="DA362" s="13"/>
      <c r="DB362" s="11"/>
      <c r="DC362" s="11"/>
      <c r="DD362" s="13"/>
      <c r="DE362" s="11"/>
      <c r="DF362" s="12"/>
      <c r="DG362" s="12"/>
      <c r="DH362" s="11"/>
      <c r="DI362" s="13"/>
      <c r="DJ362" s="11"/>
      <c r="DK362" s="11"/>
      <c r="DL362" s="13"/>
      <c r="DM362" s="11"/>
      <c r="DN362" s="12"/>
      <c r="DO362" s="12"/>
      <c r="DP362" s="11"/>
      <c r="DQ362" s="13"/>
      <c r="DR362" s="11"/>
      <c r="DS362" s="11"/>
      <c r="DT362" s="13"/>
      <c r="DU362" s="11"/>
      <c r="DV362" s="12"/>
      <c r="DW362" s="12"/>
      <c r="DX362" s="11"/>
      <c r="DY362" s="13"/>
      <c r="DZ362" s="11"/>
      <c r="EA362" s="11"/>
      <c r="EB362" s="13"/>
      <c r="EC362" s="11"/>
      <c r="ED362" s="12"/>
      <c r="EE362" s="12"/>
      <c r="EF362" s="11"/>
      <c r="EG362" s="13"/>
      <c r="EH362" s="11"/>
      <c r="EI362" s="11"/>
      <c r="EJ362" s="13"/>
      <c r="EK362" s="11"/>
      <c r="EL362" s="12"/>
      <c r="EM362" s="12"/>
      <c r="EN362" s="11"/>
      <c r="EO362" s="13"/>
      <c r="EP362" s="11"/>
      <c r="EQ362" s="11"/>
      <c r="ER362" s="13"/>
      <c r="ES362" s="11"/>
      <c r="ET362" s="12"/>
      <c r="EU362" s="12"/>
      <c r="EV362" s="11"/>
      <c r="EW362" s="13"/>
      <c r="EX362" s="11"/>
      <c r="EY362" s="11"/>
      <c r="EZ362" s="13"/>
      <c r="FA362" s="11"/>
      <c r="FB362" s="12"/>
      <c r="FC362" s="12"/>
      <c r="FD362" s="11"/>
      <c r="FE362" s="13"/>
      <c r="FF362" s="11"/>
      <c r="FG362" s="11"/>
      <c r="FH362" s="13"/>
      <c r="FI362" s="11"/>
      <c r="FJ362" s="12"/>
      <c r="FK362" s="12"/>
      <c r="FL362" s="11"/>
      <c r="FM362" s="13"/>
      <c r="FN362" s="11"/>
      <c r="FO362" s="11"/>
      <c r="FP362" s="13"/>
      <c r="FQ362" s="11"/>
      <c r="FR362" s="12"/>
      <c r="FS362" s="12"/>
      <c r="FT362" s="11"/>
      <c r="FU362" s="13"/>
      <c r="FV362" s="11"/>
      <c r="FW362" s="11"/>
      <c r="FX362" s="13"/>
      <c r="FY362" s="11"/>
      <c r="FZ362" s="12"/>
      <c r="GA362" s="12"/>
      <c r="GB362" s="11"/>
      <c r="GC362" s="13"/>
      <c r="GD362" s="11"/>
      <c r="GE362" s="11"/>
      <c r="GF362" s="13"/>
      <c r="GG362" s="11"/>
      <c r="GH362" s="12"/>
      <c r="GI362" s="12"/>
      <c r="GJ362" s="11"/>
      <c r="GK362" s="13"/>
      <c r="GL362" s="11"/>
      <c r="GM362" s="11"/>
      <c r="GN362" s="13"/>
      <c r="GO362" s="11"/>
      <c r="GP362" s="12"/>
      <c r="GQ362" s="12"/>
      <c r="GR362" s="11"/>
      <c r="GS362" s="13"/>
      <c r="GT362" s="11"/>
      <c r="GU362" s="11"/>
      <c r="GV362" s="13"/>
      <c r="GW362" s="11"/>
      <c r="GX362" s="12"/>
      <c r="GY362" s="12"/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/>
      <c r="HQ362" s="13"/>
      <c r="HR362" s="11"/>
      <c r="HS362" s="11"/>
      <c r="HT362" s="13"/>
      <c r="HU362" s="11"/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/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/>
      <c r="JO362" s="11"/>
      <c r="JP362" s="13"/>
      <c r="JQ362" s="11"/>
      <c r="JR362" s="12"/>
      <c r="JS362" s="12"/>
      <c r="JT362" s="11"/>
      <c r="JU362" s="13"/>
      <c r="JV362" s="11"/>
      <c r="JW362" s="11"/>
      <c r="JX362" s="13"/>
      <c r="JY362" s="11"/>
      <c r="JZ362" s="12"/>
      <c r="KA362" s="12"/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  <c r="LH362" s="11"/>
      <c r="LI362" s="13"/>
      <c r="LJ362" s="11"/>
      <c r="LK362" s="11"/>
      <c r="LL362" s="13"/>
      <c r="LM362" s="11"/>
      <c r="LN362" s="12"/>
      <c r="LO362" s="12"/>
      <c r="LP362" s="11"/>
      <c r="LQ362" s="13"/>
      <c r="LR362" s="11"/>
      <c r="LS362" s="11"/>
      <c r="LT362" s="13"/>
      <c r="LU362" s="11"/>
      <c r="LV362" s="12"/>
      <c r="LW362" s="12"/>
    </row>
    <row r="363">
      <c r="A363" s="10" t="s">
        <v>227</v>
      </c>
      <c r="B363" s="10" t="s">
        <v>104</v>
      </c>
      <c r="C363" s="10" t="s">
        <v>77</v>
      </c>
      <c r="D363" s="11">
        <v>14</v>
      </c>
      <c r="E363" s="11">
        <f>=ROUNDDOWN({0},0)</f>
      </c>
      <c r="F363" s="11"/>
      <c r="G363" s="12"/>
      <c r="H363" s="11"/>
      <c r="I363" s="11">
        <f>=ROUNDDOWN({0},0)</f>
      </c>
      <c r="J363" s="11"/>
      <c r="K363" s="12"/>
      <c r="L363" s="11">
        <v>1</v>
      </c>
      <c r="M363" s="13">
        <v>278.83</v>
      </c>
      <c r="N363" s="11"/>
      <c r="O363" s="14"/>
      <c r="P363" s="11"/>
      <c r="Q363" s="13"/>
      <c r="R363" s="11"/>
      <c r="S363" s="14"/>
      <c r="T363" s="12"/>
      <c r="U363" s="12"/>
      <c r="V363" s="12"/>
      <c r="W363" s="12"/>
      <c r="X363" s="11"/>
      <c r="Y363" s="13"/>
      <c r="Z363" s="11"/>
      <c r="AA363" s="11"/>
      <c r="AB363" s="13"/>
      <c r="AC363" s="11"/>
      <c r="AD363" s="12"/>
      <c r="AE363" s="12"/>
      <c r="AF363" s="11"/>
      <c r="AG363" s="13"/>
      <c r="AH363" s="11"/>
      <c r="AI363" s="11"/>
      <c r="AJ363" s="13"/>
      <c r="AK363" s="11"/>
      <c r="AL363" s="12"/>
      <c r="AM363" s="12"/>
      <c r="AN363" s="11"/>
      <c r="AO363" s="13"/>
      <c r="AP363" s="11"/>
      <c r="AQ363" s="11"/>
      <c r="AR363" s="13"/>
      <c r="AS363" s="11"/>
      <c r="AT363" s="12"/>
      <c r="AU363" s="12"/>
      <c r="AV363" s="11"/>
      <c r="AW363" s="13"/>
      <c r="AX363" s="11"/>
      <c r="AY363" s="11"/>
      <c r="AZ363" s="13"/>
      <c r="BA363" s="11"/>
      <c r="BB363" s="12"/>
      <c r="BC363" s="12"/>
      <c r="BD363" s="11"/>
      <c r="BE363" s="13"/>
      <c r="BF363" s="11"/>
      <c r="BG363" s="11"/>
      <c r="BH363" s="13"/>
      <c r="BI363" s="11"/>
      <c r="BJ363" s="12"/>
      <c r="BK363" s="12"/>
      <c r="BL363" s="11"/>
      <c r="BM363" s="13"/>
      <c r="BN363" s="11"/>
      <c r="BO363" s="11"/>
      <c r="BP363" s="13"/>
      <c r="BQ363" s="11"/>
      <c r="BR363" s="12"/>
      <c r="BS363" s="12"/>
      <c r="BT363" s="11">
        <v>1</v>
      </c>
      <c r="BU363" s="13">
        <v>278.83</v>
      </c>
      <c r="BV363" s="11"/>
      <c r="BW363" s="11"/>
      <c r="BX363" s="13"/>
      <c r="BY363" s="11"/>
      <c r="BZ363" s="12"/>
      <c r="CA363" s="12"/>
      <c r="CB363" s="11"/>
      <c r="CC363" s="13"/>
      <c r="CD363" s="11"/>
      <c r="CE363" s="11"/>
      <c r="CF363" s="13"/>
      <c r="CG363" s="11"/>
      <c r="CH363" s="12"/>
      <c r="CI363" s="12"/>
      <c r="CJ363" s="11"/>
      <c r="CK363" s="13"/>
      <c r="CL363" s="11"/>
      <c r="CM363" s="11"/>
      <c r="CN363" s="13"/>
      <c r="CO363" s="11"/>
      <c r="CP363" s="12"/>
      <c r="CQ363" s="12"/>
      <c r="CR363" s="11"/>
      <c r="CS363" s="13"/>
      <c r="CT363" s="11"/>
      <c r="CU363" s="11"/>
      <c r="CV363" s="13"/>
      <c r="CW363" s="11"/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/>
      <c r="DK363" s="11"/>
      <c r="DL363" s="13"/>
      <c r="DM363" s="11"/>
      <c r="DN363" s="12"/>
      <c r="DO363" s="12"/>
      <c r="DP363" s="11"/>
      <c r="DQ363" s="13"/>
      <c r="DR363" s="11"/>
      <c r="DS363" s="11"/>
      <c r="DT363" s="13"/>
      <c r="DU363" s="11"/>
      <c r="DV363" s="12"/>
      <c r="DW363" s="12"/>
      <c r="DX363" s="11"/>
      <c r="DY363" s="13"/>
      <c r="DZ363" s="11"/>
      <c r="EA363" s="11"/>
      <c r="EB363" s="13"/>
      <c r="EC363" s="11"/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/>
      <c r="GM363" s="11"/>
      <c r="GN363" s="13"/>
      <c r="GO363" s="11"/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/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/>
      <c r="JO363" s="11"/>
      <c r="JP363" s="13"/>
      <c r="JQ363" s="11"/>
      <c r="JR363" s="12"/>
      <c r="JS363" s="12"/>
      <c r="JT363" s="11"/>
      <c r="JU363" s="13"/>
      <c r="JV363" s="11"/>
      <c r="JW363" s="11"/>
      <c r="JX363" s="13"/>
      <c r="JY363" s="11"/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  <c r="LH363" s="11"/>
      <c r="LI363" s="13"/>
      <c r="LJ363" s="11"/>
      <c r="LK363" s="11"/>
      <c r="LL363" s="13"/>
      <c r="LM363" s="11"/>
      <c r="LN363" s="12"/>
      <c r="LO363" s="12"/>
      <c r="LP363" s="11"/>
      <c r="LQ363" s="13"/>
      <c r="LR363" s="11"/>
      <c r="LS363" s="11"/>
      <c r="LT363" s="13"/>
      <c r="LU363" s="11"/>
      <c r="LV363" s="12"/>
      <c r="LW363" s="12"/>
    </row>
    <row r="364">
      <c r="A364" s="10" t="s">
        <v>227</v>
      </c>
      <c r="B364" s="10" t="s">
        <v>231</v>
      </c>
      <c r="C364" s="10" t="s">
        <v>213</v>
      </c>
      <c r="D364" s="11">
        <v>686</v>
      </c>
      <c r="E364" s="11">
        <f>=ROUNDDOWN(114.333333333333,0)</f>
      </c>
      <c r="F364" s="11"/>
      <c r="G364" s="12">
        <v>1</v>
      </c>
      <c r="H364" s="11"/>
      <c r="I364" s="11">
        <f>=ROUNDDOWN({0},0)</f>
      </c>
      <c r="J364" s="11"/>
      <c r="K364" s="12"/>
      <c r="L364" s="11">
        <v>112</v>
      </c>
      <c r="M364" s="13">
        <v>21815.36</v>
      </c>
      <c r="N364" s="11"/>
      <c r="O364" s="14"/>
      <c r="P364" s="11"/>
      <c r="Q364" s="13"/>
      <c r="R364" s="11"/>
      <c r="S364" s="14"/>
      <c r="T364" s="12"/>
      <c r="U364" s="12"/>
      <c r="V364" s="12"/>
      <c r="W364" s="12"/>
      <c r="X364" s="11"/>
      <c r="Y364" s="13"/>
      <c r="Z364" s="11"/>
      <c r="AA364" s="11"/>
      <c r="AB364" s="13"/>
      <c r="AC364" s="11"/>
      <c r="AD364" s="12"/>
      <c r="AE364" s="12"/>
      <c r="AF364" s="11"/>
      <c r="AG364" s="13"/>
      <c r="AH364" s="11"/>
      <c r="AI364" s="11"/>
      <c r="AJ364" s="13"/>
      <c r="AK364" s="11"/>
      <c r="AL364" s="12"/>
      <c r="AM364" s="12"/>
      <c r="AN364" s="11"/>
      <c r="AO364" s="13"/>
      <c r="AP364" s="11"/>
      <c r="AQ364" s="11"/>
      <c r="AR364" s="13"/>
      <c r="AS364" s="11"/>
      <c r="AT364" s="12"/>
      <c r="AU364" s="12"/>
      <c r="AV364" s="11">
        <v>112</v>
      </c>
      <c r="AW364" s="13">
        <v>21815.36</v>
      </c>
      <c r="AX364" s="11"/>
      <c r="AY364" s="11"/>
      <c r="AZ364" s="13"/>
      <c r="BA364" s="11"/>
      <c r="BB364" s="12"/>
      <c r="BC364" s="12"/>
      <c r="BD364" s="11"/>
      <c r="BE364" s="13"/>
      <c r="BF364" s="11"/>
      <c r="BG364" s="11"/>
      <c r="BH364" s="13"/>
      <c r="BI364" s="11"/>
      <c r="BJ364" s="12"/>
      <c r="BK364" s="12"/>
      <c r="BL364" s="11"/>
      <c r="BM364" s="13"/>
      <c r="BN364" s="11"/>
      <c r="BO364" s="11"/>
      <c r="BP364" s="13"/>
      <c r="BQ364" s="11"/>
      <c r="BR364" s="12"/>
      <c r="BS364" s="12"/>
      <c r="BT364" s="11"/>
      <c r="BU364" s="13"/>
      <c r="BV364" s="11"/>
      <c r="BW364" s="11"/>
      <c r="BX364" s="13"/>
      <c r="BY364" s="11"/>
      <c r="BZ364" s="12"/>
      <c r="CA364" s="12"/>
      <c r="CB364" s="11"/>
      <c r="CC364" s="13"/>
      <c r="CD364" s="11"/>
      <c r="CE364" s="11"/>
      <c r="CF364" s="13"/>
      <c r="CG364" s="11"/>
      <c r="CH364" s="12"/>
      <c r="CI364" s="12"/>
      <c r="CJ364" s="11"/>
      <c r="CK364" s="13"/>
      <c r="CL364" s="11"/>
      <c r="CM364" s="11"/>
      <c r="CN364" s="13"/>
      <c r="CO364" s="11"/>
      <c r="CP364" s="12"/>
      <c r="CQ364" s="12"/>
      <c r="CR364" s="11"/>
      <c r="CS364" s="13"/>
      <c r="CT364" s="11"/>
      <c r="CU364" s="11"/>
      <c r="CV364" s="13"/>
      <c r="CW364" s="11"/>
      <c r="CX364" s="12"/>
      <c r="CY364" s="12"/>
      <c r="CZ364" s="11"/>
      <c r="DA364" s="13"/>
      <c r="DB364" s="11"/>
      <c r="DC364" s="11"/>
      <c r="DD364" s="13"/>
      <c r="DE364" s="11"/>
      <c r="DF364" s="12"/>
      <c r="DG364" s="12"/>
      <c r="DH364" s="11"/>
      <c r="DI364" s="13"/>
      <c r="DJ364" s="11"/>
      <c r="DK364" s="11"/>
      <c r="DL364" s="13"/>
      <c r="DM364" s="11"/>
      <c r="DN364" s="12"/>
      <c r="DO364" s="12"/>
      <c r="DP364" s="11"/>
      <c r="DQ364" s="13"/>
      <c r="DR364" s="11"/>
      <c r="DS364" s="11"/>
      <c r="DT364" s="13"/>
      <c r="DU364" s="11"/>
      <c r="DV364" s="12"/>
      <c r="DW364" s="12"/>
      <c r="DX364" s="11"/>
      <c r="DY364" s="13"/>
      <c r="DZ364" s="11"/>
      <c r="EA364" s="11"/>
      <c r="EB364" s="13"/>
      <c r="EC364" s="11"/>
      <c r="ED364" s="12"/>
      <c r="EE364" s="12"/>
      <c r="EF364" s="11"/>
      <c r="EG364" s="13"/>
      <c r="EH364" s="11"/>
      <c r="EI364" s="11"/>
      <c r="EJ364" s="13"/>
      <c r="EK364" s="11"/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/>
      <c r="EW364" s="13"/>
      <c r="EX364" s="11"/>
      <c r="EY364" s="11"/>
      <c r="EZ364" s="13"/>
      <c r="FA364" s="11"/>
      <c r="FB364" s="12"/>
      <c r="FC364" s="12"/>
      <c r="FD364" s="11"/>
      <c r="FE364" s="13"/>
      <c r="FF364" s="11"/>
      <c r="FG364" s="11"/>
      <c r="FH364" s="13"/>
      <c r="FI364" s="11"/>
      <c r="FJ364" s="12"/>
      <c r="FK364" s="12"/>
      <c r="FL364" s="11"/>
      <c r="FM364" s="13"/>
      <c r="FN364" s="11"/>
      <c r="FO364" s="11"/>
      <c r="FP364" s="13"/>
      <c r="FQ364" s="11"/>
      <c r="FR364" s="12"/>
      <c r="FS364" s="12"/>
      <c r="FT364" s="11"/>
      <c r="FU364" s="13"/>
      <c r="FV364" s="11"/>
      <c r="FW364" s="11"/>
      <c r="FX364" s="13"/>
      <c r="FY364" s="11"/>
      <c r="FZ364" s="12"/>
      <c r="GA364" s="12"/>
      <c r="GB364" s="11"/>
      <c r="GC364" s="13"/>
      <c r="GD364" s="11"/>
      <c r="GE364" s="11"/>
      <c r="GF364" s="13"/>
      <c r="GG364" s="11"/>
      <c r="GH364" s="12"/>
      <c r="GI364" s="12"/>
      <c r="GJ364" s="11"/>
      <c r="GK364" s="13"/>
      <c r="GL364" s="11"/>
      <c r="GM364" s="11"/>
      <c r="GN364" s="13"/>
      <c r="GO364" s="11"/>
      <c r="GP364" s="12"/>
      <c r="GQ364" s="12"/>
      <c r="GR364" s="11"/>
      <c r="GS364" s="13"/>
      <c r="GT364" s="11"/>
      <c r="GU364" s="11"/>
      <c r="GV364" s="13"/>
      <c r="GW364" s="11"/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/>
      <c r="JO364" s="11"/>
      <c r="JP364" s="13"/>
      <c r="JQ364" s="11"/>
      <c r="JR364" s="12"/>
      <c r="JS364" s="12"/>
      <c r="JT364" s="11"/>
      <c r="JU364" s="13"/>
      <c r="JV364" s="11"/>
      <c r="JW364" s="11"/>
      <c r="JX364" s="13"/>
      <c r="JY364" s="11"/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  <c r="LH364" s="11"/>
      <c r="LI364" s="13"/>
      <c r="LJ364" s="11"/>
      <c r="LK364" s="11"/>
      <c r="LL364" s="13"/>
      <c r="LM364" s="11"/>
      <c r="LN364" s="12"/>
      <c r="LO364" s="12"/>
      <c r="LP364" s="11"/>
      <c r="LQ364" s="13"/>
      <c r="LR364" s="11"/>
      <c r="LS364" s="11"/>
      <c r="LT364" s="13"/>
      <c r="LU364" s="11"/>
      <c r="LV364" s="12"/>
      <c r="LW364" s="12"/>
    </row>
    <row r="365">
      <c r="A365" s="10" t="s">
        <v>227</v>
      </c>
      <c r="B365" s="10" t="s">
        <v>232</v>
      </c>
      <c r="C365" s="10" t="s">
        <v>77</v>
      </c>
      <c r="D365" s="11">
        <v>686</v>
      </c>
      <c r="E365" s="11">
        <f>=ROUNDDOWN({0},0)</f>
      </c>
      <c r="F365" s="11"/>
      <c r="G365" s="12"/>
      <c r="H365" s="11"/>
      <c r="I365" s="11">
        <f>=ROUNDDOWN({0},0)</f>
      </c>
      <c r="J365" s="11"/>
      <c r="K365" s="12"/>
      <c r="L365" s="11">
        <v>112</v>
      </c>
      <c r="M365" s="13">
        <v>21815.36</v>
      </c>
      <c r="N365" s="11"/>
      <c r="O365" s="14"/>
      <c r="P365" s="11"/>
      <c r="Q365" s="13"/>
      <c r="R365" s="11"/>
      <c r="S365" s="14"/>
      <c r="T365" s="12"/>
      <c r="U365" s="12"/>
      <c r="V365" s="12"/>
      <c r="W365" s="12"/>
      <c r="X365" s="11"/>
      <c r="Y365" s="13"/>
      <c r="Z365" s="11"/>
      <c r="AA365" s="11"/>
      <c r="AB365" s="13"/>
      <c r="AC365" s="11"/>
      <c r="AD365" s="12"/>
      <c r="AE365" s="12"/>
      <c r="AF365" s="11"/>
      <c r="AG365" s="13"/>
      <c r="AH365" s="11"/>
      <c r="AI365" s="11"/>
      <c r="AJ365" s="13"/>
      <c r="AK365" s="11"/>
      <c r="AL365" s="12"/>
      <c r="AM365" s="12"/>
      <c r="AN365" s="11"/>
      <c r="AO365" s="13"/>
      <c r="AP365" s="11"/>
      <c r="AQ365" s="11"/>
      <c r="AR365" s="13"/>
      <c r="AS365" s="11"/>
      <c r="AT365" s="12"/>
      <c r="AU365" s="12"/>
      <c r="AV365" s="11">
        <v>112</v>
      </c>
      <c r="AW365" s="13">
        <v>21815.36</v>
      </c>
      <c r="AX365" s="11"/>
      <c r="AY365" s="11"/>
      <c r="AZ365" s="13"/>
      <c r="BA365" s="11"/>
      <c r="BB365" s="12"/>
      <c r="BC365" s="12"/>
      <c r="BD365" s="11"/>
      <c r="BE365" s="13"/>
      <c r="BF365" s="11"/>
      <c r="BG365" s="11"/>
      <c r="BH365" s="13"/>
      <c r="BI365" s="11"/>
      <c r="BJ365" s="12"/>
      <c r="BK365" s="12"/>
      <c r="BL365" s="11"/>
      <c r="BM365" s="13"/>
      <c r="BN365" s="11"/>
      <c r="BO365" s="11"/>
      <c r="BP365" s="13"/>
      <c r="BQ365" s="11"/>
      <c r="BR365" s="12"/>
      <c r="BS365" s="12"/>
      <c r="BT365" s="11"/>
      <c r="BU365" s="13"/>
      <c r="BV365" s="11"/>
      <c r="BW365" s="11"/>
      <c r="BX365" s="13"/>
      <c r="BY365" s="11"/>
      <c r="BZ365" s="12"/>
      <c r="CA365" s="12"/>
      <c r="CB365" s="11"/>
      <c r="CC365" s="13"/>
      <c r="CD365" s="11"/>
      <c r="CE365" s="11"/>
      <c r="CF365" s="13"/>
      <c r="CG365" s="11"/>
      <c r="CH365" s="12"/>
      <c r="CI365" s="12"/>
      <c r="CJ365" s="11"/>
      <c r="CK365" s="13"/>
      <c r="CL365" s="11"/>
      <c r="CM365" s="11"/>
      <c r="CN365" s="13"/>
      <c r="CO365" s="11"/>
      <c r="CP365" s="12"/>
      <c r="CQ365" s="12"/>
      <c r="CR365" s="11"/>
      <c r="CS365" s="13"/>
      <c r="CT365" s="11"/>
      <c r="CU365" s="11"/>
      <c r="CV365" s="13"/>
      <c r="CW365" s="11"/>
      <c r="CX365" s="12"/>
      <c r="CY365" s="12"/>
      <c r="CZ365" s="11"/>
      <c r="DA365" s="13"/>
      <c r="DB365" s="11"/>
      <c r="DC365" s="11"/>
      <c r="DD365" s="13"/>
      <c r="DE365" s="11"/>
      <c r="DF365" s="12"/>
      <c r="DG365" s="12"/>
      <c r="DH365" s="11"/>
      <c r="DI365" s="13"/>
      <c r="DJ365" s="11"/>
      <c r="DK365" s="11"/>
      <c r="DL365" s="13"/>
      <c r="DM365" s="11"/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/>
      <c r="DY365" s="13"/>
      <c r="DZ365" s="11"/>
      <c r="EA365" s="11"/>
      <c r="EB365" s="13"/>
      <c r="EC365" s="11"/>
      <c r="ED365" s="12"/>
      <c r="EE365" s="12"/>
      <c r="EF365" s="11"/>
      <c r="EG365" s="13"/>
      <c r="EH365" s="11"/>
      <c r="EI365" s="11"/>
      <c r="EJ365" s="13"/>
      <c r="EK365" s="11"/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/>
      <c r="EW365" s="13"/>
      <c r="EX365" s="11"/>
      <c r="EY365" s="11"/>
      <c r="EZ365" s="13"/>
      <c r="FA365" s="11"/>
      <c r="FB365" s="12"/>
      <c r="FC365" s="12"/>
      <c r="FD365" s="11"/>
      <c r="FE365" s="13"/>
      <c r="FF365" s="11"/>
      <c r="FG365" s="11"/>
      <c r="FH365" s="13"/>
      <c r="FI365" s="11"/>
      <c r="FJ365" s="12"/>
      <c r="FK365" s="12"/>
      <c r="FL365" s="11"/>
      <c r="FM365" s="13"/>
      <c r="FN365" s="11"/>
      <c r="FO365" s="11"/>
      <c r="FP365" s="13"/>
      <c r="FQ365" s="11"/>
      <c r="FR365" s="12"/>
      <c r="FS365" s="12"/>
      <c r="FT365" s="11"/>
      <c r="FU365" s="13"/>
      <c r="FV365" s="11"/>
      <c r="FW365" s="11"/>
      <c r="FX365" s="13"/>
      <c r="FY365" s="11"/>
      <c r="FZ365" s="12"/>
      <c r="GA365" s="12"/>
      <c r="GB365" s="11"/>
      <c r="GC365" s="13"/>
      <c r="GD365" s="11"/>
      <c r="GE365" s="11"/>
      <c r="GF365" s="13"/>
      <c r="GG365" s="11"/>
      <c r="GH365" s="12"/>
      <c r="GI365" s="12"/>
      <c r="GJ365" s="11"/>
      <c r="GK365" s="13"/>
      <c r="GL365" s="11"/>
      <c r="GM365" s="11"/>
      <c r="GN365" s="13"/>
      <c r="GO365" s="11"/>
      <c r="GP365" s="12"/>
      <c r="GQ365" s="12"/>
      <c r="GR365" s="11"/>
      <c r="GS365" s="13"/>
      <c r="GT365" s="11"/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/>
      <c r="JO365" s="11"/>
      <c r="JP365" s="13"/>
      <c r="JQ365" s="11"/>
      <c r="JR365" s="12"/>
      <c r="JS365" s="12"/>
      <c r="JT365" s="11"/>
      <c r="JU365" s="13"/>
      <c r="JV365" s="11"/>
      <c r="JW365" s="11"/>
      <c r="JX365" s="13"/>
      <c r="JY365" s="11"/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  <c r="LH365" s="11"/>
      <c r="LI365" s="13"/>
      <c r="LJ365" s="11"/>
      <c r="LK365" s="11"/>
      <c r="LL365" s="13"/>
      <c r="LM365" s="11"/>
      <c r="LN365" s="12"/>
      <c r="LO365" s="12"/>
      <c r="LP365" s="11"/>
      <c r="LQ365" s="13"/>
      <c r="LR365" s="11"/>
      <c r="LS365" s="11"/>
      <c r="LT365" s="13"/>
      <c r="LU365" s="11"/>
      <c r="LV365" s="12"/>
      <c r="LW365" s="12"/>
    </row>
    <row r="366">
      <c r="A366" s="10" t="s">
        <v>227</v>
      </c>
      <c r="B366" s="10" t="s">
        <v>107</v>
      </c>
      <c r="C366" s="10" t="s">
        <v>228</v>
      </c>
      <c r="D366" s="11">
        <v>2859</v>
      </c>
      <c r="E366" s="11">
        <f>=ROUNDDOWN(24.0252100840336,0)</f>
      </c>
      <c r="F366" s="11">
        <v>2088</v>
      </c>
      <c r="G366" s="12">
        <v>0.9938</v>
      </c>
      <c r="H366" s="11"/>
      <c r="I366" s="11">
        <f>=ROUNDDOWN({0},0)</f>
      </c>
      <c r="J366" s="11"/>
      <c r="K366" s="12"/>
      <c r="L366" s="11">
        <v>1126</v>
      </c>
      <c r="M366" s="13">
        <v>154733.83</v>
      </c>
      <c r="N366" s="11">
        <v>16</v>
      </c>
      <c r="O366" s="14">
        <v>9670.86</v>
      </c>
      <c r="P366" s="11"/>
      <c r="Q366" s="13"/>
      <c r="R366" s="11"/>
      <c r="S366" s="14"/>
      <c r="T366" s="12"/>
      <c r="U366" s="12"/>
      <c r="V366" s="12"/>
      <c r="W366" s="12"/>
      <c r="X366" s="11">
        <v>57</v>
      </c>
      <c r="Y366" s="13">
        <v>8152.75</v>
      </c>
      <c r="Z366" s="11">
        <v>7</v>
      </c>
      <c r="AA366" s="11"/>
      <c r="AB366" s="13"/>
      <c r="AC366" s="11"/>
      <c r="AD366" s="12"/>
      <c r="AE366" s="12"/>
      <c r="AF366" s="11">
        <v>309</v>
      </c>
      <c r="AG366" s="13">
        <v>37372.3</v>
      </c>
      <c r="AH366" s="11">
        <v>16</v>
      </c>
      <c r="AI366" s="11"/>
      <c r="AJ366" s="13"/>
      <c r="AK366" s="11"/>
      <c r="AL366" s="12"/>
      <c r="AM366" s="12"/>
      <c r="AN366" s="11">
        <v>16</v>
      </c>
      <c r="AO366" s="13">
        <v>2459.01</v>
      </c>
      <c r="AP366" s="11">
        <v>16</v>
      </c>
      <c r="AQ366" s="11"/>
      <c r="AR366" s="13"/>
      <c r="AS366" s="11"/>
      <c r="AT366" s="12"/>
      <c r="AU366" s="12"/>
      <c r="AV366" s="11">
        <v>54</v>
      </c>
      <c r="AW366" s="13">
        <v>8176.66</v>
      </c>
      <c r="AX366" s="11">
        <v>7</v>
      </c>
      <c r="AY366" s="11"/>
      <c r="AZ366" s="13"/>
      <c r="BA366" s="11"/>
      <c r="BB366" s="12"/>
      <c r="BC366" s="12"/>
      <c r="BD366" s="11">
        <v>43</v>
      </c>
      <c r="BE366" s="13">
        <v>5842.49</v>
      </c>
      <c r="BF366" s="11">
        <v>8</v>
      </c>
      <c r="BG366" s="11"/>
      <c r="BH366" s="13"/>
      <c r="BI366" s="11"/>
      <c r="BJ366" s="12"/>
      <c r="BK366" s="12"/>
      <c r="BL366" s="11">
        <v>338</v>
      </c>
      <c r="BM366" s="13">
        <v>49980.38</v>
      </c>
      <c r="BN366" s="11">
        <v>16</v>
      </c>
      <c r="BO366" s="11"/>
      <c r="BP366" s="13"/>
      <c r="BQ366" s="11"/>
      <c r="BR366" s="12"/>
      <c r="BS366" s="12"/>
      <c r="BT366" s="11">
        <v>168</v>
      </c>
      <c r="BU366" s="13">
        <v>24010.47</v>
      </c>
      <c r="BV366" s="11">
        <v>16</v>
      </c>
      <c r="BW366" s="11"/>
      <c r="BX366" s="13"/>
      <c r="BY366" s="11"/>
      <c r="BZ366" s="12"/>
      <c r="CA366" s="12"/>
      <c r="CB366" s="11">
        <v>2</v>
      </c>
      <c r="CC366" s="13">
        <v>229.65</v>
      </c>
      <c r="CD366" s="11">
        <v>10</v>
      </c>
      <c r="CE366" s="11"/>
      <c r="CF366" s="13"/>
      <c r="CG366" s="11"/>
      <c r="CH366" s="12"/>
      <c r="CI366" s="12"/>
      <c r="CJ366" s="11">
        <v>4</v>
      </c>
      <c r="CK366" s="13">
        <v>919.96</v>
      </c>
      <c r="CL366" s="11">
        <v>16</v>
      </c>
      <c r="CM366" s="11"/>
      <c r="CN366" s="13"/>
      <c r="CO366" s="11"/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>
        <v>50</v>
      </c>
      <c r="DA366" s="13">
        <v>6351.28</v>
      </c>
      <c r="DB366" s="11">
        <v>6</v>
      </c>
      <c r="DC366" s="11"/>
      <c r="DD366" s="13"/>
      <c r="DE366" s="11"/>
      <c r="DF366" s="12"/>
      <c r="DG366" s="12"/>
      <c r="DH366" s="11">
        <v>7</v>
      </c>
      <c r="DI366" s="13">
        <v>1102.51</v>
      </c>
      <c r="DJ366" s="11">
        <v>2</v>
      </c>
      <c r="DK366" s="11"/>
      <c r="DL366" s="13"/>
      <c r="DM366" s="11"/>
      <c r="DN366" s="12"/>
      <c r="DO366" s="12"/>
      <c r="DP366" s="11"/>
      <c r="DQ366" s="13"/>
      <c r="DR366" s="11">
        <v>5</v>
      </c>
      <c r="DS366" s="11"/>
      <c r="DT366" s="13"/>
      <c r="DU366" s="11"/>
      <c r="DV366" s="12"/>
      <c r="DW366" s="12"/>
      <c r="DX366" s="11">
        <v>27</v>
      </c>
      <c r="DY366" s="13">
        <v>3696.22</v>
      </c>
      <c r="DZ366" s="11">
        <v>11</v>
      </c>
      <c r="EA366" s="11"/>
      <c r="EB366" s="13"/>
      <c r="EC366" s="11"/>
      <c r="ED366" s="12"/>
      <c r="EE366" s="12"/>
      <c r="EF366" s="11"/>
      <c r="EG366" s="13"/>
      <c r="EH366" s="11"/>
      <c r="EI366" s="11"/>
      <c r="EJ366" s="13"/>
      <c r="EK366" s="11"/>
      <c r="EL366" s="12"/>
      <c r="EM366" s="12"/>
      <c r="EN366" s="11">
        <v>1</v>
      </c>
      <c r="EO366" s="13">
        <v>249</v>
      </c>
      <c r="EP366" s="11">
        <v>16</v>
      </c>
      <c r="EQ366" s="11"/>
      <c r="ER366" s="13"/>
      <c r="ES366" s="11"/>
      <c r="ET366" s="12"/>
      <c r="EU366" s="12"/>
      <c r="EV366" s="11"/>
      <c r="EW366" s="13"/>
      <c r="EX366" s="11"/>
      <c r="EY366" s="11"/>
      <c r="EZ366" s="13"/>
      <c r="FA366" s="11"/>
      <c r="FB366" s="12"/>
      <c r="FC366" s="12"/>
      <c r="FD366" s="11"/>
      <c r="FE366" s="13"/>
      <c r="FF366" s="11"/>
      <c r="FG366" s="11"/>
      <c r="FH366" s="13"/>
      <c r="FI366" s="11"/>
      <c r="FJ366" s="12"/>
      <c r="FK366" s="12"/>
      <c r="FL366" s="11">
        <v>24</v>
      </c>
      <c r="FM366" s="13">
        <v>2821.7</v>
      </c>
      <c r="FN366" s="11">
        <v>7</v>
      </c>
      <c r="FO366" s="11"/>
      <c r="FP366" s="13"/>
      <c r="FQ366" s="11"/>
      <c r="FR366" s="12"/>
      <c r="FS366" s="12"/>
      <c r="FT366" s="11">
        <v>3</v>
      </c>
      <c r="FU366" s="13">
        <v>369.81</v>
      </c>
      <c r="FV366" s="11">
        <v>11</v>
      </c>
      <c r="FW366" s="11"/>
      <c r="FX366" s="13"/>
      <c r="FY366" s="11"/>
      <c r="FZ366" s="12"/>
      <c r="GA366" s="12"/>
      <c r="GB366" s="11">
        <v>13</v>
      </c>
      <c r="GC366" s="13">
        <v>1578.52</v>
      </c>
      <c r="GD366" s="11">
        <v>6</v>
      </c>
      <c r="GE366" s="11"/>
      <c r="GF366" s="13"/>
      <c r="GG366" s="11"/>
      <c r="GH366" s="12"/>
      <c r="GI366" s="12"/>
      <c r="GJ366" s="11">
        <v>4</v>
      </c>
      <c r="GK366" s="13">
        <v>522.77</v>
      </c>
      <c r="GL366" s="11">
        <v>8</v>
      </c>
      <c r="GM366" s="11"/>
      <c r="GN366" s="13"/>
      <c r="GO366" s="11"/>
      <c r="GP366" s="12"/>
      <c r="GQ366" s="12"/>
      <c r="GR366" s="11">
        <v>6</v>
      </c>
      <c r="GS366" s="13">
        <v>898.35</v>
      </c>
      <c r="GT366" s="11">
        <v>8</v>
      </c>
      <c r="GU366" s="11"/>
      <c r="GV366" s="13"/>
      <c r="GW366" s="11"/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>
        <v>1</v>
      </c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/>
      <c r="JO366" s="11"/>
      <c r="JP366" s="13"/>
      <c r="JQ366" s="11"/>
      <c r="JR366" s="12"/>
      <c r="JS366" s="12"/>
      <c r="JT366" s="11"/>
      <c r="JU366" s="13"/>
      <c r="JV366" s="11">
        <v>3</v>
      </c>
      <c r="JW366" s="11"/>
      <c r="JX366" s="13"/>
      <c r="JY366" s="11"/>
      <c r="JZ366" s="12"/>
      <c r="KA366" s="12"/>
      <c r="KB366" s="11"/>
      <c r="KC366" s="13"/>
      <c r="KD366" s="11"/>
      <c r="KE366" s="11"/>
      <c r="KF366" s="13"/>
      <c r="KG366" s="11"/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  <c r="LH366" s="11"/>
      <c r="LI366" s="13"/>
      <c r="LJ366" s="11"/>
      <c r="LK366" s="11"/>
      <c r="LL366" s="13"/>
      <c r="LM366" s="11"/>
      <c r="LN366" s="12"/>
      <c r="LO366" s="12"/>
      <c r="LP366" s="11"/>
      <c r="LQ366" s="13"/>
      <c r="LR366" s="11"/>
      <c r="LS366" s="11"/>
      <c r="LT366" s="13"/>
      <c r="LU366" s="11"/>
      <c r="LV366" s="12"/>
      <c r="LW366" s="12"/>
    </row>
    <row r="367">
      <c r="A367" s="10" t="s">
        <v>227</v>
      </c>
      <c r="B367" s="10" t="s">
        <v>107</v>
      </c>
      <c r="C367" s="10" t="s">
        <v>213</v>
      </c>
      <c r="D367" s="11">
        <v>9888</v>
      </c>
      <c r="E367" s="11">
        <f>=ROUNDDOWN(40.7584501236604,0)</f>
      </c>
      <c r="F367" s="11">
        <v>5161</v>
      </c>
      <c r="G367" s="12">
        <v>0.9391</v>
      </c>
      <c r="H367" s="11"/>
      <c r="I367" s="11">
        <f>=ROUNDDOWN({0},0)</f>
      </c>
      <c r="J367" s="11">
        <v>2053</v>
      </c>
      <c r="K367" s="12">
        <v>0.4626</v>
      </c>
      <c r="L367" s="11">
        <v>4098</v>
      </c>
      <c r="M367" s="13">
        <v>713038.97</v>
      </c>
      <c r="N367" s="11">
        <v>41</v>
      </c>
      <c r="O367" s="14">
        <v>17391.19</v>
      </c>
      <c r="P367" s="11"/>
      <c r="Q367" s="13"/>
      <c r="R367" s="11"/>
      <c r="S367" s="14"/>
      <c r="T367" s="12"/>
      <c r="U367" s="12"/>
      <c r="V367" s="12"/>
      <c r="W367" s="12"/>
      <c r="X367" s="11">
        <v>45</v>
      </c>
      <c r="Y367" s="13">
        <v>9554.21</v>
      </c>
      <c r="Z367" s="11">
        <v>9</v>
      </c>
      <c r="AA367" s="11"/>
      <c r="AB367" s="13"/>
      <c r="AC367" s="11"/>
      <c r="AD367" s="12"/>
      <c r="AE367" s="12"/>
      <c r="AF367" s="11">
        <v>2181</v>
      </c>
      <c r="AG367" s="13">
        <v>334727.34</v>
      </c>
      <c r="AH367" s="11">
        <v>41</v>
      </c>
      <c r="AI367" s="11"/>
      <c r="AJ367" s="13"/>
      <c r="AK367" s="11"/>
      <c r="AL367" s="12"/>
      <c r="AM367" s="12"/>
      <c r="AN367" s="11">
        <v>29</v>
      </c>
      <c r="AO367" s="13">
        <v>5734.39</v>
      </c>
      <c r="AP367" s="11">
        <v>41</v>
      </c>
      <c r="AQ367" s="11"/>
      <c r="AR367" s="13"/>
      <c r="AS367" s="11"/>
      <c r="AT367" s="12"/>
      <c r="AU367" s="12"/>
      <c r="AV367" s="11">
        <v>67</v>
      </c>
      <c r="AW367" s="13">
        <v>13560.19</v>
      </c>
      <c r="AX367" s="11">
        <v>39</v>
      </c>
      <c r="AY367" s="11"/>
      <c r="AZ367" s="13"/>
      <c r="BA367" s="11"/>
      <c r="BB367" s="12"/>
      <c r="BC367" s="12"/>
      <c r="BD367" s="11">
        <v>296</v>
      </c>
      <c r="BE367" s="13">
        <v>52497.45</v>
      </c>
      <c r="BF367" s="11">
        <v>39</v>
      </c>
      <c r="BG367" s="11"/>
      <c r="BH367" s="13"/>
      <c r="BI367" s="11"/>
      <c r="BJ367" s="12"/>
      <c r="BK367" s="12"/>
      <c r="BL367" s="11">
        <v>138</v>
      </c>
      <c r="BM367" s="13">
        <v>34708.41</v>
      </c>
      <c r="BN367" s="11">
        <v>40</v>
      </c>
      <c r="BO367" s="11"/>
      <c r="BP367" s="13"/>
      <c r="BQ367" s="11"/>
      <c r="BR367" s="12"/>
      <c r="BS367" s="12"/>
      <c r="BT367" s="11">
        <v>583</v>
      </c>
      <c r="BU367" s="13">
        <v>115543.22</v>
      </c>
      <c r="BV367" s="11">
        <v>41</v>
      </c>
      <c r="BW367" s="11"/>
      <c r="BX367" s="13"/>
      <c r="BY367" s="11"/>
      <c r="BZ367" s="12"/>
      <c r="CA367" s="12"/>
      <c r="CB367" s="11">
        <v>4</v>
      </c>
      <c r="CC367" s="13">
        <v>932.14</v>
      </c>
      <c r="CD367" s="11">
        <v>17</v>
      </c>
      <c r="CE367" s="11"/>
      <c r="CF367" s="13"/>
      <c r="CG367" s="11"/>
      <c r="CH367" s="12"/>
      <c r="CI367" s="12"/>
      <c r="CJ367" s="11"/>
      <c r="CK367" s="13"/>
      <c r="CL367" s="11">
        <v>40</v>
      </c>
      <c r="CM367" s="11"/>
      <c r="CN367" s="13"/>
      <c r="CO367" s="11"/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>
        <v>56</v>
      </c>
      <c r="DA367" s="13">
        <v>10283.56</v>
      </c>
      <c r="DB367" s="11">
        <v>19</v>
      </c>
      <c r="DC367" s="11"/>
      <c r="DD367" s="13"/>
      <c r="DE367" s="11"/>
      <c r="DF367" s="12"/>
      <c r="DG367" s="12"/>
      <c r="DH367" s="11">
        <v>474</v>
      </c>
      <c r="DI367" s="13">
        <v>89273.56</v>
      </c>
      <c r="DJ367" s="11">
        <v>26</v>
      </c>
      <c r="DK367" s="11"/>
      <c r="DL367" s="13"/>
      <c r="DM367" s="11"/>
      <c r="DN367" s="12"/>
      <c r="DO367" s="12"/>
      <c r="DP367" s="11">
        <v>1</v>
      </c>
      <c r="DQ367" s="13">
        <v>249.28</v>
      </c>
      <c r="DR367" s="11">
        <v>11</v>
      </c>
      <c r="DS367" s="11"/>
      <c r="DT367" s="13"/>
      <c r="DU367" s="11"/>
      <c r="DV367" s="12"/>
      <c r="DW367" s="12"/>
      <c r="DX367" s="11">
        <v>102</v>
      </c>
      <c r="DY367" s="13">
        <v>24464.05</v>
      </c>
      <c r="DZ367" s="11">
        <v>38</v>
      </c>
      <c r="EA367" s="11"/>
      <c r="EB367" s="13"/>
      <c r="EC367" s="11"/>
      <c r="ED367" s="12"/>
      <c r="EE367" s="12"/>
      <c r="EF367" s="11"/>
      <c r="EG367" s="13"/>
      <c r="EH367" s="11"/>
      <c r="EI367" s="11"/>
      <c r="EJ367" s="13"/>
      <c r="EK367" s="11"/>
      <c r="EL367" s="12"/>
      <c r="EM367" s="12"/>
      <c r="EN367" s="11"/>
      <c r="EO367" s="13"/>
      <c r="EP367" s="11">
        <v>37</v>
      </c>
      <c r="EQ367" s="11"/>
      <c r="ER367" s="13"/>
      <c r="ES367" s="11"/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/>
      <c r="FE367" s="13"/>
      <c r="FF367" s="11"/>
      <c r="FG367" s="11"/>
      <c r="FH367" s="13"/>
      <c r="FI367" s="11"/>
      <c r="FJ367" s="12"/>
      <c r="FK367" s="12"/>
      <c r="FL367" s="11">
        <v>8</v>
      </c>
      <c r="FM367" s="13">
        <v>1716.5</v>
      </c>
      <c r="FN367" s="11">
        <v>29</v>
      </c>
      <c r="FO367" s="11"/>
      <c r="FP367" s="13"/>
      <c r="FQ367" s="11"/>
      <c r="FR367" s="12"/>
      <c r="FS367" s="12"/>
      <c r="FT367" s="11">
        <v>42</v>
      </c>
      <c r="FU367" s="13">
        <v>7347.34</v>
      </c>
      <c r="FV367" s="11">
        <v>22</v>
      </c>
      <c r="FW367" s="11"/>
      <c r="FX367" s="13"/>
      <c r="FY367" s="11"/>
      <c r="FZ367" s="12"/>
      <c r="GA367" s="12"/>
      <c r="GB367" s="11">
        <v>18</v>
      </c>
      <c r="GC367" s="13">
        <v>3139.76</v>
      </c>
      <c r="GD367" s="11">
        <v>24</v>
      </c>
      <c r="GE367" s="11"/>
      <c r="GF367" s="13"/>
      <c r="GG367" s="11"/>
      <c r="GH367" s="12"/>
      <c r="GI367" s="12"/>
      <c r="GJ367" s="11">
        <v>29</v>
      </c>
      <c r="GK367" s="13">
        <v>4433.84</v>
      </c>
      <c r="GL367" s="11">
        <v>35</v>
      </c>
      <c r="GM367" s="11"/>
      <c r="GN367" s="13"/>
      <c r="GO367" s="11"/>
      <c r="GP367" s="12"/>
      <c r="GQ367" s="12"/>
      <c r="GR367" s="11">
        <v>23</v>
      </c>
      <c r="GS367" s="13">
        <v>4534.57</v>
      </c>
      <c r="GT367" s="11">
        <v>27</v>
      </c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>
        <v>2</v>
      </c>
      <c r="HY367" s="13">
        <v>339.16</v>
      </c>
      <c r="HZ367" s="11">
        <v>2</v>
      </c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/>
      <c r="JO367" s="11"/>
      <c r="JP367" s="13"/>
      <c r="JQ367" s="11"/>
      <c r="JR367" s="12"/>
      <c r="JS367" s="12"/>
      <c r="JT367" s="11"/>
      <c r="JU367" s="13"/>
      <c r="JV367" s="11">
        <v>1</v>
      </c>
      <c r="JW367" s="11"/>
      <c r="JX367" s="13"/>
      <c r="JY367" s="11"/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  <c r="LH367" s="11"/>
      <c r="LI367" s="13"/>
      <c r="LJ367" s="11"/>
      <c r="LK367" s="11"/>
      <c r="LL367" s="13"/>
      <c r="LM367" s="11"/>
      <c r="LN367" s="12"/>
      <c r="LO367" s="12"/>
      <c r="LP367" s="11"/>
      <c r="LQ367" s="13"/>
      <c r="LR367" s="11"/>
      <c r="LS367" s="11"/>
      <c r="LT367" s="13"/>
      <c r="LU367" s="11"/>
      <c r="LV367" s="12"/>
      <c r="LW367" s="12"/>
    </row>
    <row r="368">
      <c r="A368" s="10" t="s">
        <v>227</v>
      </c>
      <c r="B368" s="10" t="s">
        <v>107</v>
      </c>
      <c r="C368" s="10" t="s">
        <v>214</v>
      </c>
      <c r="D368" s="11">
        <v>192</v>
      </c>
      <c r="E368" s="11">
        <f>=ROUNDDOWN(36.9230769230769,0)</f>
      </c>
      <c r="F368" s="11"/>
      <c r="G368" s="12"/>
      <c r="H368" s="11"/>
      <c r="I368" s="11">
        <f>=ROUNDDOWN({0},0)</f>
      </c>
      <c r="J368" s="11"/>
      <c r="K368" s="12"/>
      <c r="L368" s="11">
        <v>88</v>
      </c>
      <c r="M368" s="13">
        <v>18372.68</v>
      </c>
      <c r="N368" s="11">
        <v>2</v>
      </c>
      <c r="O368" s="14">
        <v>9186.34</v>
      </c>
      <c r="P368" s="11"/>
      <c r="Q368" s="13"/>
      <c r="R368" s="11"/>
      <c r="S368" s="14"/>
      <c r="T368" s="12"/>
      <c r="U368" s="12"/>
      <c r="V368" s="12"/>
      <c r="W368" s="12"/>
      <c r="X368" s="11"/>
      <c r="Y368" s="13"/>
      <c r="Z368" s="11">
        <v>1</v>
      </c>
      <c r="AA368" s="11"/>
      <c r="AB368" s="13"/>
      <c r="AC368" s="11"/>
      <c r="AD368" s="12"/>
      <c r="AE368" s="12"/>
      <c r="AF368" s="11">
        <v>51</v>
      </c>
      <c r="AG368" s="13">
        <v>8884.25</v>
      </c>
      <c r="AH368" s="11">
        <v>2</v>
      </c>
      <c r="AI368" s="11"/>
      <c r="AJ368" s="13"/>
      <c r="AK368" s="11"/>
      <c r="AL368" s="12"/>
      <c r="AM368" s="12"/>
      <c r="AN368" s="11"/>
      <c r="AO368" s="13"/>
      <c r="AP368" s="11">
        <v>2</v>
      </c>
      <c r="AQ368" s="11"/>
      <c r="AR368" s="13"/>
      <c r="AS368" s="11"/>
      <c r="AT368" s="12"/>
      <c r="AU368" s="12"/>
      <c r="AV368" s="11"/>
      <c r="AW368" s="13"/>
      <c r="AX368" s="11"/>
      <c r="AY368" s="11"/>
      <c r="AZ368" s="13"/>
      <c r="BA368" s="11"/>
      <c r="BB368" s="12"/>
      <c r="BC368" s="12"/>
      <c r="BD368" s="11">
        <v>1</v>
      </c>
      <c r="BE368" s="13">
        <v>298.5</v>
      </c>
      <c r="BF368" s="11">
        <v>1</v>
      </c>
      <c r="BG368" s="11"/>
      <c r="BH368" s="13"/>
      <c r="BI368" s="11"/>
      <c r="BJ368" s="12"/>
      <c r="BK368" s="12"/>
      <c r="BL368" s="11">
        <v>3</v>
      </c>
      <c r="BM368" s="13">
        <v>909.23</v>
      </c>
      <c r="BN368" s="11">
        <v>2</v>
      </c>
      <c r="BO368" s="11"/>
      <c r="BP368" s="13"/>
      <c r="BQ368" s="11"/>
      <c r="BR368" s="12"/>
      <c r="BS368" s="12"/>
      <c r="BT368" s="11">
        <v>24</v>
      </c>
      <c r="BU368" s="13">
        <v>5690.15</v>
      </c>
      <c r="BV368" s="11">
        <v>2</v>
      </c>
      <c r="BW368" s="11"/>
      <c r="BX368" s="13"/>
      <c r="BY368" s="11"/>
      <c r="BZ368" s="12"/>
      <c r="CA368" s="12"/>
      <c r="CB368" s="11"/>
      <c r="CC368" s="13"/>
      <c r="CD368" s="11">
        <v>1</v>
      </c>
      <c r="CE368" s="11"/>
      <c r="CF368" s="13"/>
      <c r="CG368" s="11"/>
      <c r="CH368" s="12"/>
      <c r="CI368" s="12"/>
      <c r="CJ368" s="11"/>
      <c r="CK368" s="13"/>
      <c r="CL368" s="11">
        <v>2</v>
      </c>
      <c r="CM368" s="11"/>
      <c r="CN368" s="13"/>
      <c r="CO368" s="11"/>
      <c r="CP368" s="12"/>
      <c r="CQ368" s="12"/>
      <c r="CR368" s="11"/>
      <c r="CS368" s="13"/>
      <c r="CT368" s="11"/>
      <c r="CU368" s="11"/>
      <c r="CV368" s="13"/>
      <c r="CW368" s="11"/>
      <c r="CX368" s="12"/>
      <c r="CY368" s="12"/>
      <c r="CZ368" s="11">
        <v>2</v>
      </c>
      <c r="DA368" s="13">
        <v>533.6</v>
      </c>
      <c r="DB368" s="11">
        <v>1</v>
      </c>
      <c r="DC368" s="11"/>
      <c r="DD368" s="13"/>
      <c r="DE368" s="11"/>
      <c r="DF368" s="12"/>
      <c r="DG368" s="12"/>
      <c r="DH368" s="11"/>
      <c r="DI368" s="13"/>
      <c r="DJ368" s="11"/>
      <c r="DK368" s="11"/>
      <c r="DL368" s="13"/>
      <c r="DM368" s="11"/>
      <c r="DN368" s="12"/>
      <c r="DO368" s="12"/>
      <c r="DP368" s="11"/>
      <c r="DQ368" s="13"/>
      <c r="DR368" s="11">
        <v>1</v>
      </c>
      <c r="DS368" s="11"/>
      <c r="DT368" s="13"/>
      <c r="DU368" s="11"/>
      <c r="DV368" s="12"/>
      <c r="DW368" s="12"/>
      <c r="DX368" s="11"/>
      <c r="DY368" s="13"/>
      <c r="DZ368" s="11">
        <v>2</v>
      </c>
      <c r="EA368" s="11"/>
      <c r="EB368" s="13"/>
      <c r="EC368" s="11"/>
      <c r="ED368" s="12"/>
      <c r="EE368" s="12"/>
      <c r="EF368" s="11"/>
      <c r="EG368" s="13"/>
      <c r="EH368" s="11"/>
      <c r="EI368" s="11"/>
      <c r="EJ368" s="13"/>
      <c r="EK368" s="11"/>
      <c r="EL368" s="12"/>
      <c r="EM368" s="12"/>
      <c r="EN368" s="11"/>
      <c r="EO368" s="13"/>
      <c r="EP368" s="11">
        <v>2</v>
      </c>
      <c r="EQ368" s="11"/>
      <c r="ER368" s="13"/>
      <c r="ES368" s="11"/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/>
      <c r="FE368" s="13"/>
      <c r="FF368" s="11"/>
      <c r="FG368" s="11"/>
      <c r="FH368" s="13"/>
      <c r="FI368" s="11"/>
      <c r="FJ368" s="12"/>
      <c r="FK368" s="12"/>
      <c r="FL368" s="11"/>
      <c r="FM368" s="13"/>
      <c r="FN368" s="11">
        <v>1</v>
      </c>
      <c r="FO368" s="11"/>
      <c r="FP368" s="13"/>
      <c r="FQ368" s="11"/>
      <c r="FR368" s="12"/>
      <c r="FS368" s="12"/>
      <c r="FT368" s="11">
        <v>1</v>
      </c>
      <c r="FU368" s="13">
        <v>240.24</v>
      </c>
      <c r="FV368" s="11">
        <v>1</v>
      </c>
      <c r="FW368" s="11"/>
      <c r="FX368" s="13"/>
      <c r="FY368" s="11"/>
      <c r="FZ368" s="12"/>
      <c r="GA368" s="12"/>
      <c r="GB368" s="11">
        <v>1</v>
      </c>
      <c r="GC368" s="13">
        <v>307.03</v>
      </c>
      <c r="GD368" s="11">
        <v>1</v>
      </c>
      <c r="GE368" s="11"/>
      <c r="GF368" s="13"/>
      <c r="GG368" s="11"/>
      <c r="GH368" s="12"/>
      <c r="GI368" s="12"/>
      <c r="GJ368" s="11">
        <v>2</v>
      </c>
      <c r="GK368" s="13">
        <v>614.06</v>
      </c>
      <c r="GL368" s="11">
        <v>2</v>
      </c>
      <c r="GM368" s="11"/>
      <c r="GN368" s="13"/>
      <c r="GO368" s="11"/>
      <c r="GP368" s="12"/>
      <c r="GQ368" s="12"/>
      <c r="GR368" s="11">
        <v>3</v>
      </c>
      <c r="GS368" s="13">
        <v>895.62</v>
      </c>
      <c r="GT368" s="11">
        <v>2</v>
      </c>
      <c r="GU368" s="11"/>
      <c r="GV368" s="13"/>
      <c r="GW368" s="11"/>
      <c r="GX368" s="12"/>
      <c r="GY368" s="12"/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/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/>
      <c r="JO368" s="11"/>
      <c r="JP368" s="13"/>
      <c r="JQ368" s="11"/>
      <c r="JR368" s="12"/>
      <c r="JS368" s="12"/>
      <c r="JT368" s="11"/>
      <c r="JU368" s="13"/>
      <c r="JV368" s="11"/>
      <c r="JW368" s="11"/>
      <c r="JX368" s="13"/>
      <c r="JY368" s="11"/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  <c r="LH368" s="11"/>
      <c r="LI368" s="13"/>
      <c r="LJ368" s="11"/>
      <c r="LK368" s="11"/>
      <c r="LL368" s="13"/>
      <c r="LM368" s="11"/>
      <c r="LN368" s="12"/>
      <c r="LO368" s="12"/>
      <c r="LP368" s="11"/>
      <c r="LQ368" s="13"/>
      <c r="LR368" s="11"/>
      <c r="LS368" s="11"/>
      <c r="LT368" s="13"/>
      <c r="LU368" s="11"/>
      <c r="LV368" s="12"/>
      <c r="LW368" s="12"/>
    </row>
    <row r="369">
      <c r="A369" s="10" t="s">
        <v>227</v>
      </c>
      <c r="B369" s="10" t="s">
        <v>107</v>
      </c>
      <c r="C369" s="10" t="s">
        <v>215</v>
      </c>
      <c r="D369" s="11">
        <v>175</v>
      </c>
      <c r="E369" s="11">
        <f>=ROUNDDOWN(11.744966442953,0)</f>
      </c>
      <c r="F369" s="11">
        <v>300</v>
      </c>
      <c r="G369" s="12">
        <v>1</v>
      </c>
      <c r="H369" s="11"/>
      <c r="I369" s="11">
        <f>=ROUNDDOWN({0},0)</f>
      </c>
      <c r="J369" s="11"/>
      <c r="K369" s="12"/>
      <c r="L369" s="11">
        <v>393</v>
      </c>
      <c r="M369" s="13">
        <v>24708.69</v>
      </c>
      <c r="N369" s="11">
        <v>3</v>
      </c>
      <c r="O369" s="14">
        <v>8236.23</v>
      </c>
      <c r="P369" s="11"/>
      <c r="Q369" s="13"/>
      <c r="R369" s="11"/>
      <c r="S369" s="14"/>
      <c r="T369" s="12"/>
      <c r="U369" s="12"/>
      <c r="V369" s="12"/>
      <c r="W369" s="12"/>
      <c r="X369" s="11">
        <v>14</v>
      </c>
      <c r="Y369" s="13">
        <v>924</v>
      </c>
      <c r="Z369" s="11">
        <v>1</v>
      </c>
      <c r="AA369" s="11"/>
      <c r="AB369" s="13"/>
      <c r="AC369" s="11"/>
      <c r="AD369" s="12"/>
      <c r="AE369" s="12"/>
      <c r="AF369" s="11">
        <v>197</v>
      </c>
      <c r="AG369" s="13">
        <v>9995.11</v>
      </c>
      <c r="AH369" s="11">
        <v>3</v>
      </c>
      <c r="AI369" s="11"/>
      <c r="AJ369" s="13"/>
      <c r="AK369" s="11"/>
      <c r="AL369" s="12"/>
      <c r="AM369" s="12"/>
      <c r="AN369" s="11">
        <v>15</v>
      </c>
      <c r="AO369" s="13">
        <v>1077.46</v>
      </c>
      <c r="AP369" s="11">
        <v>3</v>
      </c>
      <c r="AQ369" s="11"/>
      <c r="AR369" s="13"/>
      <c r="AS369" s="11"/>
      <c r="AT369" s="12"/>
      <c r="AU369" s="12"/>
      <c r="AV369" s="11"/>
      <c r="AW369" s="13"/>
      <c r="AX369" s="11">
        <v>1</v>
      </c>
      <c r="AY369" s="11"/>
      <c r="AZ369" s="13"/>
      <c r="BA369" s="11"/>
      <c r="BB369" s="12"/>
      <c r="BC369" s="12"/>
      <c r="BD369" s="11">
        <v>19</v>
      </c>
      <c r="BE369" s="13">
        <v>1516.4</v>
      </c>
      <c r="BF369" s="11">
        <v>3</v>
      </c>
      <c r="BG369" s="11"/>
      <c r="BH369" s="13"/>
      <c r="BI369" s="11"/>
      <c r="BJ369" s="12"/>
      <c r="BK369" s="12"/>
      <c r="BL369" s="11">
        <v>11</v>
      </c>
      <c r="BM369" s="13">
        <v>804.33</v>
      </c>
      <c r="BN369" s="11">
        <v>3</v>
      </c>
      <c r="BO369" s="11"/>
      <c r="BP369" s="13"/>
      <c r="BQ369" s="11"/>
      <c r="BR369" s="12"/>
      <c r="BS369" s="12"/>
      <c r="BT369" s="11">
        <v>31</v>
      </c>
      <c r="BU369" s="13">
        <v>2369.79</v>
      </c>
      <c r="BV369" s="11">
        <v>3</v>
      </c>
      <c r="BW369" s="11"/>
      <c r="BX369" s="13"/>
      <c r="BY369" s="11"/>
      <c r="BZ369" s="12"/>
      <c r="CA369" s="12"/>
      <c r="CB369" s="11"/>
      <c r="CC369" s="13"/>
      <c r="CD369" s="11"/>
      <c r="CE369" s="11"/>
      <c r="CF369" s="13"/>
      <c r="CG369" s="11"/>
      <c r="CH369" s="12"/>
      <c r="CI369" s="12"/>
      <c r="CJ369" s="11"/>
      <c r="CK369" s="13"/>
      <c r="CL369" s="11">
        <v>3</v>
      </c>
      <c r="CM369" s="11"/>
      <c r="CN369" s="13"/>
      <c r="CO369" s="11"/>
      <c r="CP369" s="12"/>
      <c r="CQ369" s="12"/>
      <c r="CR369" s="11"/>
      <c r="CS369" s="13"/>
      <c r="CT369" s="11"/>
      <c r="CU369" s="11"/>
      <c r="CV369" s="13"/>
      <c r="CW369" s="11"/>
      <c r="CX369" s="12"/>
      <c r="CY369" s="12"/>
      <c r="CZ369" s="11">
        <v>9</v>
      </c>
      <c r="DA369" s="13">
        <v>694.62</v>
      </c>
      <c r="DB369" s="11"/>
      <c r="DC369" s="11"/>
      <c r="DD369" s="13"/>
      <c r="DE369" s="11"/>
      <c r="DF369" s="12"/>
      <c r="DG369" s="12"/>
      <c r="DH369" s="11">
        <v>2</v>
      </c>
      <c r="DI369" s="13">
        <v>103.2</v>
      </c>
      <c r="DJ369" s="11"/>
      <c r="DK369" s="11"/>
      <c r="DL369" s="13"/>
      <c r="DM369" s="11"/>
      <c r="DN369" s="12"/>
      <c r="DO369" s="12"/>
      <c r="DP369" s="11">
        <v>1</v>
      </c>
      <c r="DQ369" s="13">
        <v>79.18</v>
      </c>
      <c r="DR369" s="11">
        <v>2</v>
      </c>
      <c r="DS369" s="11"/>
      <c r="DT369" s="13"/>
      <c r="DU369" s="11"/>
      <c r="DV369" s="12"/>
      <c r="DW369" s="12"/>
      <c r="DX369" s="11">
        <v>2</v>
      </c>
      <c r="DY369" s="13">
        <v>149.3</v>
      </c>
      <c r="DZ369" s="11">
        <v>2</v>
      </c>
      <c r="EA369" s="11"/>
      <c r="EB369" s="13"/>
      <c r="EC369" s="11"/>
      <c r="ED369" s="12"/>
      <c r="EE369" s="12"/>
      <c r="EF369" s="11"/>
      <c r="EG369" s="13"/>
      <c r="EH369" s="11"/>
      <c r="EI369" s="11"/>
      <c r="EJ369" s="13"/>
      <c r="EK369" s="11"/>
      <c r="EL369" s="12"/>
      <c r="EM369" s="12"/>
      <c r="EN369" s="11"/>
      <c r="EO369" s="13"/>
      <c r="EP369" s="11">
        <v>3</v>
      </c>
      <c r="EQ369" s="11"/>
      <c r="ER369" s="13"/>
      <c r="ES369" s="11"/>
      <c r="ET369" s="12"/>
      <c r="EU369" s="12"/>
      <c r="EV369" s="11"/>
      <c r="EW369" s="13"/>
      <c r="EX369" s="11"/>
      <c r="EY369" s="11"/>
      <c r="EZ369" s="13"/>
      <c r="FA369" s="11"/>
      <c r="FB369" s="12"/>
      <c r="FC369" s="12"/>
      <c r="FD369" s="11"/>
      <c r="FE369" s="13"/>
      <c r="FF369" s="11"/>
      <c r="FG369" s="11"/>
      <c r="FH369" s="13"/>
      <c r="FI369" s="11"/>
      <c r="FJ369" s="12"/>
      <c r="FK369" s="12"/>
      <c r="FL369" s="11">
        <v>81</v>
      </c>
      <c r="FM369" s="13">
        <v>6269.4</v>
      </c>
      <c r="FN369" s="11">
        <v>1</v>
      </c>
      <c r="FO369" s="11"/>
      <c r="FP369" s="13"/>
      <c r="FQ369" s="11"/>
      <c r="FR369" s="12"/>
      <c r="FS369" s="12"/>
      <c r="FT369" s="11">
        <v>5</v>
      </c>
      <c r="FU369" s="13">
        <v>358.3</v>
      </c>
      <c r="FV369" s="11">
        <v>2</v>
      </c>
      <c r="FW369" s="11"/>
      <c r="FX369" s="13"/>
      <c r="FY369" s="11"/>
      <c r="FZ369" s="12"/>
      <c r="GA369" s="12"/>
      <c r="GB369" s="11">
        <v>1</v>
      </c>
      <c r="GC369" s="13">
        <v>77.4</v>
      </c>
      <c r="GD369" s="11">
        <v>1</v>
      </c>
      <c r="GE369" s="11"/>
      <c r="GF369" s="13"/>
      <c r="GG369" s="11"/>
      <c r="GH369" s="12"/>
      <c r="GI369" s="12"/>
      <c r="GJ369" s="11">
        <v>5</v>
      </c>
      <c r="GK369" s="13">
        <v>290.2</v>
      </c>
      <c r="GL369" s="11">
        <v>2</v>
      </c>
      <c r="GM369" s="11"/>
      <c r="GN369" s="13"/>
      <c r="GO369" s="11"/>
      <c r="GP369" s="12"/>
      <c r="GQ369" s="12"/>
      <c r="GR369" s="11"/>
      <c r="GS369" s="13"/>
      <c r="GT369" s="11">
        <v>2</v>
      </c>
      <c r="GU369" s="11"/>
      <c r="GV369" s="13"/>
      <c r="GW369" s="11"/>
      <c r="GX369" s="12"/>
      <c r="GY369" s="12"/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/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/>
      <c r="JO369" s="11"/>
      <c r="JP369" s="13"/>
      <c r="JQ369" s="11"/>
      <c r="JR369" s="12"/>
      <c r="JS369" s="12"/>
      <c r="JT369" s="11"/>
      <c r="JU369" s="13"/>
      <c r="JV369" s="11">
        <v>1</v>
      </c>
      <c r="JW369" s="11"/>
      <c r="JX369" s="13"/>
      <c r="JY369" s="11"/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  <c r="LH369" s="11"/>
      <c r="LI369" s="13"/>
      <c r="LJ369" s="11"/>
      <c r="LK369" s="11"/>
      <c r="LL369" s="13"/>
      <c r="LM369" s="11"/>
      <c r="LN369" s="12"/>
      <c r="LO369" s="12"/>
      <c r="LP369" s="11"/>
      <c r="LQ369" s="13"/>
      <c r="LR369" s="11"/>
      <c r="LS369" s="11"/>
      <c r="LT369" s="13"/>
      <c r="LU369" s="11"/>
      <c r="LV369" s="12"/>
      <c r="LW369" s="12"/>
    </row>
    <row r="370">
      <c r="A370" s="10" t="s">
        <v>227</v>
      </c>
      <c r="B370" s="10" t="s">
        <v>107</v>
      </c>
      <c r="C370" s="10" t="s">
        <v>216</v>
      </c>
      <c r="D370" s="11">
        <v>3186</v>
      </c>
      <c r="E370" s="11">
        <f>=ROUNDDOWN(22.8223495702006,0)</f>
      </c>
      <c r="F370" s="11">
        <v>1321</v>
      </c>
      <c r="G370" s="12">
        <v>0.962</v>
      </c>
      <c r="H370" s="11"/>
      <c r="I370" s="11">
        <f>=ROUNDDOWN({0},0)</f>
      </c>
      <c r="J370" s="11"/>
      <c r="K370" s="12"/>
      <c r="L370" s="11">
        <v>1645</v>
      </c>
      <c r="M370" s="13">
        <v>185951.53</v>
      </c>
      <c r="N370" s="11">
        <v>20</v>
      </c>
      <c r="O370" s="14">
        <v>9297.58</v>
      </c>
      <c r="P370" s="11"/>
      <c r="Q370" s="13"/>
      <c r="R370" s="11"/>
      <c r="S370" s="14"/>
      <c r="T370" s="12"/>
      <c r="U370" s="12"/>
      <c r="V370" s="12"/>
      <c r="W370" s="12"/>
      <c r="X370" s="11">
        <v>24</v>
      </c>
      <c r="Y370" s="13">
        <v>2039.31</v>
      </c>
      <c r="Z370" s="11">
        <v>5</v>
      </c>
      <c r="AA370" s="11"/>
      <c r="AB370" s="13"/>
      <c r="AC370" s="11"/>
      <c r="AD370" s="12"/>
      <c r="AE370" s="12"/>
      <c r="AF370" s="11">
        <v>545</v>
      </c>
      <c r="AG370" s="13">
        <v>57093.88</v>
      </c>
      <c r="AH370" s="11">
        <v>20</v>
      </c>
      <c r="AI370" s="11"/>
      <c r="AJ370" s="13"/>
      <c r="AK370" s="11"/>
      <c r="AL370" s="12"/>
      <c r="AM370" s="12"/>
      <c r="AN370" s="11">
        <v>62</v>
      </c>
      <c r="AO370" s="13">
        <v>7416.16</v>
      </c>
      <c r="AP370" s="11">
        <v>20</v>
      </c>
      <c r="AQ370" s="11"/>
      <c r="AR370" s="13"/>
      <c r="AS370" s="11"/>
      <c r="AT370" s="12"/>
      <c r="AU370" s="12"/>
      <c r="AV370" s="11">
        <v>24</v>
      </c>
      <c r="AW370" s="13">
        <v>2887.97</v>
      </c>
      <c r="AX370" s="11">
        <v>17</v>
      </c>
      <c r="AY370" s="11"/>
      <c r="AZ370" s="13"/>
      <c r="BA370" s="11"/>
      <c r="BB370" s="12"/>
      <c r="BC370" s="12"/>
      <c r="BD370" s="11">
        <v>147</v>
      </c>
      <c r="BE370" s="13">
        <v>15792.61</v>
      </c>
      <c r="BF370" s="11">
        <v>17</v>
      </c>
      <c r="BG370" s="11"/>
      <c r="BH370" s="13"/>
      <c r="BI370" s="11"/>
      <c r="BJ370" s="12"/>
      <c r="BK370" s="12"/>
      <c r="BL370" s="11">
        <v>299</v>
      </c>
      <c r="BM370" s="13">
        <v>39860.42</v>
      </c>
      <c r="BN370" s="11">
        <v>20</v>
      </c>
      <c r="BO370" s="11"/>
      <c r="BP370" s="13"/>
      <c r="BQ370" s="11"/>
      <c r="BR370" s="12"/>
      <c r="BS370" s="12"/>
      <c r="BT370" s="11">
        <v>264</v>
      </c>
      <c r="BU370" s="13">
        <v>30080.06</v>
      </c>
      <c r="BV370" s="11">
        <v>20</v>
      </c>
      <c r="BW370" s="11"/>
      <c r="BX370" s="13"/>
      <c r="BY370" s="11"/>
      <c r="BZ370" s="12"/>
      <c r="CA370" s="12"/>
      <c r="CB370" s="11">
        <v>2</v>
      </c>
      <c r="CC370" s="13">
        <v>187.42</v>
      </c>
      <c r="CD370" s="11">
        <v>6</v>
      </c>
      <c r="CE370" s="11"/>
      <c r="CF370" s="13"/>
      <c r="CG370" s="11"/>
      <c r="CH370" s="12"/>
      <c r="CI370" s="12"/>
      <c r="CJ370" s="11"/>
      <c r="CK370" s="13"/>
      <c r="CL370" s="11">
        <v>17</v>
      </c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>
        <v>45</v>
      </c>
      <c r="DA370" s="13">
        <v>5683.11</v>
      </c>
      <c r="DB370" s="11">
        <v>8</v>
      </c>
      <c r="DC370" s="11"/>
      <c r="DD370" s="13"/>
      <c r="DE370" s="11"/>
      <c r="DF370" s="12"/>
      <c r="DG370" s="12"/>
      <c r="DH370" s="11">
        <v>42</v>
      </c>
      <c r="DI370" s="13">
        <v>5313.12</v>
      </c>
      <c r="DJ370" s="11">
        <v>4</v>
      </c>
      <c r="DK370" s="11"/>
      <c r="DL370" s="13"/>
      <c r="DM370" s="11"/>
      <c r="DN370" s="12"/>
      <c r="DO370" s="12"/>
      <c r="DP370" s="11"/>
      <c r="DQ370" s="13"/>
      <c r="DR370" s="11">
        <v>14</v>
      </c>
      <c r="DS370" s="11"/>
      <c r="DT370" s="13"/>
      <c r="DU370" s="11"/>
      <c r="DV370" s="12"/>
      <c r="DW370" s="12"/>
      <c r="DX370" s="11">
        <v>61</v>
      </c>
      <c r="DY370" s="13">
        <v>7861.08</v>
      </c>
      <c r="DZ370" s="11">
        <v>18</v>
      </c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>
        <v>5</v>
      </c>
      <c r="EO370" s="13">
        <v>437</v>
      </c>
      <c r="EP370" s="11">
        <v>20</v>
      </c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>
        <v>2</v>
      </c>
      <c r="FM370" s="13">
        <v>193.92</v>
      </c>
      <c r="FN370" s="11">
        <v>11</v>
      </c>
      <c r="FO370" s="11"/>
      <c r="FP370" s="13"/>
      <c r="FQ370" s="11"/>
      <c r="FR370" s="12"/>
      <c r="FS370" s="12"/>
      <c r="FT370" s="11">
        <v>32</v>
      </c>
      <c r="FU370" s="13">
        <v>3309.21</v>
      </c>
      <c r="FV370" s="11">
        <v>14</v>
      </c>
      <c r="FW370" s="11"/>
      <c r="FX370" s="13"/>
      <c r="FY370" s="11"/>
      <c r="FZ370" s="12"/>
      <c r="GA370" s="12"/>
      <c r="GB370" s="11">
        <v>3</v>
      </c>
      <c r="GC370" s="13">
        <v>250.5</v>
      </c>
      <c r="GD370" s="11">
        <v>10</v>
      </c>
      <c r="GE370" s="11"/>
      <c r="GF370" s="13"/>
      <c r="GG370" s="11"/>
      <c r="GH370" s="12"/>
      <c r="GI370" s="12"/>
      <c r="GJ370" s="11">
        <v>67</v>
      </c>
      <c r="GK370" s="13">
        <v>5466.79</v>
      </c>
      <c r="GL370" s="11">
        <v>14</v>
      </c>
      <c r="GM370" s="11"/>
      <c r="GN370" s="13"/>
      <c r="GO370" s="11"/>
      <c r="GP370" s="12"/>
      <c r="GQ370" s="12"/>
      <c r="GR370" s="11">
        <v>21</v>
      </c>
      <c r="GS370" s="13">
        <v>2078.97</v>
      </c>
      <c r="GT370" s="11">
        <v>15</v>
      </c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/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>
        <v>1</v>
      </c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>
        <v>6</v>
      </c>
      <c r="JW370" s="11"/>
      <c r="JX370" s="13"/>
      <c r="JY370" s="11"/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  <c r="LH370" s="11"/>
      <c r="LI370" s="13"/>
      <c r="LJ370" s="11"/>
      <c r="LK370" s="11"/>
      <c r="LL370" s="13"/>
      <c r="LM370" s="11"/>
      <c r="LN370" s="12"/>
      <c r="LO370" s="12"/>
      <c r="LP370" s="11"/>
      <c r="LQ370" s="13"/>
      <c r="LR370" s="11"/>
      <c r="LS370" s="11"/>
      <c r="LT370" s="13"/>
      <c r="LU370" s="11"/>
      <c r="LV370" s="12"/>
      <c r="LW370" s="12"/>
    </row>
    <row r="371">
      <c r="A371" s="10" t="s">
        <v>227</v>
      </c>
      <c r="B371" s="10" t="s">
        <v>107</v>
      </c>
      <c r="C371" s="10" t="s">
        <v>229</v>
      </c>
      <c r="D371" s="11">
        <v>545</v>
      </c>
      <c r="E371" s="11">
        <f>=ROUNDDOWN(62.6436781609195,0)</f>
      </c>
      <c r="F371" s="11">
        <v>35</v>
      </c>
      <c r="G371" s="12">
        <v>1</v>
      </c>
      <c r="H371" s="11"/>
      <c r="I371" s="11">
        <f>=ROUNDDOWN({0},0)</f>
      </c>
      <c r="J371" s="11"/>
      <c r="K371" s="12"/>
      <c r="L371" s="11">
        <v>105</v>
      </c>
      <c r="M371" s="13">
        <v>53396.5</v>
      </c>
      <c r="N371" s="11">
        <v>6</v>
      </c>
      <c r="O371" s="14">
        <v>8899.42</v>
      </c>
      <c r="P371" s="11"/>
      <c r="Q371" s="13"/>
      <c r="R371" s="11"/>
      <c r="S371" s="14"/>
      <c r="T371" s="12"/>
      <c r="U371" s="12"/>
      <c r="V371" s="12"/>
      <c r="W371" s="12"/>
      <c r="X371" s="11">
        <v>1</v>
      </c>
      <c r="Y371" s="13">
        <v>487.62</v>
      </c>
      <c r="Z371" s="11">
        <v>1</v>
      </c>
      <c r="AA371" s="11"/>
      <c r="AB371" s="13"/>
      <c r="AC371" s="11"/>
      <c r="AD371" s="12"/>
      <c r="AE371" s="12"/>
      <c r="AF371" s="11">
        <v>60</v>
      </c>
      <c r="AG371" s="13">
        <v>28743.65</v>
      </c>
      <c r="AH371" s="11">
        <v>6</v>
      </c>
      <c r="AI371" s="11"/>
      <c r="AJ371" s="13"/>
      <c r="AK371" s="11"/>
      <c r="AL371" s="12"/>
      <c r="AM371" s="12"/>
      <c r="AN371" s="11">
        <v>6</v>
      </c>
      <c r="AO371" s="13">
        <v>2902.93</v>
      </c>
      <c r="AP371" s="11">
        <v>4</v>
      </c>
      <c r="AQ371" s="11"/>
      <c r="AR371" s="13"/>
      <c r="AS371" s="11"/>
      <c r="AT371" s="12"/>
      <c r="AU371" s="12"/>
      <c r="AV371" s="11"/>
      <c r="AW371" s="13"/>
      <c r="AX371" s="11"/>
      <c r="AY371" s="11"/>
      <c r="AZ371" s="13"/>
      <c r="BA371" s="11"/>
      <c r="BB371" s="12"/>
      <c r="BC371" s="12"/>
      <c r="BD371" s="11"/>
      <c r="BE371" s="13"/>
      <c r="BF371" s="11">
        <v>2</v>
      </c>
      <c r="BG371" s="11"/>
      <c r="BH371" s="13"/>
      <c r="BI371" s="11"/>
      <c r="BJ371" s="12"/>
      <c r="BK371" s="12"/>
      <c r="BL371" s="11">
        <v>14</v>
      </c>
      <c r="BM371" s="13">
        <v>8095.63</v>
      </c>
      <c r="BN371" s="11">
        <v>6</v>
      </c>
      <c r="BO371" s="11"/>
      <c r="BP371" s="13"/>
      <c r="BQ371" s="11"/>
      <c r="BR371" s="12"/>
      <c r="BS371" s="12"/>
      <c r="BT371" s="11">
        <v>22</v>
      </c>
      <c r="BU371" s="13">
        <v>12282.15</v>
      </c>
      <c r="BV371" s="11">
        <v>4</v>
      </c>
      <c r="BW371" s="11"/>
      <c r="BX371" s="13"/>
      <c r="BY371" s="11"/>
      <c r="BZ371" s="12"/>
      <c r="CA371" s="12"/>
      <c r="CB371" s="11"/>
      <c r="CC371" s="13"/>
      <c r="CD371" s="11"/>
      <c r="CE371" s="11"/>
      <c r="CF371" s="13"/>
      <c r="CG371" s="11"/>
      <c r="CH371" s="12"/>
      <c r="CI371" s="12"/>
      <c r="CJ371" s="11"/>
      <c r="CK371" s="13"/>
      <c r="CL371" s="11">
        <v>4</v>
      </c>
      <c r="CM371" s="11"/>
      <c r="CN371" s="13"/>
      <c r="CO371" s="11"/>
      <c r="CP371" s="12"/>
      <c r="CQ371" s="12"/>
      <c r="CR371" s="11"/>
      <c r="CS371" s="13"/>
      <c r="CT371" s="11"/>
      <c r="CU371" s="11"/>
      <c r="CV371" s="13"/>
      <c r="CW371" s="11"/>
      <c r="CX371" s="12"/>
      <c r="CY371" s="12"/>
      <c r="CZ371" s="11"/>
      <c r="DA371" s="13"/>
      <c r="DB371" s="11"/>
      <c r="DC371" s="11"/>
      <c r="DD371" s="13"/>
      <c r="DE371" s="11"/>
      <c r="DF371" s="12"/>
      <c r="DG371" s="12"/>
      <c r="DH371" s="11"/>
      <c r="DI371" s="13"/>
      <c r="DJ371" s="11"/>
      <c r="DK371" s="11"/>
      <c r="DL371" s="13"/>
      <c r="DM371" s="11"/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/>
      <c r="DY371" s="13"/>
      <c r="DZ371" s="11">
        <v>2</v>
      </c>
      <c r="EA371" s="11"/>
      <c r="EB371" s="13"/>
      <c r="EC371" s="11"/>
      <c r="ED371" s="12"/>
      <c r="EE371" s="12"/>
      <c r="EF371" s="11"/>
      <c r="EG371" s="13"/>
      <c r="EH371" s="11"/>
      <c r="EI371" s="11"/>
      <c r="EJ371" s="13"/>
      <c r="EK371" s="11"/>
      <c r="EL371" s="12"/>
      <c r="EM371" s="12"/>
      <c r="EN371" s="11"/>
      <c r="EO371" s="13"/>
      <c r="EP371" s="11">
        <v>3</v>
      </c>
      <c r="EQ371" s="11"/>
      <c r="ER371" s="13"/>
      <c r="ES371" s="11"/>
      <c r="ET371" s="12"/>
      <c r="EU371" s="12"/>
      <c r="EV371" s="11"/>
      <c r="EW371" s="13"/>
      <c r="EX371" s="11"/>
      <c r="EY371" s="11"/>
      <c r="EZ371" s="13"/>
      <c r="FA371" s="11"/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/>
      <c r="FM371" s="13"/>
      <c r="FN371" s="11"/>
      <c r="FO371" s="11"/>
      <c r="FP371" s="13"/>
      <c r="FQ371" s="11"/>
      <c r="FR371" s="12"/>
      <c r="FS371" s="12"/>
      <c r="FT371" s="11"/>
      <c r="FU371" s="13"/>
      <c r="FV371" s="11">
        <v>1</v>
      </c>
      <c r="FW371" s="11"/>
      <c r="FX371" s="13"/>
      <c r="FY371" s="11"/>
      <c r="FZ371" s="12"/>
      <c r="GA371" s="12"/>
      <c r="GB371" s="11">
        <v>2</v>
      </c>
      <c r="GC371" s="13">
        <v>884.52</v>
      </c>
      <c r="GD371" s="11">
        <v>1</v>
      </c>
      <c r="GE371" s="11"/>
      <c r="GF371" s="13"/>
      <c r="GG371" s="11"/>
      <c r="GH371" s="12"/>
      <c r="GI371" s="12"/>
      <c r="GJ371" s="11"/>
      <c r="GK371" s="13"/>
      <c r="GL371" s="11">
        <v>1</v>
      </c>
      <c r="GM371" s="11"/>
      <c r="GN371" s="13"/>
      <c r="GO371" s="11"/>
      <c r="GP371" s="12"/>
      <c r="GQ371" s="12"/>
      <c r="GR371" s="11"/>
      <c r="GS371" s="13"/>
      <c r="GT371" s="11">
        <v>2</v>
      </c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/>
      <c r="JR371" s="12"/>
      <c r="JS371" s="12"/>
      <c r="JT371" s="11"/>
      <c r="JU371" s="13"/>
      <c r="JV371" s="11"/>
      <c r="JW371" s="11"/>
      <c r="JX371" s="13"/>
      <c r="JY371" s="11"/>
      <c r="JZ371" s="12"/>
      <c r="KA371" s="12"/>
      <c r="KB371" s="11"/>
      <c r="KC371" s="13"/>
      <c r="KD371" s="11"/>
      <c r="KE371" s="11"/>
      <c r="KF371" s="13"/>
      <c r="KG371" s="11"/>
      <c r="KH371" s="12"/>
      <c r="KI371" s="12"/>
      <c r="KJ371" s="11"/>
      <c r="KK371" s="13"/>
      <c r="KL371" s="11"/>
      <c r="KM371" s="11"/>
      <c r="KN371" s="13"/>
      <c r="KO371" s="11"/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  <c r="LH371" s="11"/>
      <c r="LI371" s="13"/>
      <c r="LJ371" s="11"/>
      <c r="LK371" s="11"/>
      <c r="LL371" s="13"/>
      <c r="LM371" s="11"/>
      <c r="LN371" s="12"/>
      <c r="LO371" s="12"/>
      <c r="LP371" s="11"/>
      <c r="LQ371" s="13"/>
      <c r="LR371" s="11"/>
      <c r="LS371" s="11"/>
      <c r="LT371" s="13"/>
      <c r="LU371" s="11"/>
      <c r="LV371" s="12"/>
      <c r="LW371" s="12"/>
    </row>
    <row r="372">
      <c r="A372" s="10" t="s">
        <v>227</v>
      </c>
      <c r="B372" s="10" t="s">
        <v>107</v>
      </c>
      <c r="C372" s="10" t="s">
        <v>230</v>
      </c>
      <c r="D372" s="11">
        <v>35</v>
      </c>
      <c r="E372" s="11">
        <f>=ROUNDDOWN(1.22377622377622,0)</f>
      </c>
      <c r="F372" s="11"/>
      <c r="G372" s="12"/>
      <c r="H372" s="11"/>
      <c r="I372" s="11">
        <f>=ROUNDDOWN({0},0)</f>
      </c>
      <c r="J372" s="11"/>
      <c r="K372" s="12"/>
      <c r="L372" s="11">
        <v>358</v>
      </c>
      <c r="M372" s="13">
        <v>80040.93</v>
      </c>
      <c r="N372" s="11">
        <v>1</v>
      </c>
      <c r="O372" s="14">
        <v>80040.93</v>
      </c>
      <c r="P372" s="11"/>
      <c r="Q372" s="13"/>
      <c r="R372" s="11"/>
      <c r="S372" s="14"/>
      <c r="T372" s="12"/>
      <c r="U372" s="12"/>
      <c r="V372" s="12"/>
      <c r="W372" s="12"/>
      <c r="X372" s="11"/>
      <c r="Y372" s="13"/>
      <c r="Z372" s="11"/>
      <c r="AA372" s="11"/>
      <c r="AB372" s="13"/>
      <c r="AC372" s="11"/>
      <c r="AD372" s="12"/>
      <c r="AE372" s="12"/>
      <c r="AF372" s="11">
        <v>167</v>
      </c>
      <c r="AG372" s="13">
        <v>37485.17</v>
      </c>
      <c r="AH372" s="11">
        <v>1</v>
      </c>
      <c r="AI372" s="11"/>
      <c r="AJ372" s="13"/>
      <c r="AK372" s="11"/>
      <c r="AL372" s="12"/>
      <c r="AM372" s="12"/>
      <c r="AN372" s="11"/>
      <c r="AO372" s="13"/>
      <c r="AP372" s="11">
        <v>1</v>
      </c>
      <c r="AQ372" s="11"/>
      <c r="AR372" s="13"/>
      <c r="AS372" s="11"/>
      <c r="AT372" s="12"/>
      <c r="AU372" s="12"/>
      <c r="AV372" s="11"/>
      <c r="AW372" s="13"/>
      <c r="AX372" s="11">
        <v>1</v>
      </c>
      <c r="AY372" s="11"/>
      <c r="AZ372" s="13"/>
      <c r="BA372" s="11"/>
      <c r="BB372" s="12"/>
      <c r="BC372" s="12"/>
      <c r="BD372" s="11"/>
      <c r="BE372" s="13"/>
      <c r="BF372" s="11">
        <v>1</v>
      </c>
      <c r="BG372" s="11"/>
      <c r="BH372" s="13"/>
      <c r="BI372" s="11"/>
      <c r="BJ372" s="12"/>
      <c r="BK372" s="12"/>
      <c r="BL372" s="11"/>
      <c r="BM372" s="13"/>
      <c r="BN372" s="11">
        <v>1</v>
      </c>
      <c r="BO372" s="11"/>
      <c r="BP372" s="13"/>
      <c r="BQ372" s="11"/>
      <c r="BR372" s="12"/>
      <c r="BS372" s="12"/>
      <c r="BT372" s="11">
        <v>10</v>
      </c>
      <c r="BU372" s="13">
        <v>4051.46</v>
      </c>
      <c r="BV372" s="11">
        <v>1</v>
      </c>
      <c r="BW372" s="11"/>
      <c r="BX372" s="13"/>
      <c r="BY372" s="11"/>
      <c r="BZ372" s="12"/>
      <c r="CA372" s="12"/>
      <c r="CB372" s="11"/>
      <c r="CC372" s="13"/>
      <c r="CD372" s="11">
        <v>1</v>
      </c>
      <c r="CE372" s="11"/>
      <c r="CF372" s="13"/>
      <c r="CG372" s="11"/>
      <c r="CH372" s="12"/>
      <c r="CI372" s="12"/>
      <c r="CJ372" s="11"/>
      <c r="CK372" s="13"/>
      <c r="CL372" s="11"/>
      <c r="CM372" s="11"/>
      <c r="CN372" s="13"/>
      <c r="CO372" s="11"/>
      <c r="CP372" s="12"/>
      <c r="CQ372" s="12"/>
      <c r="CR372" s="11"/>
      <c r="CS372" s="13"/>
      <c r="CT372" s="11"/>
      <c r="CU372" s="11"/>
      <c r="CV372" s="13"/>
      <c r="CW372" s="11"/>
      <c r="CX372" s="12"/>
      <c r="CY372" s="12"/>
      <c r="CZ372" s="11"/>
      <c r="DA372" s="13"/>
      <c r="DB372" s="11"/>
      <c r="DC372" s="11"/>
      <c r="DD372" s="13"/>
      <c r="DE372" s="11"/>
      <c r="DF372" s="12"/>
      <c r="DG372" s="12"/>
      <c r="DH372" s="11">
        <v>177</v>
      </c>
      <c r="DI372" s="13">
        <v>37449.66</v>
      </c>
      <c r="DJ372" s="11">
        <v>1</v>
      </c>
      <c r="DK372" s="11"/>
      <c r="DL372" s="13"/>
      <c r="DM372" s="11"/>
      <c r="DN372" s="12"/>
      <c r="DO372" s="12"/>
      <c r="DP372" s="11"/>
      <c r="DQ372" s="13"/>
      <c r="DR372" s="11"/>
      <c r="DS372" s="11"/>
      <c r="DT372" s="13"/>
      <c r="DU372" s="11"/>
      <c r="DV372" s="12"/>
      <c r="DW372" s="12"/>
      <c r="DX372" s="11"/>
      <c r="DY372" s="13"/>
      <c r="DZ372" s="11"/>
      <c r="EA372" s="11"/>
      <c r="EB372" s="13"/>
      <c r="EC372" s="11"/>
      <c r="ED372" s="12"/>
      <c r="EE372" s="12"/>
      <c r="EF372" s="11"/>
      <c r="EG372" s="13"/>
      <c r="EH372" s="11"/>
      <c r="EI372" s="11"/>
      <c r="EJ372" s="13"/>
      <c r="EK372" s="11"/>
      <c r="EL372" s="12"/>
      <c r="EM372" s="12"/>
      <c r="EN372" s="11"/>
      <c r="EO372" s="13"/>
      <c r="EP372" s="11">
        <v>1</v>
      </c>
      <c r="EQ372" s="11"/>
      <c r="ER372" s="13"/>
      <c r="ES372" s="11"/>
      <c r="ET372" s="12"/>
      <c r="EU372" s="12"/>
      <c r="EV372" s="11"/>
      <c r="EW372" s="13"/>
      <c r="EX372" s="11"/>
      <c r="EY372" s="11"/>
      <c r="EZ372" s="13"/>
      <c r="FA372" s="11"/>
      <c r="FB372" s="12"/>
      <c r="FC372" s="12"/>
      <c r="FD372" s="11"/>
      <c r="FE372" s="13"/>
      <c r="FF372" s="11"/>
      <c r="FG372" s="11"/>
      <c r="FH372" s="13"/>
      <c r="FI372" s="11"/>
      <c r="FJ372" s="12"/>
      <c r="FK372" s="12"/>
      <c r="FL372" s="11"/>
      <c r="FM372" s="13"/>
      <c r="FN372" s="11">
        <v>1</v>
      </c>
      <c r="FO372" s="11"/>
      <c r="FP372" s="13"/>
      <c r="FQ372" s="11"/>
      <c r="FR372" s="12"/>
      <c r="FS372" s="12"/>
      <c r="FT372" s="11"/>
      <c r="FU372" s="13"/>
      <c r="FV372" s="11"/>
      <c r="FW372" s="11"/>
      <c r="FX372" s="13"/>
      <c r="FY372" s="11"/>
      <c r="FZ372" s="12"/>
      <c r="GA372" s="12"/>
      <c r="GB372" s="11">
        <v>4</v>
      </c>
      <c r="GC372" s="13">
        <v>1054.64</v>
      </c>
      <c r="GD372" s="11">
        <v>1</v>
      </c>
      <c r="GE372" s="11"/>
      <c r="GF372" s="13"/>
      <c r="GG372" s="11"/>
      <c r="GH372" s="12"/>
      <c r="GI372" s="12"/>
      <c r="GJ372" s="11"/>
      <c r="GK372" s="13"/>
      <c r="GL372" s="11">
        <v>1</v>
      </c>
      <c r="GM372" s="11"/>
      <c r="GN372" s="13"/>
      <c r="GO372" s="11"/>
      <c r="GP372" s="12"/>
      <c r="GQ372" s="12"/>
      <c r="GR372" s="11"/>
      <c r="GS372" s="13"/>
      <c r="GT372" s="11">
        <v>1</v>
      </c>
      <c r="GU372" s="11"/>
      <c r="GV372" s="13"/>
      <c r="GW372" s="11"/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/>
      <c r="IO372" s="13"/>
      <c r="IP372" s="11"/>
      <c r="IQ372" s="11"/>
      <c r="IR372" s="13"/>
      <c r="IS372" s="11"/>
      <c r="IT372" s="12"/>
      <c r="IU372" s="12"/>
      <c r="IV372" s="11"/>
      <c r="IW372" s="13"/>
      <c r="IX372" s="11"/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/>
      <c r="JO372" s="11"/>
      <c r="JP372" s="13"/>
      <c r="JQ372" s="11"/>
      <c r="JR372" s="12"/>
      <c r="JS372" s="12"/>
      <c r="JT372" s="11"/>
      <c r="JU372" s="13"/>
      <c r="JV372" s="11"/>
      <c r="JW372" s="11"/>
      <c r="JX372" s="13"/>
      <c r="JY372" s="11"/>
      <c r="JZ372" s="12"/>
      <c r="KA372" s="12"/>
      <c r="KB372" s="11"/>
      <c r="KC372" s="13"/>
      <c r="KD372" s="11"/>
      <c r="KE372" s="11"/>
      <c r="KF372" s="13"/>
      <c r="KG372" s="11"/>
      <c r="KH372" s="12"/>
      <c r="KI372" s="12"/>
      <c r="KJ372" s="11"/>
      <c r="KK372" s="13"/>
      <c r="KL372" s="11"/>
      <c r="KM372" s="11"/>
      <c r="KN372" s="13"/>
      <c r="KO372" s="11"/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  <c r="LH372" s="11"/>
      <c r="LI372" s="13"/>
      <c r="LJ372" s="11"/>
      <c r="LK372" s="11"/>
      <c r="LL372" s="13"/>
      <c r="LM372" s="11"/>
      <c r="LN372" s="12"/>
      <c r="LO372" s="12"/>
      <c r="LP372" s="11"/>
      <c r="LQ372" s="13"/>
      <c r="LR372" s="11"/>
      <c r="LS372" s="11"/>
      <c r="LT372" s="13"/>
      <c r="LU372" s="11"/>
      <c r="LV372" s="12"/>
      <c r="LW372" s="12"/>
    </row>
    <row r="373">
      <c r="A373" s="10" t="s">
        <v>227</v>
      </c>
      <c r="B373" s="10" t="s">
        <v>107</v>
      </c>
      <c r="C373" s="10" t="s">
        <v>233</v>
      </c>
      <c r="D373" s="11">
        <v>105</v>
      </c>
      <c r="E373" s="11">
        <f>=ROUNDDOWN(9.21052631578947,0)</f>
      </c>
      <c r="F373" s="11">
        <v>260</v>
      </c>
      <c r="G373" s="12">
        <v>1</v>
      </c>
      <c r="H373" s="11"/>
      <c r="I373" s="11">
        <f>=ROUNDDOWN({0},0)</f>
      </c>
      <c r="J373" s="11"/>
      <c r="K373" s="12"/>
      <c r="L373" s="11">
        <v>115</v>
      </c>
      <c r="M373" s="13">
        <v>14039.18</v>
      </c>
      <c r="N373" s="11">
        <v>3</v>
      </c>
      <c r="O373" s="14">
        <v>4679.73</v>
      </c>
      <c r="P373" s="11"/>
      <c r="Q373" s="13"/>
      <c r="R373" s="11"/>
      <c r="S373" s="14"/>
      <c r="T373" s="12"/>
      <c r="U373" s="12"/>
      <c r="V373" s="12"/>
      <c r="W373" s="12"/>
      <c r="X373" s="11"/>
      <c r="Y373" s="13"/>
      <c r="Z373" s="11">
        <v>1</v>
      </c>
      <c r="AA373" s="11"/>
      <c r="AB373" s="13"/>
      <c r="AC373" s="11"/>
      <c r="AD373" s="12"/>
      <c r="AE373" s="12"/>
      <c r="AF373" s="11">
        <v>76</v>
      </c>
      <c r="AG373" s="13">
        <v>8542.22</v>
      </c>
      <c r="AH373" s="11">
        <v>3</v>
      </c>
      <c r="AI373" s="11"/>
      <c r="AJ373" s="13"/>
      <c r="AK373" s="11"/>
      <c r="AL373" s="12"/>
      <c r="AM373" s="12"/>
      <c r="AN373" s="11"/>
      <c r="AO373" s="13"/>
      <c r="AP373" s="11">
        <v>3</v>
      </c>
      <c r="AQ373" s="11"/>
      <c r="AR373" s="13"/>
      <c r="AS373" s="11"/>
      <c r="AT373" s="12"/>
      <c r="AU373" s="12"/>
      <c r="AV373" s="11">
        <v>4</v>
      </c>
      <c r="AW373" s="13">
        <v>629.25</v>
      </c>
      <c r="AX373" s="11">
        <v>3</v>
      </c>
      <c r="AY373" s="11"/>
      <c r="AZ373" s="13"/>
      <c r="BA373" s="11"/>
      <c r="BB373" s="12"/>
      <c r="BC373" s="12"/>
      <c r="BD373" s="11">
        <v>2</v>
      </c>
      <c r="BE373" s="13">
        <v>330.76</v>
      </c>
      <c r="BF373" s="11">
        <v>3</v>
      </c>
      <c r="BG373" s="11"/>
      <c r="BH373" s="13"/>
      <c r="BI373" s="11"/>
      <c r="BJ373" s="12"/>
      <c r="BK373" s="12"/>
      <c r="BL373" s="11"/>
      <c r="BM373" s="13"/>
      <c r="BN373" s="11">
        <v>3</v>
      </c>
      <c r="BO373" s="11"/>
      <c r="BP373" s="13"/>
      <c r="BQ373" s="11"/>
      <c r="BR373" s="12"/>
      <c r="BS373" s="12"/>
      <c r="BT373" s="11">
        <v>11</v>
      </c>
      <c r="BU373" s="13">
        <v>1572.09</v>
      </c>
      <c r="BV373" s="11">
        <v>3</v>
      </c>
      <c r="BW373" s="11"/>
      <c r="BX373" s="13"/>
      <c r="BY373" s="11"/>
      <c r="BZ373" s="12"/>
      <c r="CA373" s="12"/>
      <c r="CB373" s="11">
        <v>1</v>
      </c>
      <c r="CC373" s="13">
        <v>148.83</v>
      </c>
      <c r="CD373" s="11">
        <v>1</v>
      </c>
      <c r="CE373" s="11"/>
      <c r="CF373" s="13"/>
      <c r="CG373" s="11"/>
      <c r="CH373" s="12"/>
      <c r="CI373" s="12"/>
      <c r="CJ373" s="11"/>
      <c r="CK373" s="13"/>
      <c r="CL373" s="11">
        <v>3</v>
      </c>
      <c r="CM373" s="11"/>
      <c r="CN373" s="13"/>
      <c r="CO373" s="11"/>
      <c r="CP373" s="12"/>
      <c r="CQ373" s="12"/>
      <c r="CR373" s="11"/>
      <c r="CS373" s="13"/>
      <c r="CT373" s="11"/>
      <c r="CU373" s="11"/>
      <c r="CV373" s="13"/>
      <c r="CW373" s="11"/>
      <c r="CX373" s="12"/>
      <c r="CY373" s="12"/>
      <c r="CZ373" s="11">
        <v>17</v>
      </c>
      <c r="DA373" s="13">
        <v>2277.15</v>
      </c>
      <c r="DB373" s="11">
        <v>2</v>
      </c>
      <c r="DC373" s="11"/>
      <c r="DD373" s="13"/>
      <c r="DE373" s="11"/>
      <c r="DF373" s="12"/>
      <c r="DG373" s="12"/>
      <c r="DH373" s="11"/>
      <c r="DI373" s="13"/>
      <c r="DJ373" s="11"/>
      <c r="DK373" s="11"/>
      <c r="DL373" s="13"/>
      <c r="DM373" s="11"/>
      <c r="DN373" s="12"/>
      <c r="DO373" s="12"/>
      <c r="DP373" s="11"/>
      <c r="DQ373" s="13"/>
      <c r="DR373" s="11">
        <v>1</v>
      </c>
      <c r="DS373" s="11"/>
      <c r="DT373" s="13"/>
      <c r="DU373" s="11"/>
      <c r="DV373" s="12"/>
      <c r="DW373" s="12"/>
      <c r="DX373" s="11">
        <v>2</v>
      </c>
      <c r="DY373" s="13">
        <v>280.66</v>
      </c>
      <c r="DZ373" s="11">
        <v>3</v>
      </c>
      <c r="EA373" s="11"/>
      <c r="EB373" s="13"/>
      <c r="EC373" s="11"/>
      <c r="ED373" s="12"/>
      <c r="EE373" s="12"/>
      <c r="EF373" s="11"/>
      <c r="EG373" s="13"/>
      <c r="EH373" s="11"/>
      <c r="EI373" s="11"/>
      <c r="EJ373" s="13"/>
      <c r="EK373" s="11"/>
      <c r="EL373" s="12"/>
      <c r="EM373" s="12"/>
      <c r="EN373" s="11"/>
      <c r="EO373" s="13"/>
      <c r="EP373" s="11">
        <v>3</v>
      </c>
      <c r="EQ373" s="11"/>
      <c r="ER373" s="13"/>
      <c r="ES373" s="11"/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/>
      <c r="FE373" s="13"/>
      <c r="FF373" s="11"/>
      <c r="FG373" s="11"/>
      <c r="FH373" s="13"/>
      <c r="FI373" s="11"/>
      <c r="FJ373" s="12"/>
      <c r="FK373" s="12"/>
      <c r="FL373" s="11"/>
      <c r="FM373" s="13"/>
      <c r="FN373" s="11">
        <v>1</v>
      </c>
      <c r="FO373" s="11"/>
      <c r="FP373" s="13"/>
      <c r="FQ373" s="11"/>
      <c r="FR373" s="12"/>
      <c r="FS373" s="12"/>
      <c r="FT373" s="11">
        <v>1</v>
      </c>
      <c r="FU373" s="13">
        <v>127.58</v>
      </c>
      <c r="FV373" s="11">
        <v>1</v>
      </c>
      <c r="FW373" s="11"/>
      <c r="FX373" s="13"/>
      <c r="FY373" s="11"/>
      <c r="FZ373" s="12"/>
      <c r="GA373" s="12"/>
      <c r="GB373" s="11">
        <v>1</v>
      </c>
      <c r="GC373" s="13">
        <v>130.64</v>
      </c>
      <c r="GD373" s="11">
        <v>2</v>
      </c>
      <c r="GE373" s="11"/>
      <c r="GF373" s="13"/>
      <c r="GG373" s="11"/>
      <c r="GH373" s="12"/>
      <c r="GI373" s="12"/>
      <c r="GJ373" s="11"/>
      <c r="GK373" s="13"/>
      <c r="GL373" s="11">
        <v>2</v>
      </c>
      <c r="GM373" s="11"/>
      <c r="GN373" s="13"/>
      <c r="GO373" s="11"/>
      <c r="GP373" s="12"/>
      <c r="GQ373" s="12"/>
      <c r="GR373" s="11"/>
      <c r="GS373" s="13"/>
      <c r="GT373" s="11">
        <v>2</v>
      </c>
      <c r="GU373" s="11"/>
      <c r="GV373" s="13"/>
      <c r="GW373" s="11"/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/>
      <c r="JO373" s="11"/>
      <c r="JP373" s="13"/>
      <c r="JQ373" s="11"/>
      <c r="JR373" s="12"/>
      <c r="JS373" s="12"/>
      <c r="JT373" s="11"/>
      <c r="JU373" s="13"/>
      <c r="JV373" s="11"/>
      <c r="JW373" s="11"/>
      <c r="JX373" s="13"/>
      <c r="JY373" s="11"/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  <c r="LH373" s="11"/>
      <c r="LI373" s="13"/>
      <c r="LJ373" s="11"/>
      <c r="LK373" s="11"/>
      <c r="LL373" s="13"/>
      <c r="LM373" s="11"/>
      <c r="LN373" s="12"/>
      <c r="LO373" s="12"/>
      <c r="LP373" s="11"/>
      <c r="LQ373" s="13"/>
      <c r="LR373" s="11"/>
      <c r="LS373" s="11"/>
      <c r="LT373" s="13"/>
      <c r="LU373" s="11"/>
      <c r="LV373" s="12"/>
      <c r="LW373" s="12"/>
    </row>
    <row r="374">
      <c r="A374" s="10" t="s">
        <v>227</v>
      </c>
      <c r="B374" s="10" t="s">
        <v>107</v>
      </c>
      <c r="C374" s="10" t="s">
        <v>218</v>
      </c>
      <c r="D374" s="11">
        <v>3773</v>
      </c>
      <c r="E374" s="11">
        <f>=ROUNDDOWN(22.2071806945262,0)</f>
      </c>
      <c r="F374" s="11">
        <v>1819</v>
      </c>
      <c r="G374" s="12">
        <v>0.9951</v>
      </c>
      <c r="H374" s="11"/>
      <c r="I374" s="11">
        <f>=ROUNDDOWN({0},0)</f>
      </c>
      <c r="J374" s="11">
        <v>350</v>
      </c>
      <c r="K374" s="12">
        <v>0.3968</v>
      </c>
      <c r="L374" s="11">
        <v>2224</v>
      </c>
      <c r="M374" s="13">
        <v>427397.48</v>
      </c>
      <c r="N374" s="11">
        <v>20</v>
      </c>
      <c r="O374" s="14">
        <v>21369.87</v>
      </c>
      <c r="P374" s="11"/>
      <c r="Q374" s="13"/>
      <c r="R374" s="11"/>
      <c r="S374" s="14"/>
      <c r="T374" s="12"/>
      <c r="U374" s="12"/>
      <c r="V374" s="12"/>
      <c r="W374" s="12"/>
      <c r="X374" s="11"/>
      <c r="Y374" s="13"/>
      <c r="Z374" s="11">
        <v>2</v>
      </c>
      <c r="AA374" s="11"/>
      <c r="AB374" s="13"/>
      <c r="AC374" s="11"/>
      <c r="AD374" s="12"/>
      <c r="AE374" s="12"/>
      <c r="AF374" s="11">
        <v>808</v>
      </c>
      <c r="AG374" s="13">
        <v>129848.02</v>
      </c>
      <c r="AH374" s="11">
        <v>20</v>
      </c>
      <c r="AI374" s="11"/>
      <c r="AJ374" s="13"/>
      <c r="AK374" s="11"/>
      <c r="AL374" s="12"/>
      <c r="AM374" s="12"/>
      <c r="AN374" s="11">
        <v>74</v>
      </c>
      <c r="AO374" s="13">
        <v>13362.19</v>
      </c>
      <c r="AP374" s="11">
        <v>20</v>
      </c>
      <c r="AQ374" s="11"/>
      <c r="AR374" s="13"/>
      <c r="AS374" s="11"/>
      <c r="AT374" s="12"/>
      <c r="AU374" s="12"/>
      <c r="AV374" s="11">
        <v>78</v>
      </c>
      <c r="AW374" s="13">
        <v>18372.36</v>
      </c>
      <c r="AX374" s="11">
        <v>18</v>
      </c>
      <c r="AY374" s="11"/>
      <c r="AZ374" s="13"/>
      <c r="BA374" s="11"/>
      <c r="BB374" s="12"/>
      <c r="BC374" s="12"/>
      <c r="BD374" s="11">
        <v>83</v>
      </c>
      <c r="BE374" s="13">
        <v>15272.8</v>
      </c>
      <c r="BF374" s="11">
        <v>20</v>
      </c>
      <c r="BG374" s="11"/>
      <c r="BH374" s="13"/>
      <c r="BI374" s="11"/>
      <c r="BJ374" s="12"/>
      <c r="BK374" s="12"/>
      <c r="BL374" s="11">
        <v>536</v>
      </c>
      <c r="BM374" s="13">
        <v>118215.99</v>
      </c>
      <c r="BN374" s="11">
        <v>20</v>
      </c>
      <c r="BO374" s="11"/>
      <c r="BP374" s="13"/>
      <c r="BQ374" s="11"/>
      <c r="BR374" s="12"/>
      <c r="BS374" s="12"/>
      <c r="BT374" s="11">
        <v>285</v>
      </c>
      <c r="BU374" s="13">
        <v>55609.78</v>
      </c>
      <c r="BV374" s="11">
        <v>20</v>
      </c>
      <c r="BW374" s="11"/>
      <c r="BX374" s="13"/>
      <c r="BY374" s="11"/>
      <c r="BZ374" s="12"/>
      <c r="CA374" s="12"/>
      <c r="CB374" s="11">
        <v>3</v>
      </c>
      <c r="CC374" s="13">
        <v>640.82</v>
      </c>
      <c r="CD374" s="11">
        <v>16</v>
      </c>
      <c r="CE374" s="11"/>
      <c r="CF374" s="13"/>
      <c r="CG374" s="11"/>
      <c r="CH374" s="12"/>
      <c r="CI374" s="12"/>
      <c r="CJ374" s="11">
        <v>1</v>
      </c>
      <c r="CK374" s="13">
        <v>598.99</v>
      </c>
      <c r="CL374" s="11">
        <v>19</v>
      </c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>
        <v>71</v>
      </c>
      <c r="DA374" s="13">
        <v>14738.66</v>
      </c>
      <c r="DB374" s="11">
        <v>15</v>
      </c>
      <c r="DC374" s="11"/>
      <c r="DD374" s="13"/>
      <c r="DE374" s="11"/>
      <c r="DF374" s="12"/>
      <c r="DG374" s="12"/>
      <c r="DH374" s="11">
        <v>64</v>
      </c>
      <c r="DI374" s="13">
        <v>13003.52</v>
      </c>
      <c r="DJ374" s="11">
        <v>2</v>
      </c>
      <c r="DK374" s="11"/>
      <c r="DL374" s="13"/>
      <c r="DM374" s="11"/>
      <c r="DN374" s="12"/>
      <c r="DO374" s="12"/>
      <c r="DP374" s="11">
        <v>4</v>
      </c>
      <c r="DQ374" s="13">
        <v>818.06</v>
      </c>
      <c r="DR374" s="11">
        <v>13</v>
      </c>
      <c r="DS374" s="11"/>
      <c r="DT374" s="13"/>
      <c r="DU374" s="11"/>
      <c r="DV374" s="12"/>
      <c r="DW374" s="12"/>
      <c r="DX374" s="11">
        <v>132</v>
      </c>
      <c r="DY374" s="13">
        <v>30111.74</v>
      </c>
      <c r="DZ374" s="11">
        <v>20</v>
      </c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>
        <v>2</v>
      </c>
      <c r="EO374" s="13">
        <v>459</v>
      </c>
      <c r="EP374" s="11">
        <v>20</v>
      </c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>
        <v>12</v>
      </c>
      <c r="FM374" s="13">
        <v>2292.12</v>
      </c>
      <c r="FN374" s="11">
        <v>12</v>
      </c>
      <c r="FO374" s="11"/>
      <c r="FP374" s="13"/>
      <c r="FQ374" s="11"/>
      <c r="FR374" s="12"/>
      <c r="FS374" s="12"/>
      <c r="FT374" s="11">
        <v>10</v>
      </c>
      <c r="FU374" s="13">
        <v>1588.67</v>
      </c>
      <c r="FV374" s="11">
        <v>12</v>
      </c>
      <c r="FW374" s="11"/>
      <c r="FX374" s="13"/>
      <c r="FY374" s="11"/>
      <c r="FZ374" s="12"/>
      <c r="GA374" s="12"/>
      <c r="GB374" s="11">
        <v>20</v>
      </c>
      <c r="GC374" s="13">
        <v>4240.18</v>
      </c>
      <c r="GD374" s="11">
        <v>15</v>
      </c>
      <c r="GE374" s="11"/>
      <c r="GF374" s="13"/>
      <c r="GG374" s="11"/>
      <c r="GH374" s="12"/>
      <c r="GI374" s="12"/>
      <c r="GJ374" s="11">
        <v>16</v>
      </c>
      <c r="GK374" s="13">
        <v>2779.94</v>
      </c>
      <c r="GL374" s="11">
        <v>19</v>
      </c>
      <c r="GM374" s="11"/>
      <c r="GN374" s="13"/>
      <c r="GO374" s="11"/>
      <c r="GP374" s="12"/>
      <c r="GQ374" s="12"/>
      <c r="GR374" s="11">
        <v>25</v>
      </c>
      <c r="GS374" s="13">
        <v>5444.64</v>
      </c>
      <c r="GT374" s="11">
        <v>17</v>
      </c>
      <c r="GU374" s="11"/>
      <c r="GV374" s="13"/>
      <c r="GW374" s="11"/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>
        <v>2</v>
      </c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/>
      <c r="JP374" s="13"/>
      <c r="JQ374" s="11"/>
      <c r="JR374" s="12"/>
      <c r="JS374" s="12"/>
      <c r="JT374" s="11"/>
      <c r="JU374" s="13"/>
      <c r="JV374" s="11"/>
      <c r="JW374" s="11"/>
      <c r="JX374" s="13"/>
      <c r="JY374" s="11"/>
      <c r="JZ374" s="12"/>
      <c r="KA374" s="12"/>
      <c r="KB374" s="11"/>
      <c r="KC374" s="13"/>
      <c r="KD374" s="11"/>
      <c r="KE374" s="11"/>
      <c r="KF374" s="13"/>
      <c r="KG374" s="11"/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  <c r="LH374" s="11"/>
      <c r="LI374" s="13"/>
      <c r="LJ374" s="11"/>
      <c r="LK374" s="11"/>
      <c r="LL374" s="13"/>
      <c r="LM374" s="11"/>
      <c r="LN374" s="12"/>
      <c r="LO374" s="12"/>
      <c r="LP374" s="11"/>
      <c r="LQ374" s="13"/>
      <c r="LR374" s="11"/>
      <c r="LS374" s="11"/>
      <c r="LT374" s="13"/>
      <c r="LU374" s="11"/>
      <c r="LV374" s="12"/>
      <c r="LW374" s="12"/>
    </row>
    <row r="375">
      <c r="A375" s="10" t="s">
        <v>227</v>
      </c>
      <c r="B375" s="10" t="s">
        <v>107</v>
      </c>
      <c r="C375" s="10" t="s">
        <v>219</v>
      </c>
      <c r="D375" s="11">
        <v>952</v>
      </c>
      <c r="E375" s="11">
        <f>=ROUNDDOWN(27.2779369627507,0)</f>
      </c>
      <c r="F375" s="11">
        <v>343</v>
      </c>
      <c r="G375" s="12">
        <v>1</v>
      </c>
      <c r="H375" s="11"/>
      <c r="I375" s="11">
        <f>=ROUNDDOWN({0},0)</f>
      </c>
      <c r="J375" s="11"/>
      <c r="K375" s="12">
        <v>0.4384</v>
      </c>
      <c r="L375" s="11">
        <v>681</v>
      </c>
      <c r="M375" s="13">
        <v>177078.47</v>
      </c>
      <c r="N375" s="11">
        <v>14</v>
      </c>
      <c r="O375" s="14">
        <v>12648.46</v>
      </c>
      <c r="P375" s="11"/>
      <c r="Q375" s="13"/>
      <c r="R375" s="11"/>
      <c r="S375" s="14"/>
      <c r="T375" s="12"/>
      <c r="U375" s="12"/>
      <c r="V375" s="12"/>
      <c r="W375" s="12"/>
      <c r="X375" s="11">
        <v>4</v>
      </c>
      <c r="Y375" s="13">
        <v>1293.68</v>
      </c>
      <c r="Z375" s="11">
        <v>2</v>
      </c>
      <c r="AA375" s="11"/>
      <c r="AB375" s="13"/>
      <c r="AC375" s="11"/>
      <c r="AD375" s="12"/>
      <c r="AE375" s="12"/>
      <c r="AF375" s="11">
        <v>420</v>
      </c>
      <c r="AG375" s="13">
        <v>89971.85</v>
      </c>
      <c r="AH375" s="11">
        <v>14</v>
      </c>
      <c r="AI375" s="11"/>
      <c r="AJ375" s="13"/>
      <c r="AK375" s="11"/>
      <c r="AL375" s="12"/>
      <c r="AM375" s="12"/>
      <c r="AN375" s="11">
        <v>10</v>
      </c>
      <c r="AO375" s="13">
        <v>3328.4</v>
      </c>
      <c r="AP375" s="11">
        <v>13</v>
      </c>
      <c r="AQ375" s="11"/>
      <c r="AR375" s="13"/>
      <c r="AS375" s="11"/>
      <c r="AT375" s="12"/>
      <c r="AU375" s="12"/>
      <c r="AV375" s="11">
        <v>10</v>
      </c>
      <c r="AW375" s="13">
        <v>2472.64</v>
      </c>
      <c r="AX375" s="11">
        <v>9</v>
      </c>
      <c r="AY375" s="11"/>
      <c r="AZ375" s="13"/>
      <c r="BA375" s="11"/>
      <c r="BB375" s="12"/>
      <c r="BC375" s="12"/>
      <c r="BD375" s="11">
        <v>9</v>
      </c>
      <c r="BE375" s="13">
        <v>2001.23</v>
      </c>
      <c r="BF375" s="11">
        <v>5</v>
      </c>
      <c r="BG375" s="11"/>
      <c r="BH375" s="13"/>
      <c r="BI375" s="11"/>
      <c r="BJ375" s="12"/>
      <c r="BK375" s="12"/>
      <c r="BL375" s="11">
        <v>77</v>
      </c>
      <c r="BM375" s="13">
        <v>30054.53</v>
      </c>
      <c r="BN375" s="11">
        <v>12</v>
      </c>
      <c r="BO375" s="11"/>
      <c r="BP375" s="13"/>
      <c r="BQ375" s="11"/>
      <c r="BR375" s="12"/>
      <c r="BS375" s="12"/>
      <c r="BT375" s="11">
        <v>99</v>
      </c>
      <c r="BU375" s="13">
        <v>31324.95</v>
      </c>
      <c r="BV375" s="11">
        <v>13</v>
      </c>
      <c r="BW375" s="11"/>
      <c r="BX375" s="13"/>
      <c r="BY375" s="11"/>
      <c r="BZ375" s="12"/>
      <c r="CA375" s="12"/>
      <c r="CB375" s="11"/>
      <c r="CC375" s="13"/>
      <c r="CD375" s="11">
        <v>3</v>
      </c>
      <c r="CE375" s="11"/>
      <c r="CF375" s="13"/>
      <c r="CG375" s="11"/>
      <c r="CH375" s="12"/>
      <c r="CI375" s="12"/>
      <c r="CJ375" s="11"/>
      <c r="CK375" s="13"/>
      <c r="CL375" s="11">
        <v>11</v>
      </c>
      <c r="CM375" s="11"/>
      <c r="CN375" s="13"/>
      <c r="CO375" s="11"/>
      <c r="CP375" s="12"/>
      <c r="CQ375" s="12"/>
      <c r="CR375" s="11"/>
      <c r="CS375" s="13"/>
      <c r="CT375" s="11"/>
      <c r="CU375" s="11"/>
      <c r="CV375" s="13"/>
      <c r="CW375" s="11"/>
      <c r="CX375" s="12"/>
      <c r="CY375" s="12"/>
      <c r="CZ375" s="11">
        <v>30</v>
      </c>
      <c r="DA375" s="13">
        <v>9507</v>
      </c>
      <c r="DB375" s="11">
        <v>5</v>
      </c>
      <c r="DC375" s="11"/>
      <c r="DD375" s="13"/>
      <c r="DE375" s="11"/>
      <c r="DF375" s="12"/>
      <c r="DG375" s="12"/>
      <c r="DH375" s="11"/>
      <c r="DI375" s="13"/>
      <c r="DJ375" s="11"/>
      <c r="DK375" s="11"/>
      <c r="DL375" s="13"/>
      <c r="DM375" s="11"/>
      <c r="DN375" s="12"/>
      <c r="DO375" s="12"/>
      <c r="DP375" s="11"/>
      <c r="DQ375" s="13"/>
      <c r="DR375" s="11">
        <v>1</v>
      </c>
      <c r="DS375" s="11"/>
      <c r="DT375" s="13"/>
      <c r="DU375" s="11"/>
      <c r="DV375" s="12"/>
      <c r="DW375" s="12"/>
      <c r="DX375" s="11">
        <v>5</v>
      </c>
      <c r="DY375" s="13">
        <v>1587.26</v>
      </c>
      <c r="DZ375" s="11">
        <v>9</v>
      </c>
      <c r="EA375" s="11"/>
      <c r="EB375" s="13"/>
      <c r="EC375" s="11"/>
      <c r="ED375" s="12"/>
      <c r="EE375" s="12"/>
      <c r="EF375" s="11"/>
      <c r="EG375" s="13"/>
      <c r="EH375" s="11"/>
      <c r="EI375" s="11"/>
      <c r="EJ375" s="13"/>
      <c r="EK375" s="11"/>
      <c r="EL375" s="12"/>
      <c r="EM375" s="12"/>
      <c r="EN375" s="11"/>
      <c r="EO375" s="13"/>
      <c r="EP375" s="11">
        <v>10</v>
      </c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/>
      <c r="FG375" s="11"/>
      <c r="FH375" s="13"/>
      <c r="FI375" s="11"/>
      <c r="FJ375" s="12"/>
      <c r="FK375" s="12"/>
      <c r="FL375" s="11"/>
      <c r="FM375" s="13"/>
      <c r="FN375" s="11">
        <v>1</v>
      </c>
      <c r="FO375" s="11"/>
      <c r="FP375" s="13"/>
      <c r="FQ375" s="11"/>
      <c r="FR375" s="12"/>
      <c r="FS375" s="12"/>
      <c r="FT375" s="11">
        <v>1</v>
      </c>
      <c r="FU375" s="13">
        <v>110.25</v>
      </c>
      <c r="FV375" s="11">
        <v>1</v>
      </c>
      <c r="FW375" s="11"/>
      <c r="FX375" s="13"/>
      <c r="FY375" s="11"/>
      <c r="FZ375" s="12"/>
      <c r="GA375" s="12"/>
      <c r="GB375" s="11">
        <v>6</v>
      </c>
      <c r="GC375" s="13">
        <v>1771.83</v>
      </c>
      <c r="GD375" s="11">
        <v>4</v>
      </c>
      <c r="GE375" s="11"/>
      <c r="GF375" s="13"/>
      <c r="GG375" s="11"/>
      <c r="GH375" s="12"/>
      <c r="GI375" s="12"/>
      <c r="GJ375" s="11">
        <v>8</v>
      </c>
      <c r="GK375" s="13">
        <v>3053.54</v>
      </c>
      <c r="GL375" s="11">
        <v>8</v>
      </c>
      <c r="GM375" s="11"/>
      <c r="GN375" s="13"/>
      <c r="GO375" s="11"/>
      <c r="GP375" s="12"/>
      <c r="GQ375" s="12"/>
      <c r="GR375" s="11">
        <v>2</v>
      </c>
      <c r="GS375" s="13">
        <v>601.31</v>
      </c>
      <c r="GT375" s="11">
        <v>14</v>
      </c>
      <c r="GU375" s="11"/>
      <c r="GV375" s="13"/>
      <c r="GW375" s="11"/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/>
      <c r="JO375" s="11"/>
      <c r="JP375" s="13"/>
      <c r="JQ375" s="11"/>
      <c r="JR375" s="12"/>
      <c r="JS375" s="12"/>
      <c r="JT375" s="11"/>
      <c r="JU375" s="13"/>
      <c r="JV375" s="11"/>
      <c r="JW375" s="11"/>
      <c r="JX375" s="13"/>
      <c r="JY375" s="11"/>
      <c r="JZ375" s="12"/>
      <c r="KA375" s="12"/>
      <c r="KB375" s="11"/>
      <c r="KC375" s="13"/>
      <c r="KD375" s="11"/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  <c r="LH375" s="11"/>
      <c r="LI375" s="13"/>
      <c r="LJ375" s="11"/>
      <c r="LK375" s="11"/>
      <c r="LL375" s="13"/>
      <c r="LM375" s="11"/>
      <c r="LN375" s="12"/>
      <c r="LO375" s="12"/>
      <c r="LP375" s="11"/>
      <c r="LQ375" s="13"/>
      <c r="LR375" s="11"/>
      <c r="LS375" s="11"/>
      <c r="LT375" s="13"/>
      <c r="LU375" s="11"/>
      <c r="LV375" s="12"/>
      <c r="LW375" s="12"/>
    </row>
    <row r="376">
      <c r="A376" s="10" t="s">
        <v>227</v>
      </c>
      <c r="B376" s="10" t="s">
        <v>107</v>
      </c>
      <c r="C376" s="10" t="s">
        <v>234</v>
      </c>
      <c r="D376" s="11"/>
      <c r="E376" s="11">
        <f>=ROUNDDOWN({0},0)</f>
      </c>
      <c r="F376" s="11"/>
      <c r="G376" s="12"/>
      <c r="H376" s="11"/>
      <c r="I376" s="11">
        <f>=ROUNDDOWN({0},0)</f>
      </c>
      <c r="J376" s="11"/>
      <c r="K376" s="12"/>
      <c r="L376" s="11">
        <v>5</v>
      </c>
      <c r="M376" s="13">
        <v>686.39</v>
      </c>
      <c r="N376" s="11"/>
      <c r="O376" s="14"/>
      <c r="P376" s="11"/>
      <c r="Q376" s="13"/>
      <c r="R376" s="11"/>
      <c r="S376" s="14"/>
      <c r="T376" s="12"/>
      <c r="U376" s="12"/>
      <c r="V376" s="12"/>
      <c r="W376" s="12"/>
      <c r="X376" s="11"/>
      <c r="Y376" s="13"/>
      <c r="Z376" s="11"/>
      <c r="AA376" s="11"/>
      <c r="AB376" s="13"/>
      <c r="AC376" s="11"/>
      <c r="AD376" s="12"/>
      <c r="AE376" s="12"/>
      <c r="AF376" s="11">
        <v>2</v>
      </c>
      <c r="AG376" s="13">
        <v>324.32</v>
      </c>
      <c r="AH376" s="11"/>
      <c r="AI376" s="11"/>
      <c r="AJ376" s="13"/>
      <c r="AK376" s="11"/>
      <c r="AL376" s="12"/>
      <c r="AM376" s="12"/>
      <c r="AN376" s="11">
        <v>3</v>
      </c>
      <c r="AO376" s="13">
        <v>362.07</v>
      </c>
      <c r="AP376" s="11"/>
      <c r="AQ376" s="11"/>
      <c r="AR376" s="13"/>
      <c r="AS376" s="11"/>
      <c r="AT376" s="12"/>
      <c r="AU376" s="12"/>
      <c r="AV376" s="11"/>
      <c r="AW376" s="13"/>
      <c r="AX376" s="11"/>
      <c r="AY376" s="11"/>
      <c r="AZ376" s="13"/>
      <c r="BA376" s="11"/>
      <c r="BB376" s="12"/>
      <c r="BC376" s="12"/>
      <c r="BD376" s="11"/>
      <c r="BE376" s="13"/>
      <c r="BF376" s="11"/>
      <c r="BG376" s="11"/>
      <c r="BH376" s="13"/>
      <c r="BI376" s="11"/>
      <c r="BJ376" s="12"/>
      <c r="BK376" s="12"/>
      <c r="BL376" s="11"/>
      <c r="BM376" s="13"/>
      <c r="BN376" s="11"/>
      <c r="BO376" s="11"/>
      <c r="BP376" s="13"/>
      <c r="BQ376" s="11"/>
      <c r="BR376" s="12"/>
      <c r="BS376" s="12"/>
      <c r="BT376" s="11"/>
      <c r="BU376" s="13"/>
      <c r="BV376" s="11"/>
      <c r="BW376" s="11"/>
      <c r="BX376" s="13"/>
      <c r="BY376" s="11"/>
      <c r="BZ376" s="12"/>
      <c r="CA376" s="12"/>
      <c r="CB376" s="11"/>
      <c r="CC376" s="13"/>
      <c r="CD376" s="11"/>
      <c r="CE376" s="11"/>
      <c r="CF376" s="13"/>
      <c r="CG376" s="11"/>
      <c r="CH376" s="12"/>
      <c r="CI376" s="12"/>
      <c r="CJ376" s="11"/>
      <c r="CK376" s="13"/>
      <c r="CL376" s="11"/>
      <c r="CM376" s="11"/>
      <c r="CN376" s="13"/>
      <c r="CO376" s="11"/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/>
      <c r="DC376" s="11"/>
      <c r="DD376" s="13"/>
      <c r="DE376" s="11"/>
      <c r="DF376" s="12"/>
      <c r="DG376" s="12"/>
      <c r="DH376" s="11"/>
      <c r="DI376" s="13"/>
      <c r="DJ376" s="11"/>
      <c r="DK376" s="11"/>
      <c r="DL376" s="13"/>
      <c r="DM376" s="11"/>
      <c r="DN376" s="12"/>
      <c r="DO376" s="12"/>
      <c r="DP376" s="11"/>
      <c r="DQ376" s="13"/>
      <c r="DR376" s="11"/>
      <c r="DS376" s="11"/>
      <c r="DT376" s="13"/>
      <c r="DU376" s="11"/>
      <c r="DV376" s="12"/>
      <c r="DW376" s="12"/>
      <c r="DX376" s="11"/>
      <c r="DY376" s="13"/>
      <c r="DZ376" s="11"/>
      <c r="EA376" s="11"/>
      <c r="EB376" s="13"/>
      <c r="EC376" s="11"/>
      <c r="ED376" s="12"/>
      <c r="EE376" s="12"/>
      <c r="EF376" s="11"/>
      <c r="EG376" s="13"/>
      <c r="EH376" s="11"/>
      <c r="EI376" s="11"/>
      <c r="EJ376" s="13"/>
      <c r="EK376" s="11"/>
      <c r="EL376" s="12"/>
      <c r="EM376" s="12"/>
      <c r="EN376" s="11"/>
      <c r="EO376" s="13"/>
      <c r="EP376" s="11"/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/>
      <c r="FW376" s="11"/>
      <c r="FX376" s="13"/>
      <c r="FY376" s="11"/>
      <c r="FZ376" s="12"/>
      <c r="GA376" s="12"/>
      <c r="GB376" s="11"/>
      <c r="GC376" s="13"/>
      <c r="GD376" s="11"/>
      <c r="GE376" s="11"/>
      <c r="GF376" s="13"/>
      <c r="GG376" s="11"/>
      <c r="GH376" s="12"/>
      <c r="GI376" s="12"/>
      <c r="GJ376" s="11"/>
      <c r="GK376" s="13"/>
      <c r="GL376" s="11"/>
      <c r="GM376" s="11"/>
      <c r="GN376" s="13"/>
      <c r="GO376" s="11"/>
      <c r="GP376" s="12"/>
      <c r="GQ376" s="12"/>
      <c r="GR376" s="11"/>
      <c r="GS376" s="13"/>
      <c r="GT376" s="11"/>
      <c r="GU376" s="11"/>
      <c r="GV376" s="13"/>
      <c r="GW376" s="11"/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/>
      <c r="JO376" s="11"/>
      <c r="JP376" s="13"/>
      <c r="JQ376" s="11"/>
      <c r="JR376" s="12"/>
      <c r="JS376" s="12"/>
      <c r="JT376" s="11"/>
      <c r="JU376" s="13"/>
      <c r="JV376" s="11"/>
      <c r="JW376" s="11"/>
      <c r="JX376" s="13"/>
      <c r="JY376" s="11"/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/>
      <c r="KM376" s="11"/>
      <c r="KN376" s="13"/>
      <c r="KO376" s="11"/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  <c r="LH376" s="11"/>
      <c r="LI376" s="13"/>
      <c r="LJ376" s="11"/>
      <c r="LK376" s="11"/>
      <c r="LL376" s="13"/>
      <c r="LM376" s="11"/>
      <c r="LN376" s="12"/>
      <c r="LO376" s="12"/>
      <c r="LP376" s="11"/>
      <c r="LQ376" s="13"/>
      <c r="LR376" s="11"/>
      <c r="LS376" s="11"/>
      <c r="LT376" s="13"/>
      <c r="LU376" s="11"/>
      <c r="LV376" s="12"/>
      <c r="LW376" s="12"/>
    </row>
    <row r="377">
      <c r="A377" s="10" t="s">
        <v>227</v>
      </c>
      <c r="B377" s="10" t="s">
        <v>107</v>
      </c>
      <c r="C377" s="10" t="s">
        <v>220</v>
      </c>
      <c r="D377" s="11">
        <v>11</v>
      </c>
      <c r="E377" s="11">
        <f>=ROUNDDOWN(3.92857142857143,0)</f>
      </c>
      <c r="F377" s="11"/>
      <c r="G377" s="12"/>
      <c r="H377" s="11"/>
      <c r="I377" s="11">
        <f>=ROUNDDOWN({0},0)</f>
      </c>
      <c r="J377" s="11"/>
      <c r="K377" s="12"/>
      <c r="L377" s="11">
        <v>51</v>
      </c>
      <c r="M377" s="13">
        <v>10524.02</v>
      </c>
      <c r="N377" s="11"/>
      <c r="O377" s="14"/>
      <c r="P377" s="11"/>
      <c r="Q377" s="13"/>
      <c r="R377" s="11"/>
      <c r="S377" s="14"/>
      <c r="T377" s="12"/>
      <c r="U377" s="12"/>
      <c r="V377" s="12"/>
      <c r="W377" s="12"/>
      <c r="X377" s="11"/>
      <c r="Y377" s="13"/>
      <c r="Z377" s="11"/>
      <c r="AA377" s="11"/>
      <c r="AB377" s="13"/>
      <c r="AC377" s="11"/>
      <c r="AD377" s="12"/>
      <c r="AE377" s="12"/>
      <c r="AF377" s="11">
        <v>9</v>
      </c>
      <c r="AG377" s="13">
        <v>1626.21</v>
      </c>
      <c r="AH377" s="11"/>
      <c r="AI377" s="11"/>
      <c r="AJ377" s="13"/>
      <c r="AK377" s="11"/>
      <c r="AL377" s="12"/>
      <c r="AM377" s="12"/>
      <c r="AN377" s="11"/>
      <c r="AO377" s="13"/>
      <c r="AP377" s="11"/>
      <c r="AQ377" s="11"/>
      <c r="AR377" s="13"/>
      <c r="AS377" s="11"/>
      <c r="AT377" s="12"/>
      <c r="AU377" s="12"/>
      <c r="AV377" s="11"/>
      <c r="AW377" s="13"/>
      <c r="AX377" s="11"/>
      <c r="AY377" s="11"/>
      <c r="AZ377" s="13"/>
      <c r="BA377" s="11"/>
      <c r="BB377" s="12"/>
      <c r="BC377" s="12"/>
      <c r="BD377" s="11">
        <v>6</v>
      </c>
      <c r="BE377" s="13">
        <v>1416.96</v>
      </c>
      <c r="BF377" s="11"/>
      <c r="BG377" s="11"/>
      <c r="BH377" s="13"/>
      <c r="BI377" s="11"/>
      <c r="BJ377" s="12"/>
      <c r="BK377" s="12"/>
      <c r="BL377" s="11">
        <v>7</v>
      </c>
      <c r="BM377" s="13">
        <v>1558.62</v>
      </c>
      <c r="BN377" s="11"/>
      <c r="BO377" s="11"/>
      <c r="BP377" s="13"/>
      <c r="BQ377" s="11"/>
      <c r="BR377" s="12"/>
      <c r="BS377" s="12"/>
      <c r="BT377" s="11">
        <v>6</v>
      </c>
      <c r="BU377" s="13">
        <v>1294.58</v>
      </c>
      <c r="BV377" s="11"/>
      <c r="BW377" s="11"/>
      <c r="BX377" s="13"/>
      <c r="BY377" s="11"/>
      <c r="BZ377" s="12"/>
      <c r="CA377" s="12"/>
      <c r="CB377" s="11"/>
      <c r="CC377" s="13"/>
      <c r="CD377" s="11"/>
      <c r="CE377" s="11"/>
      <c r="CF377" s="13"/>
      <c r="CG377" s="11"/>
      <c r="CH377" s="12"/>
      <c r="CI377" s="12"/>
      <c r="CJ377" s="11">
        <v>3</v>
      </c>
      <c r="CK377" s="13">
        <v>1496.97</v>
      </c>
      <c r="CL377" s="11"/>
      <c r="CM377" s="11"/>
      <c r="CN377" s="13"/>
      <c r="CO377" s="11"/>
      <c r="CP377" s="12"/>
      <c r="CQ377" s="12"/>
      <c r="CR377" s="11"/>
      <c r="CS377" s="13"/>
      <c r="CT377" s="11"/>
      <c r="CU377" s="11"/>
      <c r="CV377" s="13"/>
      <c r="CW377" s="11"/>
      <c r="CX377" s="12"/>
      <c r="CY377" s="12"/>
      <c r="CZ377" s="11"/>
      <c r="DA377" s="13"/>
      <c r="DB377" s="11"/>
      <c r="DC377" s="11"/>
      <c r="DD377" s="13"/>
      <c r="DE377" s="11"/>
      <c r="DF377" s="12"/>
      <c r="DG377" s="12"/>
      <c r="DH377" s="11">
        <v>7</v>
      </c>
      <c r="DI377" s="13">
        <v>907.76</v>
      </c>
      <c r="DJ377" s="11"/>
      <c r="DK377" s="11"/>
      <c r="DL377" s="13"/>
      <c r="DM377" s="11"/>
      <c r="DN377" s="12"/>
      <c r="DO377" s="12"/>
      <c r="DP377" s="11"/>
      <c r="DQ377" s="13"/>
      <c r="DR377" s="11"/>
      <c r="DS377" s="11"/>
      <c r="DT377" s="13"/>
      <c r="DU377" s="11"/>
      <c r="DV377" s="12"/>
      <c r="DW377" s="12"/>
      <c r="DX377" s="11">
        <v>2</v>
      </c>
      <c r="DY377" s="13">
        <v>445.32</v>
      </c>
      <c r="DZ377" s="11"/>
      <c r="EA377" s="11"/>
      <c r="EB377" s="13"/>
      <c r="EC377" s="11"/>
      <c r="ED377" s="12"/>
      <c r="EE377" s="12"/>
      <c r="EF377" s="11"/>
      <c r="EG377" s="13"/>
      <c r="EH377" s="11"/>
      <c r="EI377" s="11"/>
      <c r="EJ377" s="13"/>
      <c r="EK377" s="11"/>
      <c r="EL377" s="12"/>
      <c r="EM377" s="12"/>
      <c r="EN377" s="11"/>
      <c r="EO377" s="13"/>
      <c r="EP377" s="11"/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/>
      <c r="FG377" s="11"/>
      <c r="FH377" s="13"/>
      <c r="FI377" s="11"/>
      <c r="FJ377" s="12"/>
      <c r="FK377" s="12"/>
      <c r="FL377" s="11"/>
      <c r="FM377" s="13"/>
      <c r="FN377" s="11"/>
      <c r="FO377" s="11"/>
      <c r="FP377" s="13"/>
      <c r="FQ377" s="11"/>
      <c r="FR377" s="12"/>
      <c r="FS377" s="12"/>
      <c r="FT377" s="11"/>
      <c r="FU377" s="13"/>
      <c r="FV377" s="11"/>
      <c r="FW377" s="11"/>
      <c r="FX377" s="13"/>
      <c r="FY377" s="11"/>
      <c r="FZ377" s="12"/>
      <c r="GA377" s="12"/>
      <c r="GB377" s="11"/>
      <c r="GC377" s="13"/>
      <c r="GD377" s="11"/>
      <c r="GE377" s="11"/>
      <c r="GF377" s="13"/>
      <c r="GG377" s="11"/>
      <c r="GH377" s="12"/>
      <c r="GI377" s="12"/>
      <c r="GJ377" s="11"/>
      <c r="GK377" s="13"/>
      <c r="GL377" s="11"/>
      <c r="GM377" s="11"/>
      <c r="GN377" s="13"/>
      <c r="GO377" s="11"/>
      <c r="GP377" s="12"/>
      <c r="GQ377" s="12"/>
      <c r="GR377" s="11">
        <v>11</v>
      </c>
      <c r="GS377" s="13">
        <v>1777.6</v>
      </c>
      <c r="GT377" s="11"/>
      <c r="GU377" s="11"/>
      <c r="GV377" s="13"/>
      <c r="GW377" s="11"/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/>
      <c r="JO377" s="11"/>
      <c r="JP377" s="13"/>
      <c r="JQ377" s="11"/>
      <c r="JR377" s="12"/>
      <c r="JS377" s="12"/>
      <c r="JT377" s="11"/>
      <c r="JU377" s="13"/>
      <c r="JV377" s="11"/>
      <c r="JW377" s="11"/>
      <c r="JX377" s="13"/>
      <c r="JY377" s="11"/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  <c r="LH377" s="11"/>
      <c r="LI377" s="13"/>
      <c r="LJ377" s="11"/>
      <c r="LK377" s="11"/>
      <c r="LL377" s="13"/>
      <c r="LM377" s="11"/>
      <c r="LN377" s="12"/>
      <c r="LO377" s="12"/>
      <c r="LP377" s="11"/>
      <c r="LQ377" s="13"/>
      <c r="LR377" s="11"/>
      <c r="LS377" s="11"/>
      <c r="LT377" s="13"/>
      <c r="LU377" s="11"/>
      <c r="LV377" s="12"/>
      <c r="LW377" s="12"/>
    </row>
    <row r="378">
      <c r="A378" s="10" t="s">
        <v>227</v>
      </c>
      <c r="B378" s="10" t="s">
        <v>107</v>
      </c>
      <c r="C378" s="10" t="s">
        <v>221</v>
      </c>
      <c r="D378" s="11">
        <v>134</v>
      </c>
      <c r="E378" s="11">
        <f>=ROUNDDOWN(17.4025974025974,0)</f>
      </c>
      <c r="F378" s="11"/>
      <c r="G378" s="12">
        <v>1</v>
      </c>
      <c r="H378" s="11"/>
      <c r="I378" s="11">
        <f>=ROUNDDOWN({0},0)</f>
      </c>
      <c r="J378" s="11"/>
      <c r="K378" s="12"/>
      <c r="L378" s="11">
        <v>122</v>
      </c>
      <c r="M378" s="13">
        <v>30557.27</v>
      </c>
      <c r="N378" s="11">
        <v>2</v>
      </c>
      <c r="O378" s="14">
        <v>15278.64</v>
      </c>
      <c r="P378" s="11"/>
      <c r="Q378" s="13"/>
      <c r="R378" s="11"/>
      <c r="S378" s="14"/>
      <c r="T378" s="12"/>
      <c r="U378" s="12"/>
      <c r="V378" s="12"/>
      <c r="W378" s="12"/>
      <c r="X378" s="11"/>
      <c r="Y378" s="13"/>
      <c r="Z378" s="11"/>
      <c r="AA378" s="11"/>
      <c r="AB378" s="13"/>
      <c r="AC378" s="11"/>
      <c r="AD378" s="12"/>
      <c r="AE378" s="12"/>
      <c r="AF378" s="11">
        <v>69</v>
      </c>
      <c r="AG378" s="13">
        <v>15197.5</v>
      </c>
      <c r="AH378" s="11">
        <v>2</v>
      </c>
      <c r="AI378" s="11"/>
      <c r="AJ378" s="13"/>
      <c r="AK378" s="11"/>
      <c r="AL378" s="12"/>
      <c r="AM378" s="12"/>
      <c r="AN378" s="11"/>
      <c r="AO378" s="13"/>
      <c r="AP378" s="11">
        <v>1</v>
      </c>
      <c r="AQ378" s="11"/>
      <c r="AR378" s="13"/>
      <c r="AS378" s="11"/>
      <c r="AT378" s="12"/>
      <c r="AU378" s="12"/>
      <c r="AV378" s="11"/>
      <c r="AW378" s="13"/>
      <c r="AX378" s="11">
        <v>1</v>
      </c>
      <c r="AY378" s="11"/>
      <c r="AZ378" s="13"/>
      <c r="BA378" s="11"/>
      <c r="BB378" s="12"/>
      <c r="BC378" s="12"/>
      <c r="BD378" s="11">
        <v>1</v>
      </c>
      <c r="BE378" s="13">
        <v>289.48</v>
      </c>
      <c r="BF378" s="11">
        <v>2</v>
      </c>
      <c r="BG378" s="11"/>
      <c r="BH378" s="13"/>
      <c r="BI378" s="11"/>
      <c r="BJ378" s="12"/>
      <c r="BK378" s="12"/>
      <c r="BL378" s="11">
        <v>5</v>
      </c>
      <c r="BM378" s="13">
        <v>1289.95</v>
      </c>
      <c r="BN378" s="11">
        <v>1</v>
      </c>
      <c r="BO378" s="11"/>
      <c r="BP378" s="13"/>
      <c r="BQ378" s="11"/>
      <c r="BR378" s="12"/>
      <c r="BS378" s="12"/>
      <c r="BT378" s="11">
        <v>31</v>
      </c>
      <c r="BU378" s="13">
        <v>10016.27</v>
      </c>
      <c r="BV378" s="11">
        <v>2</v>
      </c>
      <c r="BW378" s="11"/>
      <c r="BX378" s="13"/>
      <c r="BY378" s="11"/>
      <c r="BZ378" s="12"/>
      <c r="CA378" s="12"/>
      <c r="CB378" s="11"/>
      <c r="CC378" s="13"/>
      <c r="CD378" s="11"/>
      <c r="CE378" s="11"/>
      <c r="CF378" s="13"/>
      <c r="CG378" s="11"/>
      <c r="CH378" s="12"/>
      <c r="CI378" s="12"/>
      <c r="CJ378" s="11"/>
      <c r="CK378" s="13"/>
      <c r="CL378" s="11">
        <v>1</v>
      </c>
      <c r="CM378" s="11"/>
      <c r="CN378" s="13"/>
      <c r="CO378" s="11"/>
      <c r="CP378" s="12"/>
      <c r="CQ378" s="12"/>
      <c r="CR378" s="11"/>
      <c r="CS378" s="13"/>
      <c r="CT378" s="11"/>
      <c r="CU378" s="11"/>
      <c r="CV378" s="13"/>
      <c r="CW378" s="11"/>
      <c r="CX378" s="12"/>
      <c r="CY378" s="12"/>
      <c r="CZ378" s="11">
        <v>2</v>
      </c>
      <c r="DA378" s="13">
        <v>356.32</v>
      </c>
      <c r="DB378" s="11"/>
      <c r="DC378" s="11"/>
      <c r="DD378" s="13"/>
      <c r="DE378" s="11"/>
      <c r="DF378" s="12"/>
      <c r="DG378" s="12"/>
      <c r="DH378" s="11">
        <v>11</v>
      </c>
      <c r="DI378" s="13">
        <v>2666.29</v>
      </c>
      <c r="DJ378" s="11">
        <v>1</v>
      </c>
      <c r="DK378" s="11"/>
      <c r="DL378" s="13"/>
      <c r="DM378" s="11"/>
      <c r="DN378" s="12"/>
      <c r="DO378" s="12"/>
      <c r="DP378" s="11"/>
      <c r="DQ378" s="13"/>
      <c r="DR378" s="11"/>
      <c r="DS378" s="11"/>
      <c r="DT378" s="13"/>
      <c r="DU378" s="11"/>
      <c r="DV378" s="12"/>
      <c r="DW378" s="12"/>
      <c r="DX378" s="11"/>
      <c r="DY378" s="13"/>
      <c r="DZ378" s="11">
        <v>1</v>
      </c>
      <c r="EA378" s="11"/>
      <c r="EB378" s="13"/>
      <c r="EC378" s="11"/>
      <c r="ED378" s="12"/>
      <c r="EE378" s="12"/>
      <c r="EF378" s="11"/>
      <c r="EG378" s="13"/>
      <c r="EH378" s="11"/>
      <c r="EI378" s="11"/>
      <c r="EJ378" s="13"/>
      <c r="EK378" s="11"/>
      <c r="EL378" s="12"/>
      <c r="EM378" s="12"/>
      <c r="EN378" s="11"/>
      <c r="EO378" s="13"/>
      <c r="EP378" s="11">
        <v>1</v>
      </c>
      <c r="EQ378" s="11"/>
      <c r="ER378" s="13"/>
      <c r="ES378" s="11"/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/>
      <c r="FG378" s="11"/>
      <c r="FH378" s="13"/>
      <c r="FI378" s="11"/>
      <c r="FJ378" s="12"/>
      <c r="FK378" s="12"/>
      <c r="FL378" s="11"/>
      <c r="FM378" s="13"/>
      <c r="FN378" s="11"/>
      <c r="FO378" s="11"/>
      <c r="FP378" s="13"/>
      <c r="FQ378" s="11"/>
      <c r="FR378" s="12"/>
      <c r="FS378" s="12"/>
      <c r="FT378" s="11">
        <v>1</v>
      </c>
      <c r="FU378" s="13">
        <v>242.39</v>
      </c>
      <c r="FV378" s="11">
        <v>1</v>
      </c>
      <c r="FW378" s="11"/>
      <c r="FX378" s="13"/>
      <c r="FY378" s="11"/>
      <c r="FZ378" s="12"/>
      <c r="GA378" s="12"/>
      <c r="GB378" s="11">
        <v>1</v>
      </c>
      <c r="GC378" s="13">
        <v>261.78</v>
      </c>
      <c r="GD378" s="11">
        <v>1</v>
      </c>
      <c r="GE378" s="11"/>
      <c r="GF378" s="13"/>
      <c r="GG378" s="11"/>
      <c r="GH378" s="12"/>
      <c r="GI378" s="12"/>
      <c r="GJ378" s="11"/>
      <c r="GK378" s="13"/>
      <c r="GL378" s="11"/>
      <c r="GM378" s="11"/>
      <c r="GN378" s="13"/>
      <c r="GO378" s="11"/>
      <c r="GP378" s="12"/>
      <c r="GQ378" s="12"/>
      <c r="GR378" s="11">
        <v>1</v>
      </c>
      <c r="GS378" s="13">
        <v>237.29</v>
      </c>
      <c r="GT378" s="11">
        <v>1</v>
      </c>
      <c r="GU378" s="11"/>
      <c r="GV378" s="13"/>
      <c r="GW378" s="11"/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/>
      <c r="JP378" s="13"/>
      <c r="JQ378" s="11"/>
      <c r="JR378" s="12"/>
      <c r="JS378" s="12"/>
      <c r="JT378" s="11"/>
      <c r="JU378" s="13"/>
      <c r="JV378" s="11"/>
      <c r="JW378" s="11"/>
      <c r="JX378" s="13"/>
      <c r="JY378" s="11"/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  <c r="LH378" s="11"/>
      <c r="LI378" s="13"/>
      <c r="LJ378" s="11"/>
      <c r="LK378" s="11"/>
      <c r="LL378" s="13"/>
      <c r="LM378" s="11"/>
      <c r="LN378" s="12"/>
      <c r="LO378" s="12"/>
      <c r="LP378" s="11"/>
      <c r="LQ378" s="13"/>
      <c r="LR378" s="11"/>
      <c r="LS378" s="11"/>
      <c r="LT378" s="13"/>
      <c r="LU378" s="11"/>
      <c r="LV378" s="12"/>
      <c r="LW378" s="12"/>
    </row>
    <row r="379">
      <c r="A379" s="10" t="s">
        <v>227</v>
      </c>
      <c r="B379" s="10" t="s">
        <v>107</v>
      </c>
      <c r="C379" s="10" t="s">
        <v>222</v>
      </c>
      <c r="D379" s="11">
        <v>628</v>
      </c>
      <c r="E379" s="11">
        <f>=ROUNDDOWN(46.865671641791,0)</f>
      </c>
      <c r="F379" s="11">
        <v>200</v>
      </c>
      <c r="G379" s="12">
        <v>1</v>
      </c>
      <c r="H379" s="11"/>
      <c r="I379" s="11">
        <f>=ROUNDDOWN({0},0)</f>
      </c>
      <c r="J379" s="11"/>
      <c r="K379" s="12"/>
      <c r="L379" s="11">
        <v>108</v>
      </c>
      <c r="M379" s="13">
        <v>25186.78</v>
      </c>
      <c r="N379" s="11">
        <v>6</v>
      </c>
      <c r="O379" s="14">
        <v>4197.8</v>
      </c>
      <c r="P379" s="11"/>
      <c r="Q379" s="13"/>
      <c r="R379" s="11"/>
      <c r="S379" s="14"/>
      <c r="T379" s="12"/>
      <c r="U379" s="12"/>
      <c r="V379" s="12"/>
      <c r="W379" s="12"/>
      <c r="X379" s="11"/>
      <c r="Y379" s="13"/>
      <c r="Z379" s="11">
        <v>1</v>
      </c>
      <c r="AA379" s="11"/>
      <c r="AB379" s="13"/>
      <c r="AC379" s="11"/>
      <c r="AD379" s="12"/>
      <c r="AE379" s="12"/>
      <c r="AF379" s="11">
        <v>14</v>
      </c>
      <c r="AG379" s="13">
        <v>2780.96</v>
      </c>
      <c r="AH379" s="11">
        <v>4</v>
      </c>
      <c r="AI379" s="11"/>
      <c r="AJ379" s="13"/>
      <c r="AK379" s="11"/>
      <c r="AL379" s="12"/>
      <c r="AM379" s="12"/>
      <c r="AN379" s="11">
        <v>3</v>
      </c>
      <c r="AO379" s="13">
        <v>754.11</v>
      </c>
      <c r="AP379" s="11">
        <v>4</v>
      </c>
      <c r="AQ379" s="11"/>
      <c r="AR379" s="13"/>
      <c r="AS379" s="11"/>
      <c r="AT379" s="12"/>
      <c r="AU379" s="12"/>
      <c r="AV379" s="11">
        <v>6</v>
      </c>
      <c r="AW379" s="13">
        <v>1531.42</v>
      </c>
      <c r="AX379" s="11">
        <v>4</v>
      </c>
      <c r="AY379" s="11"/>
      <c r="AZ379" s="13"/>
      <c r="BA379" s="11"/>
      <c r="BB379" s="12"/>
      <c r="BC379" s="12"/>
      <c r="BD379" s="11">
        <v>8</v>
      </c>
      <c r="BE379" s="13">
        <v>1885.28</v>
      </c>
      <c r="BF379" s="11">
        <v>2</v>
      </c>
      <c r="BG379" s="11"/>
      <c r="BH379" s="13"/>
      <c r="BI379" s="11"/>
      <c r="BJ379" s="12"/>
      <c r="BK379" s="12"/>
      <c r="BL379" s="11">
        <v>12</v>
      </c>
      <c r="BM379" s="13">
        <v>2962.56</v>
      </c>
      <c r="BN379" s="11">
        <v>4</v>
      </c>
      <c r="BO379" s="11"/>
      <c r="BP379" s="13"/>
      <c r="BQ379" s="11"/>
      <c r="BR379" s="12"/>
      <c r="BS379" s="12"/>
      <c r="BT379" s="11">
        <v>46</v>
      </c>
      <c r="BU379" s="13">
        <v>10905.64</v>
      </c>
      <c r="BV379" s="11">
        <v>6</v>
      </c>
      <c r="BW379" s="11"/>
      <c r="BX379" s="13"/>
      <c r="BY379" s="11"/>
      <c r="BZ379" s="12"/>
      <c r="CA379" s="12"/>
      <c r="CB379" s="11"/>
      <c r="CC379" s="13"/>
      <c r="CD379" s="11">
        <v>3</v>
      </c>
      <c r="CE379" s="11"/>
      <c r="CF379" s="13"/>
      <c r="CG379" s="11"/>
      <c r="CH379" s="12"/>
      <c r="CI379" s="12"/>
      <c r="CJ379" s="11"/>
      <c r="CK379" s="13"/>
      <c r="CL379" s="11">
        <v>6</v>
      </c>
      <c r="CM379" s="11"/>
      <c r="CN379" s="13"/>
      <c r="CO379" s="11"/>
      <c r="CP379" s="12"/>
      <c r="CQ379" s="12"/>
      <c r="CR379" s="11"/>
      <c r="CS379" s="13"/>
      <c r="CT379" s="11"/>
      <c r="CU379" s="11"/>
      <c r="CV379" s="13"/>
      <c r="CW379" s="11"/>
      <c r="CX379" s="12"/>
      <c r="CY379" s="12"/>
      <c r="CZ379" s="11">
        <v>13</v>
      </c>
      <c r="DA379" s="13">
        <v>3063.58</v>
      </c>
      <c r="DB379" s="11">
        <v>1</v>
      </c>
      <c r="DC379" s="11"/>
      <c r="DD379" s="13"/>
      <c r="DE379" s="11"/>
      <c r="DF379" s="12"/>
      <c r="DG379" s="12"/>
      <c r="DH379" s="11">
        <v>2</v>
      </c>
      <c r="DI379" s="13">
        <v>399</v>
      </c>
      <c r="DJ379" s="11">
        <v>1</v>
      </c>
      <c r="DK379" s="11"/>
      <c r="DL379" s="13"/>
      <c r="DM379" s="11"/>
      <c r="DN379" s="12"/>
      <c r="DO379" s="12"/>
      <c r="DP379" s="11"/>
      <c r="DQ379" s="13"/>
      <c r="DR379" s="11">
        <v>1</v>
      </c>
      <c r="DS379" s="11"/>
      <c r="DT379" s="13"/>
      <c r="DU379" s="11"/>
      <c r="DV379" s="12"/>
      <c r="DW379" s="12"/>
      <c r="DX379" s="11">
        <v>1</v>
      </c>
      <c r="DY379" s="13">
        <v>246.88</v>
      </c>
      <c r="DZ379" s="11">
        <v>6</v>
      </c>
      <c r="EA379" s="11"/>
      <c r="EB379" s="13"/>
      <c r="EC379" s="11"/>
      <c r="ED379" s="12"/>
      <c r="EE379" s="12"/>
      <c r="EF379" s="11"/>
      <c r="EG379" s="13"/>
      <c r="EH379" s="11"/>
      <c r="EI379" s="11"/>
      <c r="EJ379" s="13"/>
      <c r="EK379" s="11"/>
      <c r="EL379" s="12"/>
      <c r="EM379" s="12"/>
      <c r="EN379" s="11"/>
      <c r="EO379" s="13"/>
      <c r="EP379" s="11">
        <v>6</v>
      </c>
      <c r="EQ379" s="11"/>
      <c r="ER379" s="13"/>
      <c r="ES379" s="11"/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/>
      <c r="FE379" s="13"/>
      <c r="FF379" s="11"/>
      <c r="FG379" s="11"/>
      <c r="FH379" s="13"/>
      <c r="FI379" s="11"/>
      <c r="FJ379" s="12"/>
      <c r="FK379" s="12"/>
      <c r="FL379" s="11">
        <v>1</v>
      </c>
      <c r="FM379" s="13">
        <v>215.46</v>
      </c>
      <c r="FN379" s="11">
        <v>1</v>
      </c>
      <c r="FO379" s="11"/>
      <c r="FP379" s="13"/>
      <c r="FQ379" s="11"/>
      <c r="FR379" s="12"/>
      <c r="FS379" s="12"/>
      <c r="FT379" s="11">
        <v>1</v>
      </c>
      <c r="FU379" s="13">
        <v>199.5</v>
      </c>
      <c r="FV379" s="11">
        <v>4</v>
      </c>
      <c r="FW379" s="11"/>
      <c r="FX379" s="13"/>
      <c r="FY379" s="11"/>
      <c r="FZ379" s="12"/>
      <c r="GA379" s="12"/>
      <c r="GB379" s="11">
        <v>1</v>
      </c>
      <c r="GC379" s="13">
        <v>242.39</v>
      </c>
      <c r="GD379" s="11">
        <v>1</v>
      </c>
      <c r="GE379" s="11"/>
      <c r="GF379" s="13"/>
      <c r="GG379" s="11"/>
      <c r="GH379" s="12"/>
      <c r="GI379" s="12"/>
      <c r="GJ379" s="11"/>
      <c r="GK379" s="13"/>
      <c r="GL379" s="11">
        <v>4</v>
      </c>
      <c r="GM379" s="11"/>
      <c r="GN379" s="13"/>
      <c r="GO379" s="11"/>
      <c r="GP379" s="12"/>
      <c r="GQ379" s="12"/>
      <c r="GR379" s="11"/>
      <c r="GS379" s="13"/>
      <c r="GT379" s="11">
        <v>1</v>
      </c>
      <c r="GU379" s="11"/>
      <c r="GV379" s="13"/>
      <c r="GW379" s="11"/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/>
      <c r="IO379" s="13"/>
      <c r="IP379" s="11"/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/>
      <c r="JP379" s="13"/>
      <c r="JQ379" s="11"/>
      <c r="JR379" s="12"/>
      <c r="JS379" s="12"/>
      <c r="JT379" s="11"/>
      <c r="JU379" s="13"/>
      <c r="JV379" s="11"/>
      <c r="JW379" s="11"/>
      <c r="JX379" s="13"/>
      <c r="JY379" s="11"/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  <c r="LH379" s="11"/>
      <c r="LI379" s="13"/>
      <c r="LJ379" s="11"/>
      <c r="LK379" s="11"/>
      <c r="LL379" s="13"/>
      <c r="LM379" s="11"/>
      <c r="LN379" s="12"/>
      <c r="LO379" s="12"/>
      <c r="LP379" s="11"/>
      <c r="LQ379" s="13"/>
      <c r="LR379" s="11"/>
      <c r="LS379" s="11"/>
      <c r="LT379" s="13"/>
      <c r="LU379" s="11"/>
      <c r="LV379" s="12"/>
      <c r="LW379" s="12"/>
    </row>
    <row r="380">
      <c r="A380" s="10" t="s">
        <v>227</v>
      </c>
      <c r="B380" s="10" t="s">
        <v>107</v>
      </c>
      <c r="C380" s="10" t="s">
        <v>223</v>
      </c>
      <c r="D380" s="11">
        <v>420</v>
      </c>
      <c r="E380" s="11">
        <f>=ROUNDDOWN(16.7330677290837,0)</f>
      </c>
      <c r="F380" s="11">
        <v>250</v>
      </c>
      <c r="G380" s="12">
        <v>0.9239</v>
      </c>
      <c r="H380" s="11"/>
      <c r="I380" s="11">
        <f>=ROUNDDOWN({0},0)</f>
      </c>
      <c r="J380" s="11"/>
      <c r="K380" s="12"/>
      <c r="L380" s="11">
        <v>283</v>
      </c>
      <c r="M380" s="13">
        <v>33770.73</v>
      </c>
      <c r="N380" s="11">
        <v>7</v>
      </c>
      <c r="O380" s="14">
        <v>4824.39</v>
      </c>
      <c r="P380" s="11"/>
      <c r="Q380" s="13"/>
      <c r="R380" s="11"/>
      <c r="S380" s="14"/>
      <c r="T380" s="12"/>
      <c r="U380" s="12"/>
      <c r="V380" s="12"/>
      <c r="W380" s="12"/>
      <c r="X380" s="11">
        <v>1</v>
      </c>
      <c r="Y380" s="13">
        <v>150.15</v>
      </c>
      <c r="Z380" s="11">
        <v>4</v>
      </c>
      <c r="AA380" s="11"/>
      <c r="AB380" s="13"/>
      <c r="AC380" s="11"/>
      <c r="AD380" s="12"/>
      <c r="AE380" s="12"/>
      <c r="AF380" s="11">
        <v>87</v>
      </c>
      <c r="AG380" s="13">
        <v>7001.5</v>
      </c>
      <c r="AH380" s="11">
        <v>7</v>
      </c>
      <c r="AI380" s="11"/>
      <c r="AJ380" s="13"/>
      <c r="AK380" s="11"/>
      <c r="AL380" s="12"/>
      <c r="AM380" s="12"/>
      <c r="AN380" s="11">
        <v>33</v>
      </c>
      <c r="AO380" s="13">
        <v>3032.79</v>
      </c>
      <c r="AP380" s="11">
        <v>7</v>
      </c>
      <c r="AQ380" s="11"/>
      <c r="AR380" s="13"/>
      <c r="AS380" s="11"/>
      <c r="AT380" s="12"/>
      <c r="AU380" s="12"/>
      <c r="AV380" s="11">
        <v>32</v>
      </c>
      <c r="AW380" s="13">
        <v>5202.4</v>
      </c>
      <c r="AX380" s="11">
        <v>5</v>
      </c>
      <c r="AY380" s="11"/>
      <c r="AZ380" s="13"/>
      <c r="BA380" s="11"/>
      <c r="BB380" s="12"/>
      <c r="BC380" s="12"/>
      <c r="BD380" s="11">
        <v>18</v>
      </c>
      <c r="BE380" s="13">
        <v>2413.03</v>
      </c>
      <c r="BF380" s="11">
        <v>7</v>
      </c>
      <c r="BG380" s="11"/>
      <c r="BH380" s="13"/>
      <c r="BI380" s="11"/>
      <c r="BJ380" s="12"/>
      <c r="BK380" s="12"/>
      <c r="BL380" s="11">
        <v>29</v>
      </c>
      <c r="BM380" s="13">
        <v>3846.74</v>
      </c>
      <c r="BN380" s="11">
        <v>7</v>
      </c>
      <c r="BO380" s="11"/>
      <c r="BP380" s="13"/>
      <c r="BQ380" s="11"/>
      <c r="BR380" s="12"/>
      <c r="BS380" s="12"/>
      <c r="BT380" s="11">
        <v>58</v>
      </c>
      <c r="BU380" s="13">
        <v>8619.81</v>
      </c>
      <c r="BV380" s="11">
        <v>7</v>
      </c>
      <c r="BW380" s="11"/>
      <c r="BX380" s="13"/>
      <c r="BY380" s="11"/>
      <c r="BZ380" s="12"/>
      <c r="CA380" s="12"/>
      <c r="CB380" s="11"/>
      <c r="CC380" s="13"/>
      <c r="CD380" s="11">
        <v>1</v>
      </c>
      <c r="CE380" s="11"/>
      <c r="CF380" s="13"/>
      <c r="CG380" s="11"/>
      <c r="CH380" s="12"/>
      <c r="CI380" s="12"/>
      <c r="CJ380" s="11"/>
      <c r="CK380" s="13"/>
      <c r="CL380" s="11">
        <v>5</v>
      </c>
      <c r="CM380" s="11"/>
      <c r="CN380" s="13"/>
      <c r="CO380" s="11"/>
      <c r="CP380" s="12"/>
      <c r="CQ380" s="12"/>
      <c r="CR380" s="11"/>
      <c r="CS380" s="13"/>
      <c r="CT380" s="11"/>
      <c r="CU380" s="11"/>
      <c r="CV380" s="13"/>
      <c r="CW380" s="11"/>
      <c r="CX380" s="12"/>
      <c r="CY380" s="12"/>
      <c r="CZ380" s="11">
        <v>3</v>
      </c>
      <c r="DA380" s="13">
        <v>479.58</v>
      </c>
      <c r="DB380" s="11">
        <v>2</v>
      </c>
      <c r="DC380" s="11"/>
      <c r="DD380" s="13"/>
      <c r="DE380" s="11"/>
      <c r="DF380" s="12"/>
      <c r="DG380" s="12"/>
      <c r="DH380" s="11"/>
      <c r="DI380" s="13"/>
      <c r="DJ380" s="11">
        <v>1</v>
      </c>
      <c r="DK380" s="11"/>
      <c r="DL380" s="13"/>
      <c r="DM380" s="11"/>
      <c r="DN380" s="12"/>
      <c r="DO380" s="12"/>
      <c r="DP380" s="11"/>
      <c r="DQ380" s="13"/>
      <c r="DR380" s="11">
        <v>5</v>
      </c>
      <c r="DS380" s="11"/>
      <c r="DT380" s="13"/>
      <c r="DU380" s="11"/>
      <c r="DV380" s="12"/>
      <c r="DW380" s="12"/>
      <c r="DX380" s="11">
        <v>6</v>
      </c>
      <c r="DY380" s="13">
        <v>879</v>
      </c>
      <c r="DZ380" s="11">
        <v>4</v>
      </c>
      <c r="EA380" s="11"/>
      <c r="EB380" s="13"/>
      <c r="EC380" s="11"/>
      <c r="ED380" s="12"/>
      <c r="EE380" s="12"/>
      <c r="EF380" s="11"/>
      <c r="EG380" s="13"/>
      <c r="EH380" s="11"/>
      <c r="EI380" s="11"/>
      <c r="EJ380" s="13"/>
      <c r="EK380" s="11"/>
      <c r="EL380" s="12"/>
      <c r="EM380" s="12"/>
      <c r="EN380" s="11"/>
      <c r="EO380" s="13"/>
      <c r="EP380" s="11">
        <v>7</v>
      </c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>
        <v>1</v>
      </c>
      <c r="FM380" s="13">
        <v>113.51</v>
      </c>
      <c r="FN380" s="11">
        <v>3</v>
      </c>
      <c r="FO380" s="11"/>
      <c r="FP380" s="13"/>
      <c r="FQ380" s="11"/>
      <c r="FR380" s="12"/>
      <c r="FS380" s="12"/>
      <c r="FT380" s="11">
        <v>2</v>
      </c>
      <c r="FU380" s="13">
        <v>285.28</v>
      </c>
      <c r="FV380" s="11">
        <v>5</v>
      </c>
      <c r="FW380" s="11"/>
      <c r="FX380" s="13"/>
      <c r="FY380" s="11"/>
      <c r="FZ380" s="12"/>
      <c r="GA380" s="12"/>
      <c r="GB380" s="11"/>
      <c r="GC380" s="13"/>
      <c r="GD380" s="11">
        <v>3</v>
      </c>
      <c r="GE380" s="11"/>
      <c r="GF380" s="13"/>
      <c r="GG380" s="11"/>
      <c r="GH380" s="12"/>
      <c r="GI380" s="12"/>
      <c r="GJ380" s="11">
        <v>8</v>
      </c>
      <c r="GK380" s="13">
        <v>908.08</v>
      </c>
      <c r="GL380" s="11">
        <v>6</v>
      </c>
      <c r="GM380" s="11"/>
      <c r="GN380" s="13"/>
      <c r="GO380" s="11"/>
      <c r="GP380" s="12"/>
      <c r="GQ380" s="12"/>
      <c r="GR380" s="11">
        <v>5</v>
      </c>
      <c r="GS380" s="13">
        <v>838.86</v>
      </c>
      <c r="GT380" s="11">
        <v>6</v>
      </c>
      <c r="GU380" s="11"/>
      <c r="GV380" s="13"/>
      <c r="GW380" s="11"/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>
        <v>1</v>
      </c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/>
      <c r="KN380" s="13"/>
      <c r="KO380" s="11"/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  <c r="LH380" s="11"/>
      <c r="LI380" s="13"/>
      <c r="LJ380" s="11"/>
      <c r="LK380" s="11"/>
      <c r="LL380" s="13"/>
      <c r="LM380" s="11"/>
      <c r="LN380" s="12"/>
      <c r="LO380" s="12"/>
      <c r="LP380" s="11"/>
      <c r="LQ380" s="13"/>
      <c r="LR380" s="11"/>
      <c r="LS380" s="11"/>
      <c r="LT380" s="13"/>
      <c r="LU380" s="11"/>
      <c r="LV380" s="12"/>
      <c r="LW380" s="12"/>
    </row>
    <row r="381">
      <c r="A381" s="10" t="s">
        <v>227</v>
      </c>
      <c r="B381" s="10" t="s">
        <v>107</v>
      </c>
      <c r="C381" s="10" t="s">
        <v>224</v>
      </c>
      <c r="D381" s="11">
        <v>3562</v>
      </c>
      <c r="E381" s="11">
        <f>=ROUNDDOWN(15.9444941808415,0)</f>
      </c>
      <c r="F381" s="11">
        <v>4123</v>
      </c>
      <c r="G381" s="12">
        <v>0.9423</v>
      </c>
      <c r="H381" s="11"/>
      <c r="I381" s="11">
        <f>=ROUNDDOWN({0},0)</f>
      </c>
      <c r="J381" s="11">
        <v>350</v>
      </c>
      <c r="K381" s="12"/>
      <c r="L381" s="11">
        <v>2701</v>
      </c>
      <c r="M381" s="13">
        <v>395487.21</v>
      </c>
      <c r="N381" s="11">
        <v>19</v>
      </c>
      <c r="O381" s="14">
        <v>20815.12</v>
      </c>
      <c r="P381" s="11"/>
      <c r="Q381" s="13"/>
      <c r="R381" s="11"/>
      <c r="S381" s="14"/>
      <c r="T381" s="12"/>
      <c r="U381" s="12"/>
      <c r="V381" s="12"/>
      <c r="W381" s="12"/>
      <c r="X381" s="11">
        <v>372</v>
      </c>
      <c r="Y381" s="13">
        <v>34736.79</v>
      </c>
      <c r="Z381" s="11">
        <v>9</v>
      </c>
      <c r="AA381" s="11"/>
      <c r="AB381" s="13"/>
      <c r="AC381" s="11"/>
      <c r="AD381" s="12"/>
      <c r="AE381" s="12"/>
      <c r="AF381" s="11">
        <v>905</v>
      </c>
      <c r="AG381" s="13">
        <v>143668.2</v>
      </c>
      <c r="AH381" s="11">
        <v>19</v>
      </c>
      <c r="AI381" s="11"/>
      <c r="AJ381" s="13"/>
      <c r="AK381" s="11"/>
      <c r="AL381" s="12"/>
      <c r="AM381" s="12"/>
      <c r="AN381" s="11">
        <v>26</v>
      </c>
      <c r="AO381" s="13">
        <v>3163.92</v>
      </c>
      <c r="AP381" s="11">
        <v>15</v>
      </c>
      <c r="AQ381" s="11"/>
      <c r="AR381" s="13"/>
      <c r="AS381" s="11"/>
      <c r="AT381" s="12"/>
      <c r="AU381" s="12"/>
      <c r="AV381" s="11">
        <v>58</v>
      </c>
      <c r="AW381" s="13">
        <v>10210.79</v>
      </c>
      <c r="AX381" s="11">
        <v>9</v>
      </c>
      <c r="AY381" s="11"/>
      <c r="AZ381" s="13"/>
      <c r="BA381" s="11"/>
      <c r="BB381" s="12"/>
      <c r="BC381" s="12"/>
      <c r="BD381" s="11">
        <v>78</v>
      </c>
      <c r="BE381" s="13">
        <v>10487.44</v>
      </c>
      <c r="BF381" s="11">
        <v>13</v>
      </c>
      <c r="BG381" s="11"/>
      <c r="BH381" s="13"/>
      <c r="BI381" s="11"/>
      <c r="BJ381" s="12"/>
      <c r="BK381" s="12"/>
      <c r="BL381" s="11">
        <v>623</v>
      </c>
      <c r="BM381" s="13">
        <v>104163.03</v>
      </c>
      <c r="BN381" s="11">
        <v>19</v>
      </c>
      <c r="BO381" s="11"/>
      <c r="BP381" s="13"/>
      <c r="BQ381" s="11"/>
      <c r="BR381" s="12"/>
      <c r="BS381" s="12"/>
      <c r="BT381" s="11">
        <v>385</v>
      </c>
      <c r="BU381" s="13">
        <v>53330.96</v>
      </c>
      <c r="BV381" s="11">
        <v>17</v>
      </c>
      <c r="BW381" s="11"/>
      <c r="BX381" s="13"/>
      <c r="BY381" s="11"/>
      <c r="BZ381" s="12"/>
      <c r="CA381" s="12"/>
      <c r="CB381" s="11">
        <v>6</v>
      </c>
      <c r="CC381" s="13">
        <v>685.38</v>
      </c>
      <c r="CD381" s="11">
        <v>5</v>
      </c>
      <c r="CE381" s="11"/>
      <c r="CF381" s="13"/>
      <c r="CG381" s="11"/>
      <c r="CH381" s="12"/>
      <c r="CI381" s="12"/>
      <c r="CJ381" s="11"/>
      <c r="CK381" s="13"/>
      <c r="CL381" s="11">
        <v>16</v>
      </c>
      <c r="CM381" s="11"/>
      <c r="CN381" s="13"/>
      <c r="CO381" s="11"/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>
        <v>59</v>
      </c>
      <c r="DA381" s="13">
        <v>9461.83</v>
      </c>
      <c r="DB381" s="11">
        <v>9</v>
      </c>
      <c r="DC381" s="11"/>
      <c r="DD381" s="13"/>
      <c r="DE381" s="11"/>
      <c r="DF381" s="12"/>
      <c r="DG381" s="12"/>
      <c r="DH381" s="11">
        <v>31</v>
      </c>
      <c r="DI381" s="13">
        <v>2946.03</v>
      </c>
      <c r="DJ381" s="11">
        <v>4</v>
      </c>
      <c r="DK381" s="11"/>
      <c r="DL381" s="13"/>
      <c r="DM381" s="11"/>
      <c r="DN381" s="12"/>
      <c r="DO381" s="12"/>
      <c r="DP381" s="11">
        <v>1</v>
      </c>
      <c r="DQ381" s="13">
        <v>118.85</v>
      </c>
      <c r="DR381" s="11">
        <v>7</v>
      </c>
      <c r="DS381" s="11"/>
      <c r="DT381" s="13"/>
      <c r="DU381" s="11"/>
      <c r="DV381" s="12"/>
      <c r="DW381" s="12"/>
      <c r="DX381" s="11">
        <v>35</v>
      </c>
      <c r="DY381" s="13">
        <v>8330.75</v>
      </c>
      <c r="DZ381" s="11">
        <v>14</v>
      </c>
      <c r="EA381" s="11"/>
      <c r="EB381" s="13"/>
      <c r="EC381" s="11"/>
      <c r="ED381" s="12"/>
      <c r="EE381" s="12"/>
      <c r="EF381" s="11"/>
      <c r="EG381" s="13"/>
      <c r="EH381" s="11"/>
      <c r="EI381" s="11"/>
      <c r="EJ381" s="13"/>
      <c r="EK381" s="11"/>
      <c r="EL381" s="12"/>
      <c r="EM381" s="12"/>
      <c r="EN381" s="11">
        <v>1</v>
      </c>
      <c r="EO381" s="13">
        <v>149</v>
      </c>
      <c r="EP381" s="11">
        <v>19</v>
      </c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>
        <v>29</v>
      </c>
      <c r="FM381" s="13">
        <v>2938.89</v>
      </c>
      <c r="FN381" s="11">
        <v>4</v>
      </c>
      <c r="FO381" s="11"/>
      <c r="FP381" s="13"/>
      <c r="FQ381" s="11"/>
      <c r="FR381" s="12"/>
      <c r="FS381" s="12"/>
      <c r="FT381" s="11">
        <v>25</v>
      </c>
      <c r="FU381" s="13">
        <v>2719.31</v>
      </c>
      <c r="FV381" s="11">
        <v>13</v>
      </c>
      <c r="FW381" s="11"/>
      <c r="FX381" s="13"/>
      <c r="FY381" s="11"/>
      <c r="FZ381" s="12"/>
      <c r="GA381" s="12"/>
      <c r="GB381" s="11">
        <v>23</v>
      </c>
      <c r="GC381" s="13">
        <v>3625.89</v>
      </c>
      <c r="GD381" s="11">
        <v>11</v>
      </c>
      <c r="GE381" s="11"/>
      <c r="GF381" s="13"/>
      <c r="GG381" s="11"/>
      <c r="GH381" s="12"/>
      <c r="GI381" s="12"/>
      <c r="GJ381" s="11">
        <v>7</v>
      </c>
      <c r="GK381" s="13">
        <v>996.14</v>
      </c>
      <c r="GL381" s="11">
        <v>10</v>
      </c>
      <c r="GM381" s="11"/>
      <c r="GN381" s="13"/>
      <c r="GO381" s="11"/>
      <c r="GP381" s="12"/>
      <c r="GQ381" s="12"/>
      <c r="GR381" s="11">
        <v>19</v>
      </c>
      <c r="GS381" s="13">
        <v>2143.46</v>
      </c>
      <c r="GT381" s="11">
        <v>12</v>
      </c>
      <c r="GU381" s="11"/>
      <c r="GV381" s="13"/>
      <c r="GW381" s="11"/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>
        <v>18</v>
      </c>
      <c r="HY381" s="13">
        <v>1610.55</v>
      </c>
      <c r="HZ381" s="11">
        <v>6</v>
      </c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/>
      <c r="JR381" s="12"/>
      <c r="JS381" s="12"/>
      <c r="JT381" s="11"/>
      <c r="JU381" s="13"/>
      <c r="JV381" s="11">
        <v>2</v>
      </c>
      <c r="JW381" s="11"/>
      <c r="JX381" s="13"/>
      <c r="JY381" s="11"/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  <c r="LH381" s="11"/>
      <c r="LI381" s="13"/>
      <c r="LJ381" s="11"/>
      <c r="LK381" s="11"/>
      <c r="LL381" s="13"/>
      <c r="LM381" s="11"/>
      <c r="LN381" s="12"/>
      <c r="LO381" s="12"/>
      <c r="LP381" s="11"/>
      <c r="LQ381" s="13"/>
      <c r="LR381" s="11"/>
      <c r="LS381" s="11"/>
      <c r="LT381" s="13"/>
      <c r="LU381" s="11"/>
      <c r="LV381" s="12"/>
      <c r="LW381" s="12"/>
    </row>
    <row r="382">
      <c r="A382" s="10" t="s">
        <v>227</v>
      </c>
      <c r="B382" s="10" t="s">
        <v>107</v>
      </c>
      <c r="C382" s="10" t="s">
        <v>225</v>
      </c>
      <c r="D382" s="11"/>
      <c r="E382" s="11">
        <f>=ROUNDDOWN({0},0)</f>
      </c>
      <c r="F382" s="11"/>
      <c r="G382" s="12"/>
      <c r="H382" s="11"/>
      <c r="I382" s="11">
        <f>=ROUNDDOWN({0},0)</f>
      </c>
      <c r="J382" s="11"/>
      <c r="K382" s="12"/>
      <c r="L382" s="11">
        <v>71</v>
      </c>
      <c r="M382" s="13">
        <v>4183.39</v>
      </c>
      <c r="N382" s="11">
        <v>1</v>
      </c>
      <c r="O382" s="14">
        <v>4183.39</v>
      </c>
      <c r="P382" s="11"/>
      <c r="Q382" s="13"/>
      <c r="R382" s="11"/>
      <c r="S382" s="14"/>
      <c r="T382" s="12"/>
      <c r="U382" s="12"/>
      <c r="V382" s="12"/>
      <c r="W382" s="12"/>
      <c r="X382" s="11"/>
      <c r="Y382" s="13"/>
      <c r="Z382" s="11"/>
      <c r="AA382" s="11"/>
      <c r="AB382" s="13"/>
      <c r="AC382" s="11"/>
      <c r="AD382" s="12"/>
      <c r="AE382" s="12"/>
      <c r="AF382" s="11">
        <v>53</v>
      </c>
      <c r="AG382" s="13">
        <v>2937.2</v>
      </c>
      <c r="AH382" s="11">
        <v>1</v>
      </c>
      <c r="AI382" s="11"/>
      <c r="AJ382" s="13"/>
      <c r="AK382" s="11"/>
      <c r="AL382" s="12"/>
      <c r="AM382" s="12"/>
      <c r="AN382" s="11">
        <v>1</v>
      </c>
      <c r="AO382" s="13">
        <v>65.29</v>
      </c>
      <c r="AP382" s="11">
        <v>1</v>
      </c>
      <c r="AQ382" s="11"/>
      <c r="AR382" s="13"/>
      <c r="AS382" s="11"/>
      <c r="AT382" s="12"/>
      <c r="AU382" s="12"/>
      <c r="AV382" s="11">
        <v>9</v>
      </c>
      <c r="AW382" s="13">
        <v>687.69</v>
      </c>
      <c r="AX382" s="11">
        <v>1</v>
      </c>
      <c r="AY382" s="11"/>
      <c r="AZ382" s="13"/>
      <c r="BA382" s="11"/>
      <c r="BB382" s="12"/>
      <c r="BC382" s="12"/>
      <c r="BD382" s="11">
        <v>2</v>
      </c>
      <c r="BE382" s="13">
        <v>104.24</v>
      </c>
      <c r="BF382" s="11">
        <v>1</v>
      </c>
      <c r="BG382" s="11"/>
      <c r="BH382" s="13"/>
      <c r="BI382" s="11"/>
      <c r="BJ382" s="12"/>
      <c r="BK382" s="12"/>
      <c r="BL382" s="11"/>
      <c r="BM382" s="13"/>
      <c r="BN382" s="11">
        <v>1</v>
      </c>
      <c r="BO382" s="11"/>
      <c r="BP382" s="13"/>
      <c r="BQ382" s="11"/>
      <c r="BR382" s="12"/>
      <c r="BS382" s="12"/>
      <c r="BT382" s="11">
        <v>6</v>
      </c>
      <c r="BU382" s="13">
        <v>388.97</v>
      </c>
      <c r="BV382" s="11">
        <v>1</v>
      </c>
      <c r="BW382" s="11"/>
      <c r="BX382" s="13"/>
      <c r="BY382" s="11"/>
      <c r="BZ382" s="12"/>
      <c r="CA382" s="12"/>
      <c r="CB382" s="11"/>
      <c r="CC382" s="13"/>
      <c r="CD382" s="11"/>
      <c r="CE382" s="11"/>
      <c r="CF382" s="13"/>
      <c r="CG382" s="11"/>
      <c r="CH382" s="12"/>
      <c r="CI382" s="12"/>
      <c r="CJ382" s="11"/>
      <c r="CK382" s="13"/>
      <c r="CL382" s="11">
        <v>1</v>
      </c>
      <c r="CM382" s="11"/>
      <c r="CN382" s="13"/>
      <c r="CO382" s="11"/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/>
      <c r="DA382" s="13"/>
      <c r="DB382" s="11"/>
      <c r="DC382" s="11"/>
      <c r="DD382" s="13"/>
      <c r="DE382" s="11"/>
      <c r="DF382" s="12"/>
      <c r="DG382" s="12"/>
      <c r="DH382" s="11"/>
      <c r="DI382" s="13"/>
      <c r="DJ382" s="11">
        <v>1</v>
      </c>
      <c r="DK382" s="11"/>
      <c r="DL382" s="13"/>
      <c r="DM382" s="11"/>
      <c r="DN382" s="12"/>
      <c r="DO382" s="12"/>
      <c r="DP382" s="11"/>
      <c r="DQ382" s="13"/>
      <c r="DR382" s="11">
        <v>1</v>
      </c>
      <c r="DS382" s="11"/>
      <c r="DT382" s="13"/>
      <c r="DU382" s="11"/>
      <c r="DV382" s="12"/>
      <c r="DW382" s="12"/>
      <c r="DX382" s="11"/>
      <c r="DY382" s="13"/>
      <c r="DZ382" s="11">
        <v>1</v>
      </c>
      <c r="EA382" s="11"/>
      <c r="EB382" s="13"/>
      <c r="EC382" s="11"/>
      <c r="ED382" s="12"/>
      <c r="EE382" s="12"/>
      <c r="EF382" s="11"/>
      <c r="EG382" s="13"/>
      <c r="EH382" s="11"/>
      <c r="EI382" s="11"/>
      <c r="EJ382" s="13"/>
      <c r="EK382" s="11"/>
      <c r="EL382" s="12"/>
      <c r="EM382" s="12"/>
      <c r="EN382" s="11"/>
      <c r="EO382" s="13"/>
      <c r="EP382" s="11">
        <v>1</v>
      </c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/>
      <c r="FE382" s="13"/>
      <c r="FF382" s="11"/>
      <c r="FG382" s="11"/>
      <c r="FH382" s="13"/>
      <c r="FI382" s="11"/>
      <c r="FJ382" s="12"/>
      <c r="FK382" s="12"/>
      <c r="FL382" s="11"/>
      <c r="FM382" s="13"/>
      <c r="FN382" s="11">
        <v>1</v>
      </c>
      <c r="FO382" s="11"/>
      <c r="FP382" s="13"/>
      <c r="FQ382" s="11"/>
      <c r="FR382" s="12"/>
      <c r="FS382" s="12"/>
      <c r="FT382" s="11"/>
      <c r="FU382" s="13"/>
      <c r="FV382" s="11">
        <v>1</v>
      </c>
      <c r="FW382" s="11"/>
      <c r="FX382" s="13"/>
      <c r="FY382" s="11"/>
      <c r="FZ382" s="12"/>
      <c r="GA382" s="12"/>
      <c r="GB382" s="11"/>
      <c r="GC382" s="13"/>
      <c r="GD382" s="11"/>
      <c r="GE382" s="11"/>
      <c r="GF382" s="13"/>
      <c r="GG382" s="11"/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/>
      <c r="GS382" s="13"/>
      <c r="GT382" s="11">
        <v>1</v>
      </c>
      <c r="GU382" s="11"/>
      <c r="GV382" s="13"/>
      <c r="GW382" s="11"/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  <c r="LH382" s="11"/>
      <c r="LI382" s="13"/>
      <c r="LJ382" s="11"/>
      <c r="LK382" s="11"/>
      <c r="LL382" s="13"/>
      <c r="LM382" s="11"/>
      <c r="LN382" s="12"/>
      <c r="LO382" s="12"/>
      <c r="LP382" s="11"/>
      <c r="LQ382" s="13"/>
      <c r="LR382" s="11"/>
      <c r="LS382" s="11"/>
      <c r="LT382" s="13"/>
      <c r="LU382" s="11"/>
      <c r="LV382" s="12"/>
      <c r="LW382" s="12"/>
    </row>
    <row r="383">
      <c r="A383" s="10" t="s">
        <v>227</v>
      </c>
      <c r="B383" s="10" t="s">
        <v>107</v>
      </c>
      <c r="C383" s="10" t="s">
        <v>235</v>
      </c>
      <c r="D383" s="11">
        <v>761</v>
      </c>
      <c r="E383" s="11">
        <f>=ROUNDDOWN(149.21568627451,0)</f>
      </c>
      <c r="F383" s="11">
        <v>50</v>
      </c>
      <c r="G383" s="12">
        <v>0.9958</v>
      </c>
      <c r="H383" s="11"/>
      <c r="I383" s="11">
        <f>=ROUNDDOWN({0},0)</f>
      </c>
      <c r="J383" s="11"/>
      <c r="K383" s="12"/>
      <c r="L383" s="11">
        <v>85</v>
      </c>
      <c r="M383" s="13">
        <v>17551.11</v>
      </c>
      <c r="N383" s="11">
        <v>6</v>
      </c>
      <c r="O383" s="14">
        <v>2925.18</v>
      </c>
      <c r="P383" s="11"/>
      <c r="Q383" s="13"/>
      <c r="R383" s="11"/>
      <c r="S383" s="14"/>
      <c r="T383" s="12"/>
      <c r="U383" s="12"/>
      <c r="V383" s="12"/>
      <c r="W383" s="12"/>
      <c r="X383" s="11"/>
      <c r="Y383" s="13"/>
      <c r="Z383" s="11"/>
      <c r="AA383" s="11"/>
      <c r="AB383" s="13"/>
      <c r="AC383" s="11"/>
      <c r="AD383" s="12"/>
      <c r="AE383" s="12"/>
      <c r="AF383" s="11">
        <v>2</v>
      </c>
      <c r="AG383" s="13">
        <v>167.02</v>
      </c>
      <c r="AH383" s="11">
        <v>6</v>
      </c>
      <c r="AI383" s="11"/>
      <c r="AJ383" s="13"/>
      <c r="AK383" s="11"/>
      <c r="AL383" s="12"/>
      <c r="AM383" s="12"/>
      <c r="AN383" s="11">
        <v>1</v>
      </c>
      <c r="AO383" s="13">
        <v>133.5</v>
      </c>
      <c r="AP383" s="11">
        <v>6</v>
      </c>
      <c r="AQ383" s="11"/>
      <c r="AR383" s="13"/>
      <c r="AS383" s="11"/>
      <c r="AT383" s="12"/>
      <c r="AU383" s="12"/>
      <c r="AV383" s="11"/>
      <c r="AW383" s="13"/>
      <c r="AX383" s="11">
        <v>6</v>
      </c>
      <c r="AY383" s="11"/>
      <c r="AZ383" s="13"/>
      <c r="BA383" s="11"/>
      <c r="BB383" s="12"/>
      <c r="BC383" s="12"/>
      <c r="BD383" s="11"/>
      <c r="BE383" s="13"/>
      <c r="BF383" s="11">
        <v>3</v>
      </c>
      <c r="BG383" s="11"/>
      <c r="BH383" s="13"/>
      <c r="BI383" s="11"/>
      <c r="BJ383" s="12"/>
      <c r="BK383" s="12"/>
      <c r="BL383" s="11">
        <v>1</v>
      </c>
      <c r="BM383" s="13">
        <v>682.63</v>
      </c>
      <c r="BN383" s="11">
        <v>6</v>
      </c>
      <c r="BO383" s="11"/>
      <c r="BP383" s="13"/>
      <c r="BQ383" s="11"/>
      <c r="BR383" s="12"/>
      <c r="BS383" s="12"/>
      <c r="BT383" s="11">
        <v>72</v>
      </c>
      <c r="BU383" s="13">
        <v>14945.62</v>
      </c>
      <c r="BV383" s="11">
        <v>6</v>
      </c>
      <c r="BW383" s="11"/>
      <c r="BX383" s="13"/>
      <c r="BY383" s="11"/>
      <c r="BZ383" s="12"/>
      <c r="CA383" s="12"/>
      <c r="CB383" s="11"/>
      <c r="CC383" s="13"/>
      <c r="CD383" s="11"/>
      <c r="CE383" s="11"/>
      <c r="CF383" s="13"/>
      <c r="CG383" s="11"/>
      <c r="CH383" s="12"/>
      <c r="CI383" s="12"/>
      <c r="CJ383" s="11"/>
      <c r="CK383" s="13"/>
      <c r="CL383" s="11">
        <v>3</v>
      </c>
      <c r="CM383" s="11"/>
      <c r="CN383" s="13"/>
      <c r="CO383" s="11"/>
      <c r="CP383" s="12"/>
      <c r="CQ383" s="12"/>
      <c r="CR383" s="11"/>
      <c r="CS383" s="13"/>
      <c r="CT383" s="11"/>
      <c r="CU383" s="11"/>
      <c r="CV383" s="13"/>
      <c r="CW383" s="11"/>
      <c r="CX383" s="12"/>
      <c r="CY383" s="12"/>
      <c r="CZ383" s="11">
        <v>9</v>
      </c>
      <c r="DA383" s="13">
        <v>1622.34</v>
      </c>
      <c r="DB383" s="11">
        <v>3</v>
      </c>
      <c r="DC383" s="11"/>
      <c r="DD383" s="13"/>
      <c r="DE383" s="11"/>
      <c r="DF383" s="12"/>
      <c r="DG383" s="12"/>
      <c r="DH383" s="11"/>
      <c r="DI383" s="13"/>
      <c r="DJ383" s="11"/>
      <c r="DK383" s="11"/>
      <c r="DL383" s="13"/>
      <c r="DM383" s="11"/>
      <c r="DN383" s="12"/>
      <c r="DO383" s="12"/>
      <c r="DP383" s="11"/>
      <c r="DQ383" s="13"/>
      <c r="DR383" s="11"/>
      <c r="DS383" s="11"/>
      <c r="DT383" s="13"/>
      <c r="DU383" s="11"/>
      <c r="DV383" s="12"/>
      <c r="DW383" s="12"/>
      <c r="DX383" s="11"/>
      <c r="DY383" s="13"/>
      <c r="DZ383" s="11">
        <v>6</v>
      </c>
      <c r="EA383" s="11"/>
      <c r="EB383" s="13"/>
      <c r="EC383" s="11"/>
      <c r="ED383" s="12"/>
      <c r="EE383" s="12"/>
      <c r="EF383" s="11"/>
      <c r="EG383" s="13"/>
      <c r="EH383" s="11"/>
      <c r="EI383" s="11"/>
      <c r="EJ383" s="13"/>
      <c r="EK383" s="11"/>
      <c r="EL383" s="12"/>
      <c r="EM383" s="12"/>
      <c r="EN383" s="11"/>
      <c r="EO383" s="13"/>
      <c r="EP383" s="11">
        <v>6</v>
      </c>
      <c r="EQ383" s="11"/>
      <c r="ER383" s="13"/>
      <c r="ES383" s="11"/>
      <c r="ET383" s="12"/>
      <c r="EU383" s="12"/>
      <c r="EV383" s="11"/>
      <c r="EW383" s="13"/>
      <c r="EX383" s="11"/>
      <c r="EY383" s="11"/>
      <c r="EZ383" s="13"/>
      <c r="FA383" s="11"/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/>
      <c r="FW383" s="11"/>
      <c r="FX383" s="13"/>
      <c r="FY383" s="11"/>
      <c r="FZ383" s="12"/>
      <c r="GA383" s="12"/>
      <c r="GB383" s="11"/>
      <c r="GC383" s="13"/>
      <c r="GD383" s="11">
        <v>1</v>
      </c>
      <c r="GE383" s="11"/>
      <c r="GF383" s="13"/>
      <c r="GG383" s="11"/>
      <c r="GH383" s="12"/>
      <c r="GI383" s="12"/>
      <c r="GJ383" s="11"/>
      <c r="GK383" s="13"/>
      <c r="GL383" s="11">
        <v>6</v>
      </c>
      <c r="GM383" s="11"/>
      <c r="GN383" s="13"/>
      <c r="GO383" s="11"/>
      <c r="GP383" s="12"/>
      <c r="GQ383" s="12"/>
      <c r="GR383" s="11"/>
      <c r="GS383" s="13"/>
      <c r="GT383" s="11">
        <v>6</v>
      </c>
      <c r="GU383" s="11"/>
      <c r="GV383" s="13"/>
      <c r="GW383" s="11"/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/>
      <c r="JO383" s="11"/>
      <c r="JP383" s="13"/>
      <c r="JQ383" s="11"/>
      <c r="JR383" s="12"/>
      <c r="JS383" s="12"/>
      <c r="JT383" s="11"/>
      <c r="JU383" s="13"/>
      <c r="JV383" s="11"/>
      <c r="JW383" s="11"/>
      <c r="JX383" s="13"/>
      <c r="JY383" s="11"/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/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  <c r="LH383" s="11"/>
      <c r="LI383" s="13"/>
      <c r="LJ383" s="11"/>
      <c r="LK383" s="11"/>
      <c r="LL383" s="13"/>
      <c r="LM383" s="11"/>
      <c r="LN383" s="12"/>
      <c r="LO383" s="12"/>
      <c r="LP383" s="11"/>
      <c r="LQ383" s="13"/>
      <c r="LR383" s="11"/>
      <c r="LS383" s="11"/>
      <c r="LT383" s="13"/>
      <c r="LU383" s="11"/>
      <c r="LV383" s="12"/>
      <c r="LW383" s="12"/>
    </row>
    <row r="384">
      <c r="A384" s="10" t="s">
        <v>227</v>
      </c>
      <c r="B384" s="10" t="s">
        <v>108</v>
      </c>
      <c r="C384" s="10" t="s">
        <v>77</v>
      </c>
      <c r="D384" s="11">
        <v>27226</v>
      </c>
      <c r="E384" s="11">
        <f>=ROUNDDOWN({0},0)</f>
      </c>
      <c r="F384" s="11">
        <v>15950</v>
      </c>
      <c r="G384" s="12"/>
      <c r="H384" s="11"/>
      <c r="I384" s="11">
        <f>=ROUNDDOWN({0},0)</f>
      </c>
      <c r="J384" s="11">
        <v>2753</v>
      </c>
      <c r="K384" s="12"/>
      <c r="L384" s="11">
        <v>14259</v>
      </c>
      <c r="M384" s="13">
        <v>2366705.16</v>
      </c>
      <c r="N384" s="11">
        <v>167</v>
      </c>
      <c r="O384" s="14">
        <v>14171.89</v>
      </c>
      <c r="P384" s="11"/>
      <c r="Q384" s="13"/>
      <c r="R384" s="11"/>
      <c r="S384" s="14"/>
      <c r="T384" s="12"/>
      <c r="U384" s="12"/>
      <c r="V384" s="12"/>
      <c r="W384" s="12"/>
      <c r="X384" s="11">
        <v>518</v>
      </c>
      <c r="Y384" s="13">
        <v>57338.51</v>
      </c>
      <c r="Z384" s="11">
        <v>43</v>
      </c>
      <c r="AA384" s="11"/>
      <c r="AB384" s="13"/>
      <c r="AC384" s="11"/>
      <c r="AD384" s="12"/>
      <c r="AE384" s="12"/>
      <c r="AF384" s="11">
        <v>5955</v>
      </c>
      <c r="AG384" s="13">
        <v>916366.7</v>
      </c>
      <c r="AH384" s="11">
        <v>165</v>
      </c>
      <c r="AI384" s="11"/>
      <c r="AJ384" s="13"/>
      <c r="AK384" s="11"/>
      <c r="AL384" s="12"/>
      <c r="AM384" s="12"/>
      <c r="AN384" s="11">
        <v>279</v>
      </c>
      <c r="AO384" s="13">
        <v>43792.22</v>
      </c>
      <c r="AP384" s="11">
        <v>157</v>
      </c>
      <c r="AQ384" s="11"/>
      <c r="AR384" s="13"/>
      <c r="AS384" s="11"/>
      <c r="AT384" s="12"/>
      <c r="AU384" s="12"/>
      <c r="AV384" s="11">
        <v>342</v>
      </c>
      <c r="AW384" s="13">
        <v>63731.37</v>
      </c>
      <c r="AX384" s="11">
        <v>121</v>
      </c>
      <c r="AY384" s="11"/>
      <c r="AZ384" s="13"/>
      <c r="BA384" s="11"/>
      <c r="BB384" s="12"/>
      <c r="BC384" s="12"/>
      <c r="BD384" s="11">
        <v>713</v>
      </c>
      <c r="BE384" s="13">
        <v>110148.67</v>
      </c>
      <c r="BF384" s="11">
        <v>127</v>
      </c>
      <c r="BG384" s="11"/>
      <c r="BH384" s="13"/>
      <c r="BI384" s="11"/>
      <c r="BJ384" s="12"/>
      <c r="BK384" s="12"/>
      <c r="BL384" s="11">
        <v>2093</v>
      </c>
      <c r="BM384" s="13">
        <v>397132.45</v>
      </c>
      <c r="BN384" s="11">
        <v>161</v>
      </c>
      <c r="BO384" s="11"/>
      <c r="BP384" s="13"/>
      <c r="BQ384" s="11"/>
      <c r="BR384" s="12"/>
      <c r="BS384" s="12"/>
      <c r="BT384" s="11">
        <v>2101</v>
      </c>
      <c r="BU384" s="13">
        <v>382035.97</v>
      </c>
      <c r="BV384" s="11">
        <v>162</v>
      </c>
      <c r="BW384" s="11"/>
      <c r="BX384" s="13"/>
      <c r="BY384" s="11"/>
      <c r="BZ384" s="12"/>
      <c r="CA384" s="12"/>
      <c r="CB384" s="11">
        <v>18</v>
      </c>
      <c r="CC384" s="13">
        <v>2824.24</v>
      </c>
      <c r="CD384" s="11">
        <v>64</v>
      </c>
      <c r="CE384" s="11"/>
      <c r="CF384" s="13"/>
      <c r="CG384" s="11"/>
      <c r="CH384" s="12"/>
      <c r="CI384" s="12"/>
      <c r="CJ384" s="11">
        <v>8</v>
      </c>
      <c r="CK384" s="13">
        <v>3015.92</v>
      </c>
      <c r="CL384" s="11">
        <v>147</v>
      </c>
      <c r="CM384" s="11"/>
      <c r="CN384" s="13"/>
      <c r="CO384" s="11"/>
      <c r="CP384" s="12"/>
      <c r="CQ384" s="12"/>
      <c r="CR384" s="11"/>
      <c r="CS384" s="13"/>
      <c r="CT384" s="11"/>
      <c r="CU384" s="11"/>
      <c r="CV384" s="13"/>
      <c r="CW384" s="11"/>
      <c r="CX384" s="12"/>
      <c r="CY384" s="12"/>
      <c r="CZ384" s="11">
        <v>366</v>
      </c>
      <c r="DA384" s="13">
        <v>65052.63</v>
      </c>
      <c r="DB384" s="11">
        <v>71</v>
      </c>
      <c r="DC384" s="11"/>
      <c r="DD384" s="13"/>
      <c r="DE384" s="11"/>
      <c r="DF384" s="12"/>
      <c r="DG384" s="12"/>
      <c r="DH384" s="11">
        <v>817</v>
      </c>
      <c r="DI384" s="13">
        <v>153164.65</v>
      </c>
      <c r="DJ384" s="11">
        <v>43</v>
      </c>
      <c r="DK384" s="11"/>
      <c r="DL384" s="13"/>
      <c r="DM384" s="11"/>
      <c r="DN384" s="12"/>
      <c r="DO384" s="12"/>
      <c r="DP384" s="11">
        <v>7</v>
      </c>
      <c r="DQ384" s="13">
        <v>1265.37</v>
      </c>
      <c r="DR384" s="11">
        <v>62</v>
      </c>
      <c r="DS384" s="11"/>
      <c r="DT384" s="13"/>
      <c r="DU384" s="11"/>
      <c r="DV384" s="12"/>
      <c r="DW384" s="12"/>
      <c r="DX384" s="11">
        <v>375</v>
      </c>
      <c r="DY384" s="13">
        <v>78052.26</v>
      </c>
      <c r="DZ384" s="11">
        <v>137</v>
      </c>
      <c r="EA384" s="11"/>
      <c r="EB384" s="13"/>
      <c r="EC384" s="11"/>
      <c r="ED384" s="12"/>
      <c r="EE384" s="12"/>
      <c r="EF384" s="11"/>
      <c r="EG384" s="13"/>
      <c r="EH384" s="11"/>
      <c r="EI384" s="11"/>
      <c r="EJ384" s="13"/>
      <c r="EK384" s="11"/>
      <c r="EL384" s="12"/>
      <c r="EM384" s="12"/>
      <c r="EN384" s="11">
        <v>9</v>
      </c>
      <c r="EO384" s="13">
        <v>1294</v>
      </c>
      <c r="EP384" s="11">
        <v>155</v>
      </c>
      <c r="EQ384" s="11"/>
      <c r="ER384" s="13"/>
      <c r="ES384" s="11"/>
      <c r="ET384" s="12"/>
      <c r="EU384" s="12"/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>
        <v>158</v>
      </c>
      <c r="FM384" s="13">
        <v>16561.5</v>
      </c>
      <c r="FN384" s="11">
        <v>73</v>
      </c>
      <c r="FO384" s="11"/>
      <c r="FP384" s="13"/>
      <c r="FQ384" s="11"/>
      <c r="FR384" s="12"/>
      <c r="FS384" s="12"/>
      <c r="FT384" s="11">
        <v>124</v>
      </c>
      <c r="FU384" s="13">
        <v>16897.88</v>
      </c>
      <c r="FV384" s="11">
        <v>89</v>
      </c>
      <c r="FW384" s="11"/>
      <c r="FX384" s="13"/>
      <c r="FY384" s="11"/>
      <c r="FZ384" s="12"/>
      <c r="GA384" s="12"/>
      <c r="GB384" s="11">
        <v>94</v>
      </c>
      <c r="GC384" s="13">
        <v>17565.08</v>
      </c>
      <c r="GD384" s="11">
        <v>82</v>
      </c>
      <c r="GE384" s="11"/>
      <c r="GF384" s="13"/>
      <c r="GG384" s="11"/>
      <c r="GH384" s="12"/>
      <c r="GI384" s="12"/>
      <c r="GJ384" s="11">
        <v>146</v>
      </c>
      <c r="GK384" s="13">
        <v>19065.36</v>
      </c>
      <c r="GL384" s="11">
        <v>118</v>
      </c>
      <c r="GM384" s="11"/>
      <c r="GN384" s="13"/>
      <c r="GO384" s="11"/>
      <c r="GP384" s="12"/>
      <c r="GQ384" s="12"/>
      <c r="GR384" s="11">
        <v>116</v>
      </c>
      <c r="GS384" s="13">
        <v>19450.67</v>
      </c>
      <c r="GT384" s="11">
        <v>117</v>
      </c>
      <c r="GU384" s="11"/>
      <c r="GV384" s="13"/>
      <c r="GW384" s="11"/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>
        <v>20</v>
      </c>
      <c r="HY384" s="13">
        <v>1949.71</v>
      </c>
      <c r="HZ384" s="11">
        <v>12</v>
      </c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/>
      <c r="JR384" s="12"/>
      <c r="JS384" s="12"/>
      <c r="JT384" s="11"/>
      <c r="JU384" s="13"/>
      <c r="JV384" s="11">
        <v>14</v>
      </c>
      <c r="JW384" s="11"/>
      <c r="JX384" s="13"/>
      <c r="JY384" s="11"/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  <c r="LH384" s="11"/>
      <c r="LI384" s="13"/>
      <c r="LJ384" s="11"/>
      <c r="LK384" s="11"/>
      <c r="LL384" s="13"/>
      <c r="LM384" s="11"/>
      <c r="LN384" s="12"/>
      <c r="LO384" s="12"/>
      <c r="LP384" s="11"/>
      <c r="LQ384" s="13"/>
      <c r="LR384" s="11"/>
      <c r="LS384" s="11"/>
      <c r="LT384" s="13"/>
      <c r="LU384" s="11"/>
      <c r="LV384" s="12"/>
      <c r="LW384" s="12"/>
    </row>
    <row r="385">
      <c r="A385" s="10" t="s">
        <v>227</v>
      </c>
      <c r="B385" s="10" t="s">
        <v>236</v>
      </c>
      <c r="C385" s="10" t="s">
        <v>218</v>
      </c>
      <c r="D385" s="11">
        <v>316</v>
      </c>
      <c r="E385" s="11">
        <f>=ROUNDDOWN(45.1428571428571,0)</f>
      </c>
      <c r="F385" s="11"/>
      <c r="G385" s="12">
        <v>1</v>
      </c>
      <c r="H385" s="11"/>
      <c r="I385" s="11">
        <f>=ROUNDDOWN({0},0)</f>
      </c>
      <c r="J385" s="11"/>
      <c r="K385" s="12"/>
      <c r="L385" s="11">
        <v>151</v>
      </c>
      <c r="M385" s="13">
        <v>17250.24</v>
      </c>
      <c r="N385" s="11"/>
      <c r="O385" s="14"/>
      <c r="P385" s="11"/>
      <c r="Q385" s="13"/>
      <c r="R385" s="11"/>
      <c r="S385" s="14"/>
      <c r="T385" s="12"/>
      <c r="U385" s="12"/>
      <c r="V385" s="12"/>
      <c r="W385" s="12"/>
      <c r="X385" s="11"/>
      <c r="Y385" s="13"/>
      <c r="Z385" s="11"/>
      <c r="AA385" s="11"/>
      <c r="AB385" s="13"/>
      <c r="AC385" s="11"/>
      <c r="AD385" s="12"/>
      <c r="AE385" s="12"/>
      <c r="AF385" s="11"/>
      <c r="AG385" s="13"/>
      <c r="AH385" s="11"/>
      <c r="AI385" s="11"/>
      <c r="AJ385" s="13"/>
      <c r="AK385" s="11"/>
      <c r="AL385" s="12"/>
      <c r="AM385" s="12"/>
      <c r="AN385" s="11"/>
      <c r="AO385" s="13"/>
      <c r="AP385" s="11"/>
      <c r="AQ385" s="11"/>
      <c r="AR385" s="13"/>
      <c r="AS385" s="11"/>
      <c r="AT385" s="12"/>
      <c r="AU385" s="12"/>
      <c r="AV385" s="11">
        <v>151</v>
      </c>
      <c r="AW385" s="13">
        <v>17250.24</v>
      </c>
      <c r="AX385" s="11"/>
      <c r="AY385" s="11"/>
      <c r="AZ385" s="13"/>
      <c r="BA385" s="11"/>
      <c r="BB385" s="12"/>
      <c r="BC385" s="12"/>
      <c r="BD385" s="11"/>
      <c r="BE385" s="13"/>
      <c r="BF385" s="11"/>
      <c r="BG385" s="11"/>
      <c r="BH385" s="13"/>
      <c r="BI385" s="11"/>
      <c r="BJ385" s="12"/>
      <c r="BK385" s="12"/>
      <c r="BL385" s="11"/>
      <c r="BM385" s="13"/>
      <c r="BN385" s="11"/>
      <c r="BO385" s="11"/>
      <c r="BP385" s="13"/>
      <c r="BQ385" s="11"/>
      <c r="BR385" s="12"/>
      <c r="BS385" s="12"/>
      <c r="BT385" s="11"/>
      <c r="BU385" s="13"/>
      <c r="BV385" s="11"/>
      <c r="BW385" s="11"/>
      <c r="BX385" s="13"/>
      <c r="BY385" s="11"/>
      <c r="BZ385" s="12"/>
      <c r="CA385" s="12"/>
      <c r="CB385" s="11"/>
      <c r="CC385" s="13"/>
      <c r="CD385" s="11"/>
      <c r="CE385" s="11"/>
      <c r="CF385" s="13"/>
      <c r="CG385" s="11"/>
      <c r="CH385" s="12"/>
      <c r="CI385" s="12"/>
      <c r="CJ385" s="11"/>
      <c r="CK385" s="13"/>
      <c r="CL385" s="11"/>
      <c r="CM385" s="11"/>
      <c r="CN385" s="13"/>
      <c r="CO385" s="11"/>
      <c r="CP385" s="12"/>
      <c r="CQ385" s="12"/>
      <c r="CR385" s="11"/>
      <c r="CS385" s="13"/>
      <c r="CT385" s="11"/>
      <c r="CU385" s="11"/>
      <c r="CV385" s="13"/>
      <c r="CW385" s="11"/>
      <c r="CX385" s="12"/>
      <c r="CY385" s="12"/>
      <c r="CZ385" s="11"/>
      <c r="DA385" s="13"/>
      <c r="DB385" s="11"/>
      <c r="DC385" s="11"/>
      <c r="DD385" s="13"/>
      <c r="DE385" s="11"/>
      <c r="DF385" s="12"/>
      <c r="DG385" s="12"/>
      <c r="DH385" s="11"/>
      <c r="DI385" s="13"/>
      <c r="DJ385" s="11"/>
      <c r="DK385" s="11"/>
      <c r="DL385" s="13"/>
      <c r="DM385" s="11"/>
      <c r="DN385" s="12"/>
      <c r="DO385" s="12"/>
      <c r="DP385" s="11"/>
      <c r="DQ385" s="13"/>
      <c r="DR385" s="11"/>
      <c r="DS385" s="11"/>
      <c r="DT385" s="13"/>
      <c r="DU385" s="11"/>
      <c r="DV385" s="12"/>
      <c r="DW385" s="12"/>
      <c r="DX385" s="11"/>
      <c r="DY385" s="13"/>
      <c r="DZ385" s="11"/>
      <c r="EA385" s="11"/>
      <c r="EB385" s="13"/>
      <c r="EC385" s="11"/>
      <c r="ED385" s="12"/>
      <c r="EE385" s="12"/>
      <c r="EF385" s="11"/>
      <c r="EG385" s="13"/>
      <c r="EH385" s="11"/>
      <c r="EI385" s="11"/>
      <c r="EJ385" s="13"/>
      <c r="EK385" s="11"/>
      <c r="EL385" s="12"/>
      <c r="EM385" s="12"/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/>
      <c r="FE385" s="13"/>
      <c r="FF385" s="11"/>
      <c r="FG385" s="11"/>
      <c r="FH385" s="13"/>
      <c r="FI385" s="11"/>
      <c r="FJ385" s="12"/>
      <c r="FK385" s="12"/>
      <c r="FL385" s="11"/>
      <c r="FM385" s="13"/>
      <c r="FN385" s="11"/>
      <c r="FO385" s="11"/>
      <c r="FP385" s="13"/>
      <c r="FQ385" s="11"/>
      <c r="FR385" s="12"/>
      <c r="FS385" s="12"/>
      <c r="FT385" s="11"/>
      <c r="FU385" s="13"/>
      <c r="FV385" s="11"/>
      <c r="FW385" s="11"/>
      <c r="FX385" s="13"/>
      <c r="FY385" s="11"/>
      <c r="FZ385" s="12"/>
      <c r="GA385" s="12"/>
      <c r="GB385" s="11"/>
      <c r="GC385" s="13"/>
      <c r="GD385" s="11"/>
      <c r="GE385" s="11"/>
      <c r="GF385" s="13"/>
      <c r="GG385" s="11"/>
      <c r="GH385" s="12"/>
      <c r="GI385" s="12"/>
      <c r="GJ385" s="11"/>
      <c r="GK385" s="13"/>
      <c r="GL385" s="11"/>
      <c r="GM385" s="11"/>
      <c r="GN385" s="13"/>
      <c r="GO385" s="11"/>
      <c r="GP385" s="12"/>
      <c r="GQ385" s="12"/>
      <c r="GR385" s="11"/>
      <c r="GS385" s="13"/>
      <c r="GT385" s="11"/>
      <c r="GU385" s="11"/>
      <c r="GV385" s="13"/>
      <c r="GW385" s="11"/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/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/>
      <c r="JR385" s="12"/>
      <c r="JS385" s="12"/>
      <c r="JT385" s="11"/>
      <c r="JU385" s="13"/>
      <c r="JV385" s="11"/>
      <c r="JW385" s="11"/>
      <c r="JX385" s="13"/>
      <c r="JY385" s="11"/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/>
      <c r="KM385" s="11"/>
      <c r="KN385" s="13"/>
      <c r="KO385" s="11"/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  <c r="LH385" s="11"/>
      <c r="LI385" s="13"/>
      <c r="LJ385" s="11"/>
      <c r="LK385" s="11"/>
      <c r="LL385" s="13"/>
      <c r="LM385" s="11"/>
      <c r="LN385" s="12"/>
      <c r="LO385" s="12"/>
      <c r="LP385" s="11"/>
      <c r="LQ385" s="13"/>
      <c r="LR385" s="11"/>
      <c r="LS385" s="11"/>
      <c r="LT385" s="13"/>
      <c r="LU385" s="11"/>
      <c r="LV385" s="12"/>
      <c r="LW385" s="12"/>
    </row>
    <row r="386">
      <c r="A386" s="10" t="s">
        <v>227</v>
      </c>
      <c r="B386" s="10" t="s">
        <v>237</v>
      </c>
      <c r="C386" s="10" t="s">
        <v>77</v>
      </c>
      <c r="D386" s="11">
        <v>316</v>
      </c>
      <c r="E386" s="11">
        <f>=ROUNDDOWN({0},0)</f>
      </c>
      <c r="F386" s="11"/>
      <c r="G386" s="12"/>
      <c r="H386" s="11"/>
      <c r="I386" s="11">
        <f>=ROUNDDOWN({0},0)</f>
      </c>
      <c r="J386" s="11"/>
      <c r="K386" s="12"/>
      <c r="L386" s="11">
        <v>151</v>
      </c>
      <c r="M386" s="13">
        <v>17250.24</v>
      </c>
      <c r="N386" s="11"/>
      <c r="O386" s="14"/>
      <c r="P386" s="11"/>
      <c r="Q386" s="13"/>
      <c r="R386" s="11"/>
      <c r="S386" s="14"/>
      <c r="T386" s="12"/>
      <c r="U386" s="12"/>
      <c r="V386" s="12"/>
      <c r="W386" s="12"/>
      <c r="X386" s="11"/>
      <c r="Y386" s="13"/>
      <c r="Z386" s="11"/>
      <c r="AA386" s="11"/>
      <c r="AB386" s="13"/>
      <c r="AC386" s="11"/>
      <c r="AD386" s="12"/>
      <c r="AE386" s="12"/>
      <c r="AF386" s="11"/>
      <c r="AG386" s="13"/>
      <c r="AH386" s="11"/>
      <c r="AI386" s="11"/>
      <c r="AJ386" s="13"/>
      <c r="AK386" s="11"/>
      <c r="AL386" s="12"/>
      <c r="AM386" s="12"/>
      <c r="AN386" s="11"/>
      <c r="AO386" s="13"/>
      <c r="AP386" s="11"/>
      <c r="AQ386" s="11"/>
      <c r="AR386" s="13"/>
      <c r="AS386" s="11"/>
      <c r="AT386" s="12"/>
      <c r="AU386" s="12"/>
      <c r="AV386" s="11">
        <v>151</v>
      </c>
      <c r="AW386" s="13">
        <v>17250.24</v>
      </c>
      <c r="AX386" s="11"/>
      <c r="AY386" s="11"/>
      <c r="AZ386" s="13"/>
      <c r="BA386" s="11"/>
      <c r="BB386" s="12"/>
      <c r="BC386" s="12"/>
      <c r="BD386" s="11"/>
      <c r="BE386" s="13"/>
      <c r="BF386" s="11"/>
      <c r="BG386" s="11"/>
      <c r="BH386" s="13"/>
      <c r="BI386" s="11"/>
      <c r="BJ386" s="12"/>
      <c r="BK386" s="12"/>
      <c r="BL386" s="11"/>
      <c r="BM386" s="13"/>
      <c r="BN386" s="11"/>
      <c r="BO386" s="11"/>
      <c r="BP386" s="13"/>
      <c r="BQ386" s="11"/>
      <c r="BR386" s="12"/>
      <c r="BS386" s="12"/>
      <c r="BT386" s="11"/>
      <c r="BU386" s="13"/>
      <c r="BV386" s="11"/>
      <c r="BW386" s="11"/>
      <c r="BX386" s="13"/>
      <c r="BY386" s="11"/>
      <c r="BZ386" s="12"/>
      <c r="CA386" s="12"/>
      <c r="CB386" s="11"/>
      <c r="CC386" s="13"/>
      <c r="CD386" s="11"/>
      <c r="CE386" s="11"/>
      <c r="CF386" s="13"/>
      <c r="CG386" s="11"/>
      <c r="CH386" s="12"/>
      <c r="CI386" s="12"/>
      <c r="CJ386" s="11"/>
      <c r="CK386" s="13"/>
      <c r="CL386" s="11"/>
      <c r="CM386" s="11"/>
      <c r="CN386" s="13"/>
      <c r="CO386" s="11"/>
      <c r="CP386" s="12"/>
      <c r="CQ386" s="12"/>
      <c r="CR386" s="11"/>
      <c r="CS386" s="13"/>
      <c r="CT386" s="11"/>
      <c r="CU386" s="11"/>
      <c r="CV386" s="13"/>
      <c r="CW386" s="11"/>
      <c r="CX386" s="12"/>
      <c r="CY386" s="12"/>
      <c r="CZ386" s="11"/>
      <c r="DA386" s="13"/>
      <c r="DB386" s="11"/>
      <c r="DC386" s="11"/>
      <c r="DD386" s="13"/>
      <c r="DE386" s="11"/>
      <c r="DF386" s="12"/>
      <c r="DG386" s="12"/>
      <c r="DH386" s="11"/>
      <c r="DI386" s="13"/>
      <c r="DJ386" s="11"/>
      <c r="DK386" s="11"/>
      <c r="DL386" s="13"/>
      <c r="DM386" s="11"/>
      <c r="DN386" s="12"/>
      <c r="DO386" s="12"/>
      <c r="DP386" s="11"/>
      <c r="DQ386" s="13"/>
      <c r="DR386" s="11"/>
      <c r="DS386" s="11"/>
      <c r="DT386" s="13"/>
      <c r="DU386" s="11"/>
      <c r="DV386" s="12"/>
      <c r="DW386" s="12"/>
      <c r="DX386" s="11"/>
      <c r="DY386" s="13"/>
      <c r="DZ386" s="11"/>
      <c r="EA386" s="11"/>
      <c r="EB386" s="13"/>
      <c r="EC386" s="11"/>
      <c r="ED386" s="12"/>
      <c r="EE386" s="12"/>
      <c r="EF386" s="11"/>
      <c r="EG386" s="13"/>
      <c r="EH386" s="11"/>
      <c r="EI386" s="11"/>
      <c r="EJ386" s="13"/>
      <c r="EK386" s="11"/>
      <c r="EL386" s="12"/>
      <c r="EM386" s="12"/>
      <c r="EN386" s="11"/>
      <c r="EO386" s="13"/>
      <c r="EP386" s="11"/>
      <c r="EQ386" s="11"/>
      <c r="ER386" s="13"/>
      <c r="ES386" s="11"/>
      <c r="ET386" s="12"/>
      <c r="EU386" s="12"/>
      <c r="EV386" s="11"/>
      <c r="EW386" s="13"/>
      <c r="EX386" s="11"/>
      <c r="EY386" s="11"/>
      <c r="EZ386" s="13"/>
      <c r="FA386" s="11"/>
      <c r="FB386" s="12"/>
      <c r="FC386" s="12"/>
      <c r="FD386" s="11"/>
      <c r="FE386" s="13"/>
      <c r="FF386" s="11"/>
      <c r="FG386" s="11"/>
      <c r="FH386" s="13"/>
      <c r="FI386" s="11"/>
      <c r="FJ386" s="12"/>
      <c r="FK386" s="12"/>
      <c r="FL386" s="11"/>
      <c r="FM386" s="13"/>
      <c r="FN386" s="11"/>
      <c r="FO386" s="11"/>
      <c r="FP386" s="13"/>
      <c r="FQ386" s="11"/>
      <c r="FR386" s="12"/>
      <c r="FS386" s="12"/>
      <c r="FT386" s="11"/>
      <c r="FU386" s="13"/>
      <c r="FV386" s="11"/>
      <c r="FW386" s="11"/>
      <c r="FX386" s="13"/>
      <c r="FY386" s="11"/>
      <c r="FZ386" s="12"/>
      <c r="GA386" s="12"/>
      <c r="GB386" s="11"/>
      <c r="GC386" s="13"/>
      <c r="GD386" s="11"/>
      <c r="GE386" s="11"/>
      <c r="GF386" s="13"/>
      <c r="GG386" s="11"/>
      <c r="GH386" s="12"/>
      <c r="GI386" s="12"/>
      <c r="GJ386" s="11"/>
      <c r="GK386" s="13"/>
      <c r="GL386" s="11"/>
      <c r="GM386" s="11"/>
      <c r="GN386" s="13"/>
      <c r="GO386" s="11"/>
      <c r="GP386" s="12"/>
      <c r="GQ386" s="12"/>
      <c r="GR386" s="11"/>
      <c r="GS386" s="13"/>
      <c r="GT386" s="11"/>
      <c r="GU386" s="11"/>
      <c r="GV386" s="13"/>
      <c r="GW386" s="11"/>
      <c r="GX386" s="12"/>
      <c r="GY386" s="12"/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/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/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/>
      <c r="JO386" s="11"/>
      <c r="JP386" s="13"/>
      <c r="JQ386" s="11"/>
      <c r="JR386" s="12"/>
      <c r="JS386" s="12"/>
      <c r="JT386" s="11"/>
      <c r="JU386" s="13"/>
      <c r="JV386" s="11"/>
      <c r="JW386" s="11"/>
      <c r="JX386" s="13"/>
      <c r="JY386" s="11"/>
      <c r="JZ386" s="12"/>
      <c r="KA386" s="12"/>
      <c r="KB386" s="11"/>
      <c r="KC386" s="13"/>
      <c r="KD386" s="11"/>
      <c r="KE386" s="11"/>
      <c r="KF386" s="13"/>
      <c r="KG386" s="11"/>
      <c r="KH386" s="12"/>
      <c r="KI386" s="12"/>
      <c r="KJ386" s="11"/>
      <c r="KK386" s="13"/>
      <c r="KL386" s="11"/>
      <c r="KM386" s="11"/>
      <c r="KN386" s="13"/>
      <c r="KO386" s="11"/>
      <c r="KP386" s="12"/>
      <c r="KQ386" s="12"/>
      <c r="KR386" s="11"/>
      <c r="KS386" s="13"/>
      <c r="KT386" s="11"/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  <c r="LH386" s="11"/>
      <c r="LI386" s="13"/>
      <c r="LJ386" s="11"/>
      <c r="LK386" s="11"/>
      <c r="LL386" s="13"/>
      <c r="LM386" s="11"/>
      <c r="LN386" s="12"/>
      <c r="LO386" s="12"/>
      <c r="LP386" s="11"/>
      <c r="LQ386" s="13"/>
      <c r="LR386" s="11"/>
      <c r="LS386" s="11"/>
      <c r="LT386" s="13"/>
      <c r="LU386" s="11"/>
      <c r="LV386" s="12"/>
      <c r="LW386" s="12"/>
    </row>
    <row r="387">
      <c r="A387" s="10" t="s">
        <v>227</v>
      </c>
      <c r="B387" s="10" t="s">
        <v>113</v>
      </c>
      <c r="C387" s="10" t="s">
        <v>228</v>
      </c>
      <c r="D387" s="11">
        <v>4946</v>
      </c>
      <c r="E387" s="11">
        <f>=ROUNDDOWN(16.9325573433756,0)</f>
      </c>
      <c r="F387" s="11">
        <v>7312</v>
      </c>
      <c r="G387" s="12">
        <v>0.9247</v>
      </c>
      <c r="H387" s="11"/>
      <c r="I387" s="11">
        <f>=ROUNDDOWN({0},0)</f>
      </c>
      <c r="J387" s="11">
        <v>261</v>
      </c>
      <c r="K387" s="12">
        <v>0.4747</v>
      </c>
      <c r="L387" s="11">
        <v>3759</v>
      </c>
      <c r="M387" s="13">
        <v>449317.85</v>
      </c>
      <c r="N387" s="11">
        <v>26</v>
      </c>
      <c r="O387" s="14">
        <v>17281.46</v>
      </c>
      <c r="P387" s="11"/>
      <c r="Q387" s="13"/>
      <c r="R387" s="11"/>
      <c r="S387" s="14"/>
      <c r="T387" s="12"/>
      <c r="U387" s="12"/>
      <c r="V387" s="12"/>
      <c r="W387" s="12"/>
      <c r="X387" s="11">
        <v>854</v>
      </c>
      <c r="Y387" s="13">
        <v>111008.44</v>
      </c>
      <c r="Z387" s="11">
        <v>20</v>
      </c>
      <c r="AA387" s="11"/>
      <c r="AB387" s="13"/>
      <c r="AC387" s="11"/>
      <c r="AD387" s="12"/>
      <c r="AE387" s="12"/>
      <c r="AF387" s="11">
        <v>1013</v>
      </c>
      <c r="AG387" s="13">
        <v>110195.24</v>
      </c>
      <c r="AH387" s="11">
        <v>26</v>
      </c>
      <c r="AI387" s="11"/>
      <c r="AJ387" s="13"/>
      <c r="AK387" s="11"/>
      <c r="AL387" s="12"/>
      <c r="AM387" s="12"/>
      <c r="AN387" s="11">
        <v>215</v>
      </c>
      <c r="AO387" s="13">
        <v>24117.15</v>
      </c>
      <c r="AP387" s="11">
        <v>26</v>
      </c>
      <c r="AQ387" s="11"/>
      <c r="AR387" s="13"/>
      <c r="AS387" s="11"/>
      <c r="AT387" s="12"/>
      <c r="AU387" s="12"/>
      <c r="AV387" s="11">
        <v>80</v>
      </c>
      <c r="AW387" s="13">
        <v>11502.94</v>
      </c>
      <c r="AX387" s="11">
        <v>23</v>
      </c>
      <c r="AY387" s="11"/>
      <c r="AZ387" s="13"/>
      <c r="BA387" s="11"/>
      <c r="BB387" s="12"/>
      <c r="BC387" s="12"/>
      <c r="BD387" s="11">
        <v>159</v>
      </c>
      <c r="BE387" s="13">
        <v>20375.65</v>
      </c>
      <c r="BF387" s="11">
        <v>26</v>
      </c>
      <c r="BG387" s="11"/>
      <c r="BH387" s="13"/>
      <c r="BI387" s="11"/>
      <c r="BJ387" s="12"/>
      <c r="BK387" s="12"/>
      <c r="BL387" s="11">
        <v>146</v>
      </c>
      <c r="BM387" s="13">
        <v>22105.86</v>
      </c>
      <c r="BN387" s="11">
        <v>26</v>
      </c>
      <c r="BO387" s="11"/>
      <c r="BP387" s="13"/>
      <c r="BQ387" s="11"/>
      <c r="BR387" s="12"/>
      <c r="BS387" s="12"/>
      <c r="BT387" s="11">
        <v>392</v>
      </c>
      <c r="BU387" s="13">
        <v>48682.96</v>
      </c>
      <c r="BV387" s="11">
        <v>26</v>
      </c>
      <c r="BW387" s="11"/>
      <c r="BX387" s="13"/>
      <c r="BY387" s="11"/>
      <c r="BZ387" s="12"/>
      <c r="CA387" s="12"/>
      <c r="CB387" s="11">
        <v>18</v>
      </c>
      <c r="CC387" s="13">
        <v>2113.53</v>
      </c>
      <c r="CD387" s="11">
        <v>11</v>
      </c>
      <c r="CE387" s="11"/>
      <c r="CF387" s="13"/>
      <c r="CG387" s="11"/>
      <c r="CH387" s="12"/>
      <c r="CI387" s="12"/>
      <c r="CJ387" s="11"/>
      <c r="CK387" s="13"/>
      <c r="CL387" s="11">
        <v>26</v>
      </c>
      <c r="CM387" s="11"/>
      <c r="CN387" s="13"/>
      <c r="CO387" s="11"/>
      <c r="CP387" s="12"/>
      <c r="CQ387" s="12"/>
      <c r="CR387" s="11"/>
      <c r="CS387" s="13"/>
      <c r="CT387" s="11"/>
      <c r="CU387" s="11"/>
      <c r="CV387" s="13"/>
      <c r="CW387" s="11"/>
      <c r="CX387" s="12"/>
      <c r="CY387" s="12"/>
      <c r="CZ387" s="11">
        <v>199</v>
      </c>
      <c r="DA387" s="13">
        <v>26323.94</v>
      </c>
      <c r="DB387" s="11">
        <v>25</v>
      </c>
      <c r="DC387" s="11"/>
      <c r="DD387" s="13"/>
      <c r="DE387" s="11"/>
      <c r="DF387" s="12"/>
      <c r="DG387" s="12"/>
      <c r="DH387" s="11">
        <v>298</v>
      </c>
      <c r="DI387" s="13">
        <v>29763.1</v>
      </c>
      <c r="DJ387" s="11">
        <v>18</v>
      </c>
      <c r="DK387" s="11"/>
      <c r="DL387" s="13"/>
      <c r="DM387" s="11"/>
      <c r="DN387" s="12"/>
      <c r="DO387" s="12"/>
      <c r="DP387" s="11">
        <v>3</v>
      </c>
      <c r="DQ387" s="13">
        <v>396.9</v>
      </c>
      <c r="DR387" s="11">
        <v>23</v>
      </c>
      <c r="DS387" s="11"/>
      <c r="DT387" s="13"/>
      <c r="DU387" s="11"/>
      <c r="DV387" s="12"/>
      <c r="DW387" s="12"/>
      <c r="DX387" s="11">
        <v>65</v>
      </c>
      <c r="DY387" s="13">
        <v>9356.73</v>
      </c>
      <c r="DZ387" s="11">
        <v>26</v>
      </c>
      <c r="EA387" s="11"/>
      <c r="EB387" s="13"/>
      <c r="EC387" s="11"/>
      <c r="ED387" s="12"/>
      <c r="EE387" s="12"/>
      <c r="EF387" s="11"/>
      <c r="EG387" s="13"/>
      <c r="EH387" s="11"/>
      <c r="EI387" s="11"/>
      <c r="EJ387" s="13"/>
      <c r="EK387" s="11"/>
      <c r="EL387" s="12"/>
      <c r="EM387" s="12"/>
      <c r="EN387" s="11"/>
      <c r="EO387" s="13"/>
      <c r="EP387" s="11">
        <v>26</v>
      </c>
      <c r="EQ387" s="11"/>
      <c r="ER387" s="13"/>
      <c r="ES387" s="11"/>
      <c r="ET387" s="12"/>
      <c r="EU387" s="12"/>
      <c r="EV387" s="11"/>
      <c r="EW387" s="13"/>
      <c r="EX387" s="11"/>
      <c r="EY387" s="11"/>
      <c r="EZ387" s="13"/>
      <c r="FA387" s="11"/>
      <c r="FB387" s="12"/>
      <c r="FC387" s="12"/>
      <c r="FD387" s="11"/>
      <c r="FE387" s="13"/>
      <c r="FF387" s="11"/>
      <c r="FG387" s="11"/>
      <c r="FH387" s="13"/>
      <c r="FI387" s="11"/>
      <c r="FJ387" s="12"/>
      <c r="FK387" s="12"/>
      <c r="FL387" s="11">
        <v>46</v>
      </c>
      <c r="FM387" s="13">
        <v>4869.24</v>
      </c>
      <c r="FN387" s="11">
        <v>4</v>
      </c>
      <c r="FO387" s="11"/>
      <c r="FP387" s="13"/>
      <c r="FQ387" s="11"/>
      <c r="FR387" s="12"/>
      <c r="FS387" s="12"/>
      <c r="FT387" s="11">
        <v>148</v>
      </c>
      <c r="FU387" s="13">
        <v>14908.36</v>
      </c>
      <c r="FV387" s="11">
        <v>21</v>
      </c>
      <c r="FW387" s="11"/>
      <c r="FX387" s="13"/>
      <c r="FY387" s="11"/>
      <c r="FZ387" s="12"/>
      <c r="GA387" s="12"/>
      <c r="GB387" s="11">
        <v>75</v>
      </c>
      <c r="GC387" s="13">
        <v>7681.42</v>
      </c>
      <c r="GD387" s="11">
        <v>22</v>
      </c>
      <c r="GE387" s="11"/>
      <c r="GF387" s="13"/>
      <c r="GG387" s="11"/>
      <c r="GH387" s="12"/>
      <c r="GI387" s="12"/>
      <c r="GJ387" s="11">
        <v>32</v>
      </c>
      <c r="GK387" s="13">
        <v>3907.64</v>
      </c>
      <c r="GL387" s="11">
        <v>25</v>
      </c>
      <c r="GM387" s="11"/>
      <c r="GN387" s="13"/>
      <c r="GO387" s="11"/>
      <c r="GP387" s="12"/>
      <c r="GQ387" s="12"/>
      <c r="GR387" s="11">
        <v>11</v>
      </c>
      <c r="GS387" s="13">
        <v>1410.25</v>
      </c>
      <c r="GT387" s="11">
        <v>25</v>
      </c>
      <c r="GU387" s="11"/>
      <c r="GV387" s="13"/>
      <c r="GW387" s="11"/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/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>
        <v>5</v>
      </c>
      <c r="HY387" s="13">
        <v>598.5</v>
      </c>
      <c r="HZ387" s="11">
        <v>5</v>
      </c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/>
      <c r="JO387" s="11"/>
      <c r="JP387" s="13"/>
      <c r="JQ387" s="11"/>
      <c r="JR387" s="12"/>
      <c r="JS387" s="12"/>
      <c r="JT387" s="11"/>
      <c r="JU387" s="13"/>
      <c r="JV387" s="11">
        <v>4</v>
      </c>
      <c r="JW387" s="11"/>
      <c r="JX387" s="13"/>
      <c r="JY387" s="11"/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/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  <c r="LH387" s="11"/>
      <c r="LI387" s="13"/>
      <c r="LJ387" s="11"/>
      <c r="LK387" s="11"/>
      <c r="LL387" s="13"/>
      <c r="LM387" s="11"/>
      <c r="LN387" s="12"/>
      <c r="LO387" s="12"/>
      <c r="LP387" s="11"/>
      <c r="LQ387" s="13"/>
      <c r="LR387" s="11"/>
      <c r="LS387" s="11"/>
      <c r="LT387" s="13"/>
      <c r="LU387" s="11"/>
      <c r="LV387" s="12"/>
      <c r="LW387" s="12"/>
    </row>
    <row r="388">
      <c r="A388" s="10" t="s">
        <v>227</v>
      </c>
      <c r="B388" s="10" t="s">
        <v>113</v>
      </c>
      <c r="C388" s="10" t="s">
        <v>213</v>
      </c>
      <c r="D388" s="11">
        <v>9401</v>
      </c>
      <c r="E388" s="11">
        <f>=ROUNDDOWN(22.812424168891,0)</f>
      </c>
      <c r="F388" s="11">
        <v>5000</v>
      </c>
      <c r="G388" s="12">
        <v>0.9843</v>
      </c>
      <c r="H388" s="11"/>
      <c r="I388" s="11">
        <f>=ROUNDDOWN({0},0)</f>
      </c>
      <c r="J388" s="11"/>
      <c r="K388" s="12">
        <v>0.3511</v>
      </c>
      <c r="L388" s="11">
        <v>5436</v>
      </c>
      <c r="M388" s="13">
        <v>1026569.92</v>
      </c>
      <c r="N388" s="11">
        <v>85</v>
      </c>
      <c r="O388" s="14">
        <v>12077.29</v>
      </c>
      <c r="P388" s="11"/>
      <c r="Q388" s="13"/>
      <c r="R388" s="11"/>
      <c r="S388" s="14"/>
      <c r="T388" s="12"/>
      <c r="U388" s="12"/>
      <c r="V388" s="12"/>
      <c r="W388" s="12"/>
      <c r="X388" s="11">
        <v>189</v>
      </c>
      <c r="Y388" s="13">
        <v>42493.97</v>
      </c>
      <c r="Z388" s="11">
        <v>24</v>
      </c>
      <c r="AA388" s="11"/>
      <c r="AB388" s="13"/>
      <c r="AC388" s="11"/>
      <c r="AD388" s="12"/>
      <c r="AE388" s="12"/>
      <c r="AF388" s="11">
        <v>1641</v>
      </c>
      <c r="AG388" s="13">
        <v>277748.24</v>
      </c>
      <c r="AH388" s="11">
        <v>85</v>
      </c>
      <c r="AI388" s="11"/>
      <c r="AJ388" s="13"/>
      <c r="AK388" s="11"/>
      <c r="AL388" s="12"/>
      <c r="AM388" s="12"/>
      <c r="AN388" s="11">
        <v>131</v>
      </c>
      <c r="AO388" s="13">
        <v>28334.1</v>
      </c>
      <c r="AP388" s="11">
        <v>84</v>
      </c>
      <c r="AQ388" s="11"/>
      <c r="AR388" s="13"/>
      <c r="AS388" s="11"/>
      <c r="AT388" s="12"/>
      <c r="AU388" s="12"/>
      <c r="AV388" s="11">
        <v>121</v>
      </c>
      <c r="AW388" s="13">
        <v>27936.61</v>
      </c>
      <c r="AX388" s="11">
        <v>66</v>
      </c>
      <c r="AY388" s="11"/>
      <c r="AZ388" s="13"/>
      <c r="BA388" s="11"/>
      <c r="BB388" s="12"/>
      <c r="BC388" s="12"/>
      <c r="BD388" s="11">
        <v>815</v>
      </c>
      <c r="BE388" s="13">
        <v>134974.9</v>
      </c>
      <c r="BF388" s="11">
        <v>77</v>
      </c>
      <c r="BG388" s="11"/>
      <c r="BH388" s="13"/>
      <c r="BI388" s="11"/>
      <c r="BJ388" s="12"/>
      <c r="BK388" s="12"/>
      <c r="BL388" s="11">
        <v>406</v>
      </c>
      <c r="BM388" s="13">
        <v>106450.24</v>
      </c>
      <c r="BN388" s="11">
        <v>85</v>
      </c>
      <c r="BO388" s="11"/>
      <c r="BP388" s="13"/>
      <c r="BQ388" s="11"/>
      <c r="BR388" s="12"/>
      <c r="BS388" s="12"/>
      <c r="BT388" s="11">
        <v>638</v>
      </c>
      <c r="BU388" s="13">
        <v>140346.15</v>
      </c>
      <c r="BV388" s="11">
        <v>85</v>
      </c>
      <c r="BW388" s="11"/>
      <c r="BX388" s="13"/>
      <c r="BY388" s="11"/>
      <c r="BZ388" s="12"/>
      <c r="CA388" s="12"/>
      <c r="CB388" s="11">
        <v>11</v>
      </c>
      <c r="CC388" s="13">
        <v>2313.45</v>
      </c>
      <c r="CD388" s="11">
        <v>28</v>
      </c>
      <c r="CE388" s="11"/>
      <c r="CF388" s="13"/>
      <c r="CG388" s="11"/>
      <c r="CH388" s="12"/>
      <c r="CI388" s="12"/>
      <c r="CJ388" s="11"/>
      <c r="CK388" s="13"/>
      <c r="CL388" s="11">
        <v>78</v>
      </c>
      <c r="CM388" s="11"/>
      <c r="CN388" s="13"/>
      <c r="CO388" s="11"/>
      <c r="CP388" s="12"/>
      <c r="CQ388" s="12"/>
      <c r="CR388" s="11"/>
      <c r="CS388" s="13"/>
      <c r="CT388" s="11"/>
      <c r="CU388" s="11"/>
      <c r="CV388" s="13"/>
      <c r="CW388" s="11"/>
      <c r="CX388" s="12"/>
      <c r="CY388" s="12"/>
      <c r="CZ388" s="11">
        <v>139</v>
      </c>
      <c r="DA388" s="13">
        <v>29874.32</v>
      </c>
      <c r="DB388" s="11">
        <v>36</v>
      </c>
      <c r="DC388" s="11"/>
      <c r="DD388" s="13"/>
      <c r="DE388" s="11"/>
      <c r="DF388" s="12"/>
      <c r="DG388" s="12"/>
      <c r="DH388" s="11">
        <v>1014</v>
      </c>
      <c r="DI388" s="13">
        <v>172593.87</v>
      </c>
      <c r="DJ388" s="11">
        <v>54</v>
      </c>
      <c r="DK388" s="11"/>
      <c r="DL388" s="13"/>
      <c r="DM388" s="11"/>
      <c r="DN388" s="12"/>
      <c r="DO388" s="12"/>
      <c r="DP388" s="11">
        <v>6</v>
      </c>
      <c r="DQ388" s="13">
        <v>1608.44</v>
      </c>
      <c r="DR388" s="11">
        <v>22</v>
      </c>
      <c r="DS388" s="11"/>
      <c r="DT388" s="13"/>
      <c r="DU388" s="11"/>
      <c r="DV388" s="12"/>
      <c r="DW388" s="12"/>
      <c r="DX388" s="11">
        <v>67</v>
      </c>
      <c r="DY388" s="13">
        <v>16018.79</v>
      </c>
      <c r="DZ388" s="11">
        <v>75</v>
      </c>
      <c r="EA388" s="11"/>
      <c r="EB388" s="13"/>
      <c r="EC388" s="11"/>
      <c r="ED388" s="12"/>
      <c r="EE388" s="12"/>
      <c r="EF388" s="11"/>
      <c r="EG388" s="13"/>
      <c r="EH388" s="11"/>
      <c r="EI388" s="11"/>
      <c r="EJ388" s="13"/>
      <c r="EK388" s="11"/>
      <c r="EL388" s="12"/>
      <c r="EM388" s="12"/>
      <c r="EN388" s="11">
        <v>1</v>
      </c>
      <c r="EO388" s="13">
        <v>474</v>
      </c>
      <c r="EP388" s="11">
        <v>62</v>
      </c>
      <c r="EQ388" s="11"/>
      <c r="ER388" s="13"/>
      <c r="ES388" s="11"/>
      <c r="ET388" s="12"/>
      <c r="EU388" s="12"/>
      <c r="EV388" s="11"/>
      <c r="EW388" s="13"/>
      <c r="EX388" s="11"/>
      <c r="EY388" s="11"/>
      <c r="EZ388" s="13"/>
      <c r="FA388" s="11"/>
      <c r="FB388" s="12"/>
      <c r="FC388" s="12"/>
      <c r="FD388" s="11"/>
      <c r="FE388" s="13"/>
      <c r="FF388" s="11"/>
      <c r="FG388" s="11"/>
      <c r="FH388" s="13"/>
      <c r="FI388" s="11"/>
      <c r="FJ388" s="12"/>
      <c r="FK388" s="12"/>
      <c r="FL388" s="11">
        <v>1</v>
      </c>
      <c r="FM388" s="13">
        <v>161.6</v>
      </c>
      <c r="FN388" s="11">
        <v>11</v>
      </c>
      <c r="FO388" s="11"/>
      <c r="FP388" s="13"/>
      <c r="FQ388" s="11"/>
      <c r="FR388" s="12"/>
      <c r="FS388" s="12"/>
      <c r="FT388" s="11">
        <v>107</v>
      </c>
      <c r="FU388" s="13">
        <v>18282.35</v>
      </c>
      <c r="FV388" s="11">
        <v>60</v>
      </c>
      <c r="FW388" s="11"/>
      <c r="FX388" s="13"/>
      <c r="FY388" s="11"/>
      <c r="FZ388" s="12"/>
      <c r="GA388" s="12"/>
      <c r="GB388" s="11">
        <v>52</v>
      </c>
      <c r="GC388" s="13">
        <v>9800.4</v>
      </c>
      <c r="GD388" s="11">
        <v>41</v>
      </c>
      <c r="GE388" s="11"/>
      <c r="GF388" s="13"/>
      <c r="GG388" s="11"/>
      <c r="GH388" s="12"/>
      <c r="GI388" s="12"/>
      <c r="GJ388" s="11">
        <v>73</v>
      </c>
      <c r="GK388" s="13">
        <v>12681.51</v>
      </c>
      <c r="GL388" s="11">
        <v>62</v>
      </c>
      <c r="GM388" s="11"/>
      <c r="GN388" s="13"/>
      <c r="GO388" s="11"/>
      <c r="GP388" s="12"/>
      <c r="GQ388" s="12"/>
      <c r="GR388" s="11">
        <v>24</v>
      </c>
      <c r="GS388" s="13">
        <v>4476.98</v>
      </c>
      <c r="GT388" s="11">
        <v>54</v>
      </c>
      <c r="GU388" s="11"/>
      <c r="GV388" s="13"/>
      <c r="GW388" s="11"/>
      <c r="GX388" s="12"/>
      <c r="GY388" s="12"/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/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>
        <v>2</v>
      </c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/>
      <c r="JO388" s="11"/>
      <c r="JP388" s="13"/>
      <c r="JQ388" s="11"/>
      <c r="JR388" s="12"/>
      <c r="JS388" s="12"/>
      <c r="JT388" s="11"/>
      <c r="JU388" s="13"/>
      <c r="JV388" s="11">
        <v>2</v>
      </c>
      <c r="JW388" s="11"/>
      <c r="JX388" s="13"/>
      <c r="JY388" s="11"/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  <c r="LH388" s="11"/>
      <c r="LI388" s="13"/>
      <c r="LJ388" s="11"/>
      <c r="LK388" s="11"/>
      <c r="LL388" s="13"/>
      <c r="LM388" s="11"/>
      <c r="LN388" s="12"/>
      <c r="LO388" s="12"/>
      <c r="LP388" s="11"/>
      <c r="LQ388" s="13"/>
      <c r="LR388" s="11"/>
      <c r="LS388" s="11"/>
      <c r="LT388" s="13"/>
      <c r="LU388" s="11"/>
      <c r="LV388" s="12"/>
      <c r="LW388" s="12"/>
    </row>
    <row r="389">
      <c r="A389" s="10" t="s">
        <v>227</v>
      </c>
      <c r="B389" s="10" t="s">
        <v>113</v>
      </c>
      <c r="C389" s="10" t="s">
        <v>214</v>
      </c>
      <c r="D389" s="11">
        <v>1538</v>
      </c>
      <c r="E389" s="11">
        <f>=ROUNDDOWN(19.8451612903226,0)</f>
      </c>
      <c r="F389" s="11">
        <v>720</v>
      </c>
      <c r="G389" s="12">
        <v>0.9391</v>
      </c>
      <c r="H389" s="11"/>
      <c r="I389" s="11">
        <f>=ROUNDDOWN({0},0)</f>
      </c>
      <c r="J389" s="11">
        <v>355</v>
      </c>
      <c r="K389" s="12">
        <v>0.5109</v>
      </c>
      <c r="L389" s="11">
        <v>904</v>
      </c>
      <c r="M389" s="13">
        <v>224835.2</v>
      </c>
      <c r="N389" s="11">
        <v>7</v>
      </c>
      <c r="O389" s="14">
        <v>32119.31</v>
      </c>
      <c r="P389" s="11"/>
      <c r="Q389" s="13"/>
      <c r="R389" s="11"/>
      <c r="S389" s="14"/>
      <c r="T389" s="12"/>
      <c r="U389" s="12"/>
      <c r="V389" s="12"/>
      <c r="W389" s="12"/>
      <c r="X389" s="11"/>
      <c r="Y389" s="13"/>
      <c r="Z389" s="11">
        <v>1</v>
      </c>
      <c r="AA389" s="11"/>
      <c r="AB389" s="13"/>
      <c r="AC389" s="11"/>
      <c r="AD389" s="12"/>
      <c r="AE389" s="12"/>
      <c r="AF389" s="11">
        <v>445</v>
      </c>
      <c r="AG389" s="13">
        <v>104017.21</v>
      </c>
      <c r="AH389" s="11">
        <v>7</v>
      </c>
      <c r="AI389" s="11"/>
      <c r="AJ389" s="13"/>
      <c r="AK389" s="11"/>
      <c r="AL389" s="12"/>
      <c r="AM389" s="12"/>
      <c r="AN389" s="11">
        <v>21</v>
      </c>
      <c r="AO389" s="13">
        <v>3652.78</v>
      </c>
      <c r="AP389" s="11">
        <v>7</v>
      </c>
      <c r="AQ389" s="11"/>
      <c r="AR389" s="13"/>
      <c r="AS389" s="11"/>
      <c r="AT389" s="12"/>
      <c r="AU389" s="12"/>
      <c r="AV389" s="11">
        <v>18</v>
      </c>
      <c r="AW389" s="13">
        <v>5366.82</v>
      </c>
      <c r="AX389" s="11">
        <v>5</v>
      </c>
      <c r="AY389" s="11"/>
      <c r="AZ389" s="13"/>
      <c r="BA389" s="11"/>
      <c r="BB389" s="12"/>
      <c r="BC389" s="12"/>
      <c r="BD389" s="11">
        <v>38</v>
      </c>
      <c r="BE389" s="13">
        <v>8769.47</v>
      </c>
      <c r="BF389" s="11">
        <v>5</v>
      </c>
      <c r="BG389" s="11"/>
      <c r="BH389" s="13"/>
      <c r="BI389" s="11"/>
      <c r="BJ389" s="12"/>
      <c r="BK389" s="12"/>
      <c r="BL389" s="11">
        <v>33</v>
      </c>
      <c r="BM389" s="13">
        <v>9548.78</v>
      </c>
      <c r="BN389" s="11">
        <v>5</v>
      </c>
      <c r="BO389" s="11"/>
      <c r="BP389" s="13"/>
      <c r="BQ389" s="11"/>
      <c r="BR389" s="12"/>
      <c r="BS389" s="12"/>
      <c r="BT389" s="11">
        <v>122</v>
      </c>
      <c r="BU389" s="13">
        <v>33454.2</v>
      </c>
      <c r="BV389" s="11">
        <v>7</v>
      </c>
      <c r="BW389" s="11"/>
      <c r="BX389" s="13"/>
      <c r="BY389" s="11"/>
      <c r="BZ389" s="12"/>
      <c r="CA389" s="12"/>
      <c r="CB389" s="11"/>
      <c r="CC389" s="13"/>
      <c r="CD389" s="11">
        <v>4</v>
      </c>
      <c r="CE389" s="11"/>
      <c r="CF389" s="13"/>
      <c r="CG389" s="11"/>
      <c r="CH389" s="12"/>
      <c r="CI389" s="12"/>
      <c r="CJ389" s="11"/>
      <c r="CK389" s="13"/>
      <c r="CL389" s="11">
        <v>6</v>
      </c>
      <c r="CM389" s="11"/>
      <c r="CN389" s="13"/>
      <c r="CO389" s="11"/>
      <c r="CP389" s="12"/>
      <c r="CQ389" s="12"/>
      <c r="CR389" s="11"/>
      <c r="CS389" s="13"/>
      <c r="CT389" s="11"/>
      <c r="CU389" s="11"/>
      <c r="CV389" s="13"/>
      <c r="CW389" s="11"/>
      <c r="CX389" s="12"/>
      <c r="CY389" s="12"/>
      <c r="CZ389" s="11">
        <v>110</v>
      </c>
      <c r="DA389" s="13">
        <v>30277.96</v>
      </c>
      <c r="DB389" s="11">
        <v>5</v>
      </c>
      <c r="DC389" s="11"/>
      <c r="DD389" s="13"/>
      <c r="DE389" s="11"/>
      <c r="DF389" s="12"/>
      <c r="DG389" s="12"/>
      <c r="DH389" s="11">
        <v>82</v>
      </c>
      <c r="DI389" s="13">
        <v>20132.7</v>
      </c>
      <c r="DJ389" s="11">
        <v>2</v>
      </c>
      <c r="DK389" s="11"/>
      <c r="DL389" s="13"/>
      <c r="DM389" s="11"/>
      <c r="DN389" s="12"/>
      <c r="DO389" s="12"/>
      <c r="DP389" s="11"/>
      <c r="DQ389" s="13"/>
      <c r="DR389" s="11">
        <v>1</v>
      </c>
      <c r="DS389" s="11"/>
      <c r="DT389" s="13"/>
      <c r="DU389" s="11"/>
      <c r="DV389" s="12"/>
      <c r="DW389" s="12"/>
      <c r="DX389" s="11">
        <v>6</v>
      </c>
      <c r="DY389" s="13">
        <v>1794.97</v>
      </c>
      <c r="DZ389" s="11">
        <v>6</v>
      </c>
      <c r="EA389" s="11"/>
      <c r="EB389" s="13"/>
      <c r="EC389" s="11"/>
      <c r="ED389" s="12"/>
      <c r="EE389" s="12"/>
      <c r="EF389" s="11"/>
      <c r="EG389" s="13"/>
      <c r="EH389" s="11"/>
      <c r="EI389" s="11"/>
      <c r="EJ389" s="13"/>
      <c r="EK389" s="11"/>
      <c r="EL389" s="12"/>
      <c r="EM389" s="12"/>
      <c r="EN389" s="11"/>
      <c r="EO389" s="13"/>
      <c r="EP389" s="11">
        <v>6</v>
      </c>
      <c r="EQ389" s="11"/>
      <c r="ER389" s="13"/>
      <c r="ES389" s="11"/>
      <c r="ET389" s="12"/>
      <c r="EU389" s="12"/>
      <c r="EV389" s="11"/>
      <c r="EW389" s="13"/>
      <c r="EX389" s="11"/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>
        <v>2</v>
      </c>
      <c r="FM389" s="13">
        <v>539.78</v>
      </c>
      <c r="FN389" s="11">
        <v>5</v>
      </c>
      <c r="FO389" s="11"/>
      <c r="FP389" s="13"/>
      <c r="FQ389" s="11"/>
      <c r="FR389" s="12"/>
      <c r="FS389" s="12"/>
      <c r="FT389" s="11">
        <v>9</v>
      </c>
      <c r="FU389" s="13">
        <v>2236.5</v>
      </c>
      <c r="FV389" s="11">
        <v>4</v>
      </c>
      <c r="FW389" s="11"/>
      <c r="FX389" s="13"/>
      <c r="FY389" s="11"/>
      <c r="FZ389" s="12"/>
      <c r="GA389" s="12"/>
      <c r="GB389" s="11">
        <v>6</v>
      </c>
      <c r="GC389" s="13">
        <v>1824.44</v>
      </c>
      <c r="GD389" s="11">
        <v>3</v>
      </c>
      <c r="GE389" s="11"/>
      <c r="GF389" s="13"/>
      <c r="GG389" s="11"/>
      <c r="GH389" s="12"/>
      <c r="GI389" s="12"/>
      <c r="GJ389" s="11">
        <v>8</v>
      </c>
      <c r="GK389" s="13">
        <v>2151.71</v>
      </c>
      <c r="GL389" s="11">
        <v>7</v>
      </c>
      <c r="GM389" s="11"/>
      <c r="GN389" s="13"/>
      <c r="GO389" s="11"/>
      <c r="GP389" s="12"/>
      <c r="GQ389" s="12"/>
      <c r="GR389" s="11">
        <v>4</v>
      </c>
      <c r="GS389" s="13">
        <v>1067.88</v>
      </c>
      <c r="GT389" s="11">
        <v>7</v>
      </c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/>
      <c r="HI389" s="13"/>
      <c r="HJ389" s="11"/>
      <c r="HK389" s="11"/>
      <c r="HL389" s="13"/>
      <c r="HM389" s="11"/>
      <c r="HN389" s="12"/>
      <c r="HO389" s="12"/>
      <c r="HP389" s="11"/>
      <c r="HQ389" s="13"/>
      <c r="HR389" s="11"/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/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/>
      <c r="JW389" s="11"/>
      <c r="JX389" s="13"/>
      <c r="JY389" s="11"/>
      <c r="JZ389" s="12"/>
      <c r="KA389" s="12"/>
      <c r="KB389" s="11"/>
      <c r="KC389" s="13"/>
      <c r="KD389" s="11"/>
      <c r="KE389" s="11"/>
      <c r="KF389" s="13"/>
      <c r="KG389" s="11"/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  <c r="LH389" s="11"/>
      <c r="LI389" s="13"/>
      <c r="LJ389" s="11"/>
      <c r="LK389" s="11"/>
      <c r="LL389" s="13"/>
      <c r="LM389" s="11"/>
      <c r="LN389" s="12"/>
      <c r="LO389" s="12"/>
      <c r="LP389" s="11"/>
      <c r="LQ389" s="13"/>
      <c r="LR389" s="11"/>
      <c r="LS389" s="11"/>
      <c r="LT389" s="13"/>
      <c r="LU389" s="11"/>
      <c r="LV389" s="12"/>
      <c r="LW389" s="12"/>
    </row>
    <row r="390">
      <c r="A390" s="10" t="s">
        <v>227</v>
      </c>
      <c r="B390" s="10" t="s">
        <v>113</v>
      </c>
      <c r="C390" s="10" t="s">
        <v>215</v>
      </c>
      <c r="D390" s="11">
        <v>904</v>
      </c>
      <c r="E390" s="11">
        <f>=ROUNDDOWN(11.8635170603675,0)</f>
      </c>
      <c r="F390" s="11">
        <v>757</v>
      </c>
      <c r="G390" s="12">
        <v>1</v>
      </c>
      <c r="H390" s="11"/>
      <c r="I390" s="11">
        <f>=ROUNDDOWN({0},0)</f>
      </c>
      <c r="J390" s="11">
        <v>450</v>
      </c>
      <c r="K390" s="12"/>
      <c r="L390" s="11">
        <v>945</v>
      </c>
      <c r="M390" s="13">
        <v>86541.15</v>
      </c>
      <c r="N390" s="11">
        <v>8</v>
      </c>
      <c r="O390" s="14">
        <v>10817.64</v>
      </c>
      <c r="P390" s="11"/>
      <c r="Q390" s="13"/>
      <c r="R390" s="11"/>
      <c r="S390" s="14"/>
      <c r="T390" s="12"/>
      <c r="U390" s="12"/>
      <c r="V390" s="12"/>
      <c r="W390" s="12"/>
      <c r="X390" s="11">
        <v>48</v>
      </c>
      <c r="Y390" s="13">
        <v>2841.62</v>
      </c>
      <c r="Z390" s="11">
        <v>2</v>
      </c>
      <c r="AA390" s="11"/>
      <c r="AB390" s="13"/>
      <c r="AC390" s="11"/>
      <c r="AD390" s="12"/>
      <c r="AE390" s="12"/>
      <c r="AF390" s="11">
        <v>530</v>
      </c>
      <c r="AG390" s="13">
        <v>51318.83</v>
      </c>
      <c r="AH390" s="11">
        <v>8</v>
      </c>
      <c r="AI390" s="11"/>
      <c r="AJ390" s="13"/>
      <c r="AK390" s="11"/>
      <c r="AL390" s="12"/>
      <c r="AM390" s="12"/>
      <c r="AN390" s="11">
        <v>56</v>
      </c>
      <c r="AO390" s="13">
        <v>4503.17</v>
      </c>
      <c r="AP390" s="11">
        <v>8</v>
      </c>
      <c r="AQ390" s="11"/>
      <c r="AR390" s="13"/>
      <c r="AS390" s="11"/>
      <c r="AT390" s="12"/>
      <c r="AU390" s="12"/>
      <c r="AV390" s="11">
        <v>8</v>
      </c>
      <c r="AW390" s="13">
        <v>799.01</v>
      </c>
      <c r="AX390" s="11">
        <v>8</v>
      </c>
      <c r="AY390" s="11"/>
      <c r="AZ390" s="13"/>
      <c r="BA390" s="11"/>
      <c r="BB390" s="12"/>
      <c r="BC390" s="12"/>
      <c r="BD390" s="11">
        <v>61</v>
      </c>
      <c r="BE390" s="13">
        <v>3763.15</v>
      </c>
      <c r="BF390" s="11">
        <v>8</v>
      </c>
      <c r="BG390" s="11"/>
      <c r="BH390" s="13"/>
      <c r="BI390" s="11"/>
      <c r="BJ390" s="12"/>
      <c r="BK390" s="12"/>
      <c r="BL390" s="11">
        <v>32</v>
      </c>
      <c r="BM390" s="13">
        <v>3242.05</v>
      </c>
      <c r="BN390" s="11">
        <v>8</v>
      </c>
      <c r="BO390" s="11"/>
      <c r="BP390" s="13"/>
      <c r="BQ390" s="11"/>
      <c r="BR390" s="12"/>
      <c r="BS390" s="12"/>
      <c r="BT390" s="11">
        <v>90</v>
      </c>
      <c r="BU390" s="13">
        <v>8387.52</v>
      </c>
      <c r="BV390" s="11">
        <v>8</v>
      </c>
      <c r="BW390" s="11"/>
      <c r="BX390" s="13"/>
      <c r="BY390" s="11"/>
      <c r="BZ390" s="12"/>
      <c r="CA390" s="12"/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>
        <v>8</v>
      </c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>
        <v>45</v>
      </c>
      <c r="DA390" s="13">
        <v>5997.46</v>
      </c>
      <c r="DB390" s="11">
        <v>4</v>
      </c>
      <c r="DC390" s="11"/>
      <c r="DD390" s="13"/>
      <c r="DE390" s="11"/>
      <c r="DF390" s="12"/>
      <c r="DG390" s="12"/>
      <c r="DH390" s="11">
        <v>13</v>
      </c>
      <c r="DI390" s="13">
        <v>952</v>
      </c>
      <c r="DJ390" s="11">
        <v>5</v>
      </c>
      <c r="DK390" s="11"/>
      <c r="DL390" s="13"/>
      <c r="DM390" s="11"/>
      <c r="DN390" s="12"/>
      <c r="DO390" s="12"/>
      <c r="DP390" s="11"/>
      <c r="DQ390" s="13"/>
      <c r="DR390" s="11">
        <v>7</v>
      </c>
      <c r="DS390" s="11"/>
      <c r="DT390" s="13"/>
      <c r="DU390" s="11"/>
      <c r="DV390" s="12"/>
      <c r="DW390" s="12"/>
      <c r="DX390" s="11">
        <v>10</v>
      </c>
      <c r="DY390" s="13">
        <v>1075.75</v>
      </c>
      <c r="DZ390" s="11">
        <v>6</v>
      </c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>
        <v>1</v>
      </c>
      <c r="EO390" s="13">
        <v>279</v>
      </c>
      <c r="EP390" s="11">
        <v>8</v>
      </c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>
        <v>1</v>
      </c>
      <c r="FM390" s="13">
        <v>80.38</v>
      </c>
      <c r="FN390" s="11">
        <v>4</v>
      </c>
      <c r="FO390" s="11"/>
      <c r="FP390" s="13"/>
      <c r="FQ390" s="11"/>
      <c r="FR390" s="12"/>
      <c r="FS390" s="12"/>
      <c r="FT390" s="11">
        <v>14</v>
      </c>
      <c r="FU390" s="13">
        <v>985.36</v>
      </c>
      <c r="FV390" s="11">
        <v>7</v>
      </c>
      <c r="FW390" s="11"/>
      <c r="FX390" s="13"/>
      <c r="FY390" s="11"/>
      <c r="FZ390" s="12"/>
      <c r="GA390" s="12"/>
      <c r="GB390" s="11">
        <v>26</v>
      </c>
      <c r="GC390" s="13">
        <v>1580.09</v>
      </c>
      <c r="GD390" s="11">
        <v>8</v>
      </c>
      <c r="GE390" s="11"/>
      <c r="GF390" s="13"/>
      <c r="GG390" s="11"/>
      <c r="GH390" s="12"/>
      <c r="GI390" s="12"/>
      <c r="GJ390" s="11">
        <v>6</v>
      </c>
      <c r="GK390" s="13">
        <v>466.78</v>
      </c>
      <c r="GL390" s="11">
        <v>7</v>
      </c>
      <c r="GM390" s="11"/>
      <c r="GN390" s="13"/>
      <c r="GO390" s="11"/>
      <c r="GP390" s="12"/>
      <c r="GQ390" s="12"/>
      <c r="GR390" s="11">
        <v>4</v>
      </c>
      <c r="GS390" s="13">
        <v>268.98</v>
      </c>
      <c r="GT390" s="11">
        <v>8</v>
      </c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/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>
        <v>2</v>
      </c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>
        <v>6</v>
      </c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  <c r="LH390" s="11"/>
      <c r="LI390" s="13"/>
      <c r="LJ390" s="11"/>
      <c r="LK390" s="11"/>
      <c r="LL390" s="13"/>
      <c r="LM390" s="11"/>
      <c r="LN390" s="12"/>
      <c r="LO390" s="12"/>
      <c r="LP390" s="11"/>
      <c r="LQ390" s="13"/>
      <c r="LR390" s="11"/>
      <c r="LS390" s="11"/>
      <c r="LT390" s="13"/>
      <c r="LU390" s="11"/>
      <c r="LV390" s="12"/>
      <c r="LW390" s="12"/>
    </row>
    <row r="391">
      <c r="A391" s="10" t="s">
        <v>227</v>
      </c>
      <c r="B391" s="10" t="s">
        <v>113</v>
      </c>
      <c r="C391" s="10" t="s">
        <v>216</v>
      </c>
      <c r="D391" s="11">
        <v>12004</v>
      </c>
      <c r="E391" s="11">
        <f>=ROUNDDOWN(27.5637198622273,0)</f>
      </c>
      <c r="F391" s="11">
        <v>3888</v>
      </c>
      <c r="G391" s="12">
        <v>0.9751</v>
      </c>
      <c r="H391" s="11"/>
      <c r="I391" s="11">
        <f>=ROUNDDOWN({0},0)</f>
      </c>
      <c r="J391" s="11"/>
      <c r="K391" s="12">
        <v>0.5109</v>
      </c>
      <c r="L391" s="11">
        <v>5283</v>
      </c>
      <c r="M391" s="13">
        <v>737582.52</v>
      </c>
      <c r="N391" s="11">
        <v>60</v>
      </c>
      <c r="O391" s="14">
        <v>12293.04</v>
      </c>
      <c r="P391" s="11"/>
      <c r="Q391" s="13"/>
      <c r="R391" s="11"/>
      <c r="S391" s="14"/>
      <c r="T391" s="12"/>
      <c r="U391" s="12"/>
      <c r="V391" s="12"/>
      <c r="W391" s="12"/>
      <c r="X391" s="11">
        <v>330</v>
      </c>
      <c r="Y391" s="13">
        <v>36716.33</v>
      </c>
      <c r="Z391" s="11">
        <v>18</v>
      </c>
      <c r="AA391" s="11"/>
      <c r="AB391" s="13"/>
      <c r="AC391" s="11"/>
      <c r="AD391" s="12"/>
      <c r="AE391" s="12"/>
      <c r="AF391" s="11">
        <v>1714</v>
      </c>
      <c r="AG391" s="13">
        <v>238974.71</v>
      </c>
      <c r="AH391" s="11">
        <v>60</v>
      </c>
      <c r="AI391" s="11"/>
      <c r="AJ391" s="13"/>
      <c r="AK391" s="11"/>
      <c r="AL391" s="12"/>
      <c r="AM391" s="12"/>
      <c r="AN391" s="11">
        <v>220</v>
      </c>
      <c r="AO391" s="13">
        <v>23360.03</v>
      </c>
      <c r="AP391" s="11">
        <v>60</v>
      </c>
      <c r="AQ391" s="11"/>
      <c r="AR391" s="13"/>
      <c r="AS391" s="11"/>
      <c r="AT391" s="12"/>
      <c r="AU391" s="12"/>
      <c r="AV391" s="11">
        <v>145</v>
      </c>
      <c r="AW391" s="13">
        <v>22048.06</v>
      </c>
      <c r="AX391" s="11">
        <v>55</v>
      </c>
      <c r="AY391" s="11"/>
      <c r="AZ391" s="13"/>
      <c r="BA391" s="11"/>
      <c r="BB391" s="12"/>
      <c r="BC391" s="12"/>
      <c r="BD391" s="11">
        <v>336</v>
      </c>
      <c r="BE391" s="13">
        <v>43174.19</v>
      </c>
      <c r="BF391" s="11">
        <v>56</v>
      </c>
      <c r="BG391" s="11"/>
      <c r="BH391" s="13"/>
      <c r="BI391" s="11"/>
      <c r="BJ391" s="12"/>
      <c r="BK391" s="12"/>
      <c r="BL391" s="11">
        <v>669</v>
      </c>
      <c r="BM391" s="13">
        <v>111938.21</v>
      </c>
      <c r="BN391" s="11">
        <v>60</v>
      </c>
      <c r="BO391" s="11"/>
      <c r="BP391" s="13"/>
      <c r="BQ391" s="11"/>
      <c r="BR391" s="12"/>
      <c r="BS391" s="12"/>
      <c r="BT391" s="11">
        <v>814</v>
      </c>
      <c r="BU391" s="13">
        <v>121057.24</v>
      </c>
      <c r="BV391" s="11">
        <v>60</v>
      </c>
      <c r="BW391" s="11"/>
      <c r="BX391" s="13"/>
      <c r="BY391" s="11"/>
      <c r="BZ391" s="12"/>
      <c r="CA391" s="12"/>
      <c r="CB391" s="11">
        <v>38</v>
      </c>
      <c r="CC391" s="13">
        <v>5018.17</v>
      </c>
      <c r="CD391" s="11">
        <v>27</v>
      </c>
      <c r="CE391" s="11"/>
      <c r="CF391" s="13"/>
      <c r="CG391" s="11"/>
      <c r="CH391" s="12"/>
      <c r="CI391" s="12"/>
      <c r="CJ391" s="11"/>
      <c r="CK391" s="13"/>
      <c r="CL391" s="11">
        <v>54</v>
      </c>
      <c r="CM391" s="11"/>
      <c r="CN391" s="13"/>
      <c r="CO391" s="11"/>
      <c r="CP391" s="12"/>
      <c r="CQ391" s="12"/>
      <c r="CR391" s="11"/>
      <c r="CS391" s="13"/>
      <c r="CT391" s="11"/>
      <c r="CU391" s="11"/>
      <c r="CV391" s="13"/>
      <c r="CW391" s="11"/>
      <c r="CX391" s="12"/>
      <c r="CY391" s="12"/>
      <c r="CZ391" s="11">
        <v>357</v>
      </c>
      <c r="DA391" s="13">
        <v>53895.15</v>
      </c>
      <c r="DB391" s="11">
        <v>22</v>
      </c>
      <c r="DC391" s="11"/>
      <c r="DD391" s="13"/>
      <c r="DE391" s="11"/>
      <c r="DF391" s="12"/>
      <c r="DG391" s="12"/>
      <c r="DH391" s="11">
        <v>101</v>
      </c>
      <c r="DI391" s="13">
        <v>13556.12</v>
      </c>
      <c r="DJ391" s="11">
        <v>2</v>
      </c>
      <c r="DK391" s="11"/>
      <c r="DL391" s="13"/>
      <c r="DM391" s="11"/>
      <c r="DN391" s="12"/>
      <c r="DO391" s="12"/>
      <c r="DP391" s="11">
        <v>4</v>
      </c>
      <c r="DQ391" s="13">
        <v>628.78</v>
      </c>
      <c r="DR391" s="11">
        <v>52</v>
      </c>
      <c r="DS391" s="11"/>
      <c r="DT391" s="13"/>
      <c r="DU391" s="11"/>
      <c r="DV391" s="12"/>
      <c r="DW391" s="12"/>
      <c r="DX391" s="11">
        <v>74</v>
      </c>
      <c r="DY391" s="13">
        <v>7962.86</v>
      </c>
      <c r="DZ391" s="11">
        <v>55</v>
      </c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>
        <v>60</v>
      </c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/>
      <c r="FE391" s="13"/>
      <c r="FF391" s="11"/>
      <c r="FG391" s="11"/>
      <c r="FH391" s="13"/>
      <c r="FI391" s="11"/>
      <c r="FJ391" s="12"/>
      <c r="FK391" s="12"/>
      <c r="FL391" s="11">
        <v>8</v>
      </c>
      <c r="FM391" s="13">
        <v>1383.48</v>
      </c>
      <c r="FN391" s="11">
        <v>12</v>
      </c>
      <c r="FO391" s="11"/>
      <c r="FP391" s="13"/>
      <c r="FQ391" s="11"/>
      <c r="FR391" s="12"/>
      <c r="FS391" s="12"/>
      <c r="FT391" s="11">
        <v>188</v>
      </c>
      <c r="FU391" s="13">
        <v>17321.63</v>
      </c>
      <c r="FV391" s="11">
        <v>46</v>
      </c>
      <c r="FW391" s="11"/>
      <c r="FX391" s="13"/>
      <c r="FY391" s="11"/>
      <c r="FZ391" s="12"/>
      <c r="GA391" s="12"/>
      <c r="GB391" s="11">
        <v>83</v>
      </c>
      <c r="GC391" s="13">
        <v>11793.68</v>
      </c>
      <c r="GD391" s="11">
        <v>43</v>
      </c>
      <c r="GE391" s="11"/>
      <c r="GF391" s="13"/>
      <c r="GG391" s="11"/>
      <c r="GH391" s="12"/>
      <c r="GI391" s="12"/>
      <c r="GJ391" s="11">
        <v>81</v>
      </c>
      <c r="GK391" s="13">
        <v>11347.52</v>
      </c>
      <c r="GL391" s="11">
        <v>51</v>
      </c>
      <c r="GM391" s="11"/>
      <c r="GN391" s="13"/>
      <c r="GO391" s="11"/>
      <c r="GP391" s="12"/>
      <c r="GQ391" s="12"/>
      <c r="GR391" s="11">
        <v>121</v>
      </c>
      <c r="GS391" s="13">
        <v>17406.36</v>
      </c>
      <c r="GT391" s="11">
        <v>54</v>
      </c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/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>
        <v>4</v>
      </c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>
        <v>11</v>
      </c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>
        <v>18</v>
      </c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  <c r="LH391" s="11"/>
      <c r="LI391" s="13"/>
      <c r="LJ391" s="11"/>
      <c r="LK391" s="11"/>
      <c r="LL391" s="13"/>
      <c r="LM391" s="11"/>
      <c r="LN391" s="12"/>
      <c r="LO391" s="12"/>
      <c r="LP391" s="11"/>
      <c r="LQ391" s="13"/>
      <c r="LR391" s="11"/>
      <c r="LS391" s="11"/>
      <c r="LT391" s="13"/>
      <c r="LU391" s="11"/>
      <c r="LV391" s="12"/>
      <c r="LW391" s="12"/>
    </row>
    <row r="392">
      <c r="A392" s="10" t="s">
        <v>227</v>
      </c>
      <c r="B392" s="10" t="s">
        <v>113</v>
      </c>
      <c r="C392" s="10" t="s">
        <v>229</v>
      </c>
      <c r="D392" s="11">
        <v>142</v>
      </c>
      <c r="E392" s="11">
        <f>=ROUNDDOWN(24.9122807017544,0)</f>
      </c>
      <c r="F392" s="11">
        <v>75</v>
      </c>
      <c r="G392" s="12">
        <v>0.7065</v>
      </c>
      <c r="H392" s="11"/>
      <c r="I392" s="11">
        <f>=ROUNDDOWN({0},0)</f>
      </c>
      <c r="J392" s="11"/>
      <c r="K392" s="12"/>
      <c r="L392" s="11">
        <v>64</v>
      </c>
      <c r="M392" s="13">
        <v>28974.58</v>
      </c>
      <c r="N392" s="11">
        <v>1</v>
      </c>
      <c r="O392" s="14">
        <v>28974.58</v>
      </c>
      <c r="P392" s="11"/>
      <c r="Q392" s="13"/>
      <c r="R392" s="11"/>
      <c r="S392" s="14"/>
      <c r="T392" s="12"/>
      <c r="U392" s="12"/>
      <c r="V392" s="12"/>
      <c r="W392" s="12"/>
      <c r="X392" s="11"/>
      <c r="Y392" s="13"/>
      <c r="Z392" s="11">
        <v>1</v>
      </c>
      <c r="AA392" s="11"/>
      <c r="AB392" s="13"/>
      <c r="AC392" s="11"/>
      <c r="AD392" s="12"/>
      <c r="AE392" s="12"/>
      <c r="AF392" s="11">
        <v>35</v>
      </c>
      <c r="AG392" s="13">
        <v>14788.64</v>
      </c>
      <c r="AH392" s="11">
        <v>1</v>
      </c>
      <c r="AI392" s="11"/>
      <c r="AJ392" s="13"/>
      <c r="AK392" s="11"/>
      <c r="AL392" s="12"/>
      <c r="AM392" s="12"/>
      <c r="AN392" s="11">
        <v>1</v>
      </c>
      <c r="AO392" s="13">
        <v>535.08</v>
      </c>
      <c r="AP392" s="11">
        <v>1</v>
      </c>
      <c r="AQ392" s="11"/>
      <c r="AR392" s="13"/>
      <c r="AS392" s="11"/>
      <c r="AT392" s="12"/>
      <c r="AU392" s="12"/>
      <c r="AV392" s="11"/>
      <c r="AW392" s="13"/>
      <c r="AX392" s="11"/>
      <c r="AY392" s="11"/>
      <c r="AZ392" s="13"/>
      <c r="BA392" s="11"/>
      <c r="BB392" s="12"/>
      <c r="BC392" s="12"/>
      <c r="BD392" s="11"/>
      <c r="BE392" s="13"/>
      <c r="BF392" s="11"/>
      <c r="BG392" s="11"/>
      <c r="BH392" s="13"/>
      <c r="BI392" s="11"/>
      <c r="BJ392" s="12"/>
      <c r="BK392" s="12"/>
      <c r="BL392" s="11">
        <v>21</v>
      </c>
      <c r="BM392" s="13">
        <v>10429.65</v>
      </c>
      <c r="BN392" s="11">
        <v>1</v>
      </c>
      <c r="BO392" s="11"/>
      <c r="BP392" s="13"/>
      <c r="BQ392" s="11"/>
      <c r="BR392" s="12"/>
      <c r="BS392" s="12"/>
      <c r="BT392" s="11">
        <v>6</v>
      </c>
      <c r="BU392" s="13">
        <v>2733.59</v>
      </c>
      <c r="BV392" s="11">
        <v>1</v>
      </c>
      <c r="BW392" s="11"/>
      <c r="BX392" s="13"/>
      <c r="BY392" s="11"/>
      <c r="BZ392" s="12"/>
      <c r="CA392" s="12"/>
      <c r="CB392" s="11"/>
      <c r="CC392" s="13"/>
      <c r="CD392" s="11"/>
      <c r="CE392" s="11"/>
      <c r="CF392" s="13"/>
      <c r="CG392" s="11"/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/>
      <c r="CS392" s="13"/>
      <c r="CT392" s="11"/>
      <c r="CU392" s="11"/>
      <c r="CV392" s="13"/>
      <c r="CW392" s="11"/>
      <c r="CX392" s="12"/>
      <c r="CY392" s="12"/>
      <c r="CZ392" s="11"/>
      <c r="DA392" s="13"/>
      <c r="DB392" s="11"/>
      <c r="DC392" s="11"/>
      <c r="DD392" s="13"/>
      <c r="DE392" s="11"/>
      <c r="DF392" s="12"/>
      <c r="DG392" s="12"/>
      <c r="DH392" s="11"/>
      <c r="DI392" s="13"/>
      <c r="DJ392" s="11"/>
      <c r="DK392" s="11"/>
      <c r="DL392" s="13"/>
      <c r="DM392" s="11"/>
      <c r="DN392" s="12"/>
      <c r="DO392" s="12"/>
      <c r="DP392" s="11"/>
      <c r="DQ392" s="13"/>
      <c r="DR392" s="11"/>
      <c r="DS392" s="11"/>
      <c r="DT392" s="13"/>
      <c r="DU392" s="11"/>
      <c r="DV392" s="12"/>
      <c r="DW392" s="12"/>
      <c r="DX392" s="11"/>
      <c r="DY392" s="13"/>
      <c r="DZ392" s="11">
        <v>1</v>
      </c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>
        <v>1</v>
      </c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/>
      <c r="FW392" s="11"/>
      <c r="FX392" s="13"/>
      <c r="FY392" s="11"/>
      <c r="FZ392" s="12"/>
      <c r="GA392" s="12"/>
      <c r="GB392" s="11">
        <v>1</v>
      </c>
      <c r="GC392" s="13">
        <v>487.62</v>
      </c>
      <c r="GD392" s="11">
        <v>1</v>
      </c>
      <c r="GE392" s="11"/>
      <c r="GF392" s="13"/>
      <c r="GG392" s="11"/>
      <c r="GH392" s="12"/>
      <c r="GI392" s="12"/>
      <c r="GJ392" s="11"/>
      <c r="GK392" s="13"/>
      <c r="GL392" s="11">
        <v>1</v>
      </c>
      <c r="GM392" s="11"/>
      <c r="GN392" s="13"/>
      <c r="GO392" s="11"/>
      <c r="GP392" s="12"/>
      <c r="GQ392" s="12"/>
      <c r="GR392" s="11"/>
      <c r="GS392" s="13"/>
      <c r="GT392" s="11">
        <v>1</v>
      </c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/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/>
      <c r="JO392" s="11"/>
      <c r="JP392" s="13"/>
      <c r="JQ392" s="11"/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/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  <c r="LH392" s="11"/>
      <c r="LI392" s="13"/>
      <c r="LJ392" s="11"/>
      <c r="LK392" s="11"/>
      <c r="LL392" s="13"/>
      <c r="LM392" s="11"/>
      <c r="LN392" s="12"/>
      <c r="LO392" s="12"/>
      <c r="LP392" s="11"/>
      <c r="LQ392" s="13"/>
      <c r="LR392" s="11"/>
      <c r="LS392" s="11"/>
      <c r="LT392" s="13"/>
      <c r="LU392" s="11"/>
      <c r="LV392" s="12"/>
      <c r="LW392" s="12"/>
    </row>
    <row r="393">
      <c r="A393" s="10" t="s">
        <v>227</v>
      </c>
      <c r="B393" s="10" t="s">
        <v>113</v>
      </c>
      <c r="C393" s="10" t="s">
        <v>238</v>
      </c>
      <c r="D393" s="11">
        <v>423</v>
      </c>
      <c r="E393" s="11">
        <f>=ROUNDDOWN(18.5526315789474,0)</f>
      </c>
      <c r="F393" s="11">
        <v>254</v>
      </c>
      <c r="G393" s="12">
        <v>1</v>
      </c>
      <c r="H393" s="11"/>
      <c r="I393" s="11">
        <f>=ROUNDDOWN({0},0)</f>
      </c>
      <c r="J393" s="11">
        <v>332</v>
      </c>
      <c r="K393" s="12">
        <v>0.5109</v>
      </c>
      <c r="L393" s="11">
        <v>405</v>
      </c>
      <c r="M393" s="13">
        <v>68781.88</v>
      </c>
      <c r="N393" s="11">
        <v>3</v>
      </c>
      <c r="O393" s="14">
        <v>22927.29</v>
      </c>
      <c r="P393" s="11"/>
      <c r="Q393" s="13"/>
      <c r="R393" s="11"/>
      <c r="S393" s="14"/>
      <c r="T393" s="12"/>
      <c r="U393" s="12"/>
      <c r="V393" s="12"/>
      <c r="W393" s="12"/>
      <c r="X393" s="11"/>
      <c r="Y393" s="13"/>
      <c r="Z393" s="11"/>
      <c r="AA393" s="11"/>
      <c r="AB393" s="13"/>
      <c r="AC393" s="11"/>
      <c r="AD393" s="12"/>
      <c r="AE393" s="12"/>
      <c r="AF393" s="11">
        <v>246</v>
      </c>
      <c r="AG393" s="13">
        <v>38290.56</v>
      </c>
      <c r="AH393" s="11">
        <v>3</v>
      </c>
      <c r="AI393" s="11"/>
      <c r="AJ393" s="13"/>
      <c r="AK393" s="11"/>
      <c r="AL393" s="12"/>
      <c r="AM393" s="12"/>
      <c r="AN393" s="11"/>
      <c r="AO393" s="13"/>
      <c r="AP393" s="11">
        <v>3</v>
      </c>
      <c r="AQ393" s="11"/>
      <c r="AR393" s="13"/>
      <c r="AS393" s="11"/>
      <c r="AT393" s="12"/>
      <c r="AU393" s="12"/>
      <c r="AV393" s="11"/>
      <c r="AW393" s="13"/>
      <c r="AX393" s="11">
        <v>2</v>
      </c>
      <c r="AY393" s="11"/>
      <c r="AZ393" s="13"/>
      <c r="BA393" s="11"/>
      <c r="BB393" s="12"/>
      <c r="BC393" s="12"/>
      <c r="BD393" s="11">
        <v>9</v>
      </c>
      <c r="BE393" s="13">
        <v>1421.76</v>
      </c>
      <c r="BF393" s="11">
        <v>2</v>
      </c>
      <c r="BG393" s="11"/>
      <c r="BH393" s="13"/>
      <c r="BI393" s="11"/>
      <c r="BJ393" s="12"/>
      <c r="BK393" s="12"/>
      <c r="BL393" s="11">
        <v>38</v>
      </c>
      <c r="BM393" s="13">
        <v>7767.96</v>
      </c>
      <c r="BN393" s="11">
        <v>3</v>
      </c>
      <c r="BO393" s="11"/>
      <c r="BP393" s="13"/>
      <c r="BQ393" s="11"/>
      <c r="BR393" s="12"/>
      <c r="BS393" s="12"/>
      <c r="BT393" s="11">
        <v>97</v>
      </c>
      <c r="BU393" s="13">
        <v>18362.65</v>
      </c>
      <c r="BV393" s="11">
        <v>3</v>
      </c>
      <c r="BW393" s="11"/>
      <c r="BX393" s="13"/>
      <c r="BY393" s="11"/>
      <c r="BZ393" s="12"/>
      <c r="CA393" s="12"/>
      <c r="CB393" s="11"/>
      <c r="CC393" s="13"/>
      <c r="CD393" s="11">
        <v>2</v>
      </c>
      <c r="CE393" s="11"/>
      <c r="CF393" s="13"/>
      <c r="CG393" s="11"/>
      <c r="CH393" s="12"/>
      <c r="CI393" s="12"/>
      <c r="CJ393" s="11"/>
      <c r="CK393" s="13"/>
      <c r="CL393" s="11">
        <v>2</v>
      </c>
      <c r="CM393" s="11"/>
      <c r="CN393" s="13"/>
      <c r="CO393" s="11"/>
      <c r="CP393" s="12"/>
      <c r="CQ393" s="12"/>
      <c r="CR393" s="11"/>
      <c r="CS393" s="13"/>
      <c r="CT393" s="11"/>
      <c r="CU393" s="11"/>
      <c r="CV393" s="13"/>
      <c r="CW393" s="11"/>
      <c r="CX393" s="12"/>
      <c r="CY393" s="12"/>
      <c r="CZ393" s="11">
        <v>9</v>
      </c>
      <c r="DA393" s="13">
        <v>1786.05</v>
      </c>
      <c r="DB393" s="11">
        <v>2</v>
      </c>
      <c r="DC393" s="11"/>
      <c r="DD393" s="13"/>
      <c r="DE393" s="11"/>
      <c r="DF393" s="12"/>
      <c r="DG393" s="12"/>
      <c r="DH393" s="11">
        <v>4</v>
      </c>
      <c r="DI393" s="13">
        <v>756</v>
      </c>
      <c r="DJ393" s="11">
        <v>2</v>
      </c>
      <c r="DK393" s="11"/>
      <c r="DL393" s="13"/>
      <c r="DM393" s="11"/>
      <c r="DN393" s="12"/>
      <c r="DO393" s="12"/>
      <c r="DP393" s="11"/>
      <c r="DQ393" s="13"/>
      <c r="DR393" s="11"/>
      <c r="DS393" s="11"/>
      <c r="DT393" s="13"/>
      <c r="DU393" s="11"/>
      <c r="DV393" s="12"/>
      <c r="DW393" s="12"/>
      <c r="DX393" s="11">
        <v>1</v>
      </c>
      <c r="DY393" s="13">
        <v>207.9</v>
      </c>
      <c r="DZ393" s="11">
        <v>2</v>
      </c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>
        <v>3</v>
      </c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/>
      <c r="FM393" s="13"/>
      <c r="FN393" s="11">
        <v>1</v>
      </c>
      <c r="FO393" s="11"/>
      <c r="FP393" s="13"/>
      <c r="FQ393" s="11"/>
      <c r="FR393" s="12"/>
      <c r="FS393" s="12"/>
      <c r="FT393" s="11">
        <v>1</v>
      </c>
      <c r="FU393" s="13">
        <v>189</v>
      </c>
      <c r="FV393" s="11">
        <v>1</v>
      </c>
      <c r="FW393" s="11"/>
      <c r="FX393" s="13"/>
      <c r="FY393" s="11"/>
      <c r="FZ393" s="12"/>
      <c r="GA393" s="12"/>
      <c r="GB393" s="11"/>
      <c r="GC393" s="13"/>
      <c r="GD393" s="11">
        <v>1</v>
      </c>
      <c r="GE393" s="11"/>
      <c r="GF393" s="13"/>
      <c r="GG393" s="11"/>
      <c r="GH393" s="12"/>
      <c r="GI393" s="12"/>
      <c r="GJ393" s="11"/>
      <c r="GK393" s="13"/>
      <c r="GL393" s="11">
        <v>3</v>
      </c>
      <c r="GM393" s="11"/>
      <c r="GN393" s="13"/>
      <c r="GO393" s="11"/>
      <c r="GP393" s="12"/>
      <c r="GQ393" s="12"/>
      <c r="GR393" s="11"/>
      <c r="GS393" s="13"/>
      <c r="GT393" s="11">
        <v>3</v>
      </c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/>
      <c r="JP393" s="13"/>
      <c r="JQ393" s="11"/>
      <c r="JR393" s="12"/>
      <c r="JS393" s="12"/>
      <c r="JT393" s="11"/>
      <c r="JU393" s="13"/>
      <c r="JV393" s="11">
        <v>1</v>
      </c>
      <c r="JW393" s="11"/>
      <c r="JX393" s="13"/>
      <c r="JY393" s="11"/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/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  <c r="LH393" s="11"/>
      <c r="LI393" s="13"/>
      <c r="LJ393" s="11"/>
      <c r="LK393" s="11"/>
      <c r="LL393" s="13"/>
      <c r="LM393" s="11"/>
      <c r="LN393" s="12"/>
      <c r="LO393" s="12"/>
      <c r="LP393" s="11"/>
      <c r="LQ393" s="13"/>
      <c r="LR393" s="11"/>
      <c r="LS393" s="11"/>
      <c r="LT393" s="13"/>
      <c r="LU393" s="11"/>
      <c r="LV393" s="12"/>
      <c r="LW393" s="12"/>
    </row>
    <row r="394">
      <c r="A394" s="10" t="s">
        <v>227</v>
      </c>
      <c r="B394" s="10" t="s">
        <v>113</v>
      </c>
      <c r="C394" s="10" t="s">
        <v>217</v>
      </c>
      <c r="D394" s="11">
        <v>412</v>
      </c>
      <c r="E394" s="11">
        <f>=ROUNDDOWN(171.666666666667,0)</f>
      </c>
      <c r="F394" s="11"/>
      <c r="G394" s="12"/>
      <c r="H394" s="11"/>
      <c r="I394" s="11">
        <f>=ROUNDDOWN({0},0)</f>
      </c>
      <c r="J394" s="11"/>
      <c r="K394" s="12"/>
      <c r="L394" s="11">
        <v>19</v>
      </c>
      <c r="M394" s="13">
        <v>5742.02</v>
      </c>
      <c r="N394" s="11">
        <v>3</v>
      </c>
      <c r="O394" s="14">
        <v>1914.01</v>
      </c>
      <c r="P394" s="11"/>
      <c r="Q394" s="13"/>
      <c r="R394" s="11"/>
      <c r="S394" s="14"/>
      <c r="T394" s="12"/>
      <c r="U394" s="12"/>
      <c r="V394" s="12"/>
      <c r="W394" s="12"/>
      <c r="X394" s="11"/>
      <c r="Y394" s="13"/>
      <c r="Z394" s="11"/>
      <c r="AA394" s="11"/>
      <c r="AB394" s="13"/>
      <c r="AC394" s="11"/>
      <c r="AD394" s="12"/>
      <c r="AE394" s="12"/>
      <c r="AF394" s="11">
        <v>16</v>
      </c>
      <c r="AG394" s="13">
        <v>4550</v>
      </c>
      <c r="AH394" s="11">
        <v>3</v>
      </c>
      <c r="AI394" s="11"/>
      <c r="AJ394" s="13"/>
      <c r="AK394" s="11"/>
      <c r="AL394" s="12"/>
      <c r="AM394" s="12"/>
      <c r="AN394" s="11"/>
      <c r="AO394" s="13"/>
      <c r="AP394" s="11">
        <v>3</v>
      </c>
      <c r="AQ394" s="11"/>
      <c r="AR394" s="13"/>
      <c r="AS394" s="11"/>
      <c r="AT394" s="12"/>
      <c r="AU394" s="12"/>
      <c r="AV394" s="11"/>
      <c r="AW394" s="13"/>
      <c r="AX394" s="11"/>
      <c r="AY394" s="11"/>
      <c r="AZ394" s="13"/>
      <c r="BA394" s="11"/>
      <c r="BB394" s="12"/>
      <c r="BC394" s="12"/>
      <c r="BD394" s="11"/>
      <c r="BE394" s="13"/>
      <c r="BF394" s="11">
        <v>3</v>
      </c>
      <c r="BG394" s="11"/>
      <c r="BH394" s="13"/>
      <c r="BI394" s="11"/>
      <c r="BJ394" s="12"/>
      <c r="BK394" s="12"/>
      <c r="BL394" s="11">
        <v>2</v>
      </c>
      <c r="BM394" s="13">
        <v>768.08</v>
      </c>
      <c r="BN394" s="11">
        <v>3</v>
      </c>
      <c r="BO394" s="11"/>
      <c r="BP394" s="13"/>
      <c r="BQ394" s="11"/>
      <c r="BR394" s="12"/>
      <c r="BS394" s="12"/>
      <c r="BT394" s="11">
        <v>1</v>
      </c>
      <c r="BU394" s="13">
        <v>423.94</v>
      </c>
      <c r="BV394" s="11"/>
      <c r="BW394" s="11"/>
      <c r="BX394" s="13"/>
      <c r="BY394" s="11"/>
      <c r="BZ394" s="12"/>
      <c r="CA394" s="12"/>
      <c r="CB394" s="11"/>
      <c r="CC394" s="13"/>
      <c r="CD394" s="11"/>
      <c r="CE394" s="11"/>
      <c r="CF394" s="13"/>
      <c r="CG394" s="11"/>
      <c r="CH394" s="12"/>
      <c r="CI394" s="12"/>
      <c r="CJ394" s="11"/>
      <c r="CK394" s="13"/>
      <c r="CL394" s="11">
        <v>2</v>
      </c>
      <c r="CM394" s="11"/>
      <c r="CN394" s="13"/>
      <c r="CO394" s="11"/>
      <c r="CP394" s="12"/>
      <c r="CQ394" s="12"/>
      <c r="CR394" s="11"/>
      <c r="CS394" s="13"/>
      <c r="CT394" s="11"/>
      <c r="CU394" s="11"/>
      <c r="CV394" s="13"/>
      <c r="CW394" s="11"/>
      <c r="CX394" s="12"/>
      <c r="CY394" s="12"/>
      <c r="CZ394" s="11"/>
      <c r="DA394" s="13"/>
      <c r="DB394" s="11"/>
      <c r="DC394" s="11"/>
      <c r="DD394" s="13"/>
      <c r="DE394" s="11"/>
      <c r="DF394" s="12"/>
      <c r="DG394" s="12"/>
      <c r="DH394" s="11"/>
      <c r="DI394" s="13"/>
      <c r="DJ394" s="11"/>
      <c r="DK394" s="11"/>
      <c r="DL394" s="13"/>
      <c r="DM394" s="11"/>
      <c r="DN394" s="12"/>
      <c r="DO394" s="12"/>
      <c r="DP394" s="11"/>
      <c r="DQ394" s="13"/>
      <c r="DR394" s="11"/>
      <c r="DS394" s="11"/>
      <c r="DT394" s="13"/>
      <c r="DU394" s="11"/>
      <c r="DV394" s="12"/>
      <c r="DW394" s="12"/>
      <c r="DX394" s="11"/>
      <c r="DY394" s="13"/>
      <c r="DZ394" s="11"/>
      <c r="EA394" s="11"/>
      <c r="EB394" s="13"/>
      <c r="EC394" s="11"/>
      <c r="ED394" s="12"/>
      <c r="EE394" s="12"/>
      <c r="EF394" s="11"/>
      <c r="EG394" s="13"/>
      <c r="EH394" s="11"/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/>
      <c r="FE394" s="13"/>
      <c r="FF394" s="11"/>
      <c r="FG394" s="11"/>
      <c r="FH394" s="13"/>
      <c r="FI394" s="11"/>
      <c r="FJ394" s="12"/>
      <c r="FK394" s="12"/>
      <c r="FL394" s="11"/>
      <c r="FM394" s="13"/>
      <c r="FN394" s="11"/>
      <c r="FO394" s="11"/>
      <c r="FP394" s="13"/>
      <c r="FQ394" s="11"/>
      <c r="FR394" s="12"/>
      <c r="FS394" s="12"/>
      <c r="FT394" s="11"/>
      <c r="FU394" s="13"/>
      <c r="FV394" s="11"/>
      <c r="FW394" s="11"/>
      <c r="FX394" s="13"/>
      <c r="FY394" s="11"/>
      <c r="FZ394" s="12"/>
      <c r="GA394" s="12"/>
      <c r="GB394" s="11"/>
      <c r="GC394" s="13"/>
      <c r="GD394" s="11">
        <v>1</v>
      </c>
      <c r="GE394" s="11"/>
      <c r="GF394" s="13"/>
      <c r="GG394" s="11"/>
      <c r="GH394" s="12"/>
      <c r="GI394" s="12"/>
      <c r="GJ394" s="11"/>
      <c r="GK394" s="13"/>
      <c r="GL394" s="11"/>
      <c r="GM394" s="11"/>
      <c r="GN394" s="13"/>
      <c r="GO394" s="11"/>
      <c r="GP394" s="12"/>
      <c r="GQ394" s="12"/>
      <c r="GR394" s="11"/>
      <c r="GS394" s="13"/>
      <c r="GT394" s="11">
        <v>3</v>
      </c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/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/>
      <c r="JO394" s="11"/>
      <c r="JP394" s="13"/>
      <c r="JQ394" s="11"/>
      <c r="JR394" s="12"/>
      <c r="JS394" s="12"/>
      <c r="JT394" s="11"/>
      <c r="JU394" s="13"/>
      <c r="JV394" s="11"/>
      <c r="JW394" s="11"/>
      <c r="JX394" s="13"/>
      <c r="JY394" s="11"/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/>
      <c r="KN394" s="13"/>
      <c r="KO394" s="11"/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  <c r="LH394" s="11"/>
      <c r="LI394" s="13"/>
      <c r="LJ394" s="11"/>
      <c r="LK394" s="11"/>
      <c r="LL394" s="13"/>
      <c r="LM394" s="11"/>
      <c r="LN394" s="12"/>
      <c r="LO394" s="12"/>
      <c r="LP394" s="11"/>
      <c r="LQ394" s="13"/>
      <c r="LR394" s="11"/>
      <c r="LS394" s="11"/>
      <c r="LT394" s="13"/>
      <c r="LU394" s="11"/>
      <c r="LV394" s="12"/>
      <c r="LW394" s="12"/>
    </row>
    <row r="395">
      <c r="A395" s="10" t="s">
        <v>227</v>
      </c>
      <c r="B395" s="10" t="s">
        <v>113</v>
      </c>
      <c r="C395" s="10" t="s">
        <v>239</v>
      </c>
      <c r="D395" s="11">
        <v>91</v>
      </c>
      <c r="E395" s="11">
        <f>=ROUNDDOWN(45.5,0)</f>
      </c>
      <c r="F395" s="11"/>
      <c r="G395" s="12"/>
      <c r="H395" s="11"/>
      <c r="I395" s="11">
        <f>=ROUNDDOWN({0},0)</f>
      </c>
      <c r="J395" s="11"/>
      <c r="K395" s="12"/>
      <c r="L395" s="11">
        <v>22</v>
      </c>
      <c r="M395" s="13">
        <v>6195.38</v>
      </c>
      <c r="N395" s="11">
        <v>1</v>
      </c>
      <c r="O395" s="14">
        <v>6195.38</v>
      </c>
      <c r="P395" s="11"/>
      <c r="Q395" s="13"/>
      <c r="R395" s="11"/>
      <c r="S395" s="14"/>
      <c r="T395" s="12"/>
      <c r="U395" s="12"/>
      <c r="V395" s="12"/>
      <c r="W395" s="12"/>
      <c r="X395" s="11"/>
      <c r="Y395" s="13"/>
      <c r="Z395" s="11"/>
      <c r="AA395" s="11"/>
      <c r="AB395" s="13"/>
      <c r="AC395" s="11"/>
      <c r="AD395" s="12"/>
      <c r="AE395" s="12"/>
      <c r="AF395" s="11">
        <v>3</v>
      </c>
      <c r="AG395" s="13">
        <v>725.06</v>
      </c>
      <c r="AH395" s="11">
        <v>1</v>
      </c>
      <c r="AI395" s="11"/>
      <c r="AJ395" s="13"/>
      <c r="AK395" s="11"/>
      <c r="AL395" s="12"/>
      <c r="AM395" s="12"/>
      <c r="AN395" s="11"/>
      <c r="AO395" s="13"/>
      <c r="AP395" s="11">
        <v>1</v>
      </c>
      <c r="AQ395" s="11"/>
      <c r="AR395" s="13"/>
      <c r="AS395" s="11"/>
      <c r="AT395" s="12"/>
      <c r="AU395" s="12"/>
      <c r="AV395" s="11">
        <v>1</v>
      </c>
      <c r="AW395" s="13">
        <v>317.52</v>
      </c>
      <c r="AX395" s="11">
        <v>1</v>
      </c>
      <c r="AY395" s="11"/>
      <c r="AZ395" s="13"/>
      <c r="BA395" s="11"/>
      <c r="BB395" s="12"/>
      <c r="BC395" s="12"/>
      <c r="BD395" s="11"/>
      <c r="BE395" s="13"/>
      <c r="BF395" s="11"/>
      <c r="BG395" s="11"/>
      <c r="BH395" s="13"/>
      <c r="BI395" s="11"/>
      <c r="BJ395" s="12"/>
      <c r="BK395" s="12"/>
      <c r="BL395" s="11">
        <v>2</v>
      </c>
      <c r="BM395" s="13">
        <v>660.02</v>
      </c>
      <c r="BN395" s="11">
        <v>1</v>
      </c>
      <c r="BO395" s="11"/>
      <c r="BP395" s="13"/>
      <c r="BQ395" s="11"/>
      <c r="BR395" s="12"/>
      <c r="BS395" s="12"/>
      <c r="BT395" s="11"/>
      <c r="BU395" s="13"/>
      <c r="BV395" s="11">
        <v>1</v>
      </c>
      <c r="BW395" s="11"/>
      <c r="BX395" s="13"/>
      <c r="BY395" s="11"/>
      <c r="BZ395" s="12"/>
      <c r="CA395" s="12"/>
      <c r="CB395" s="11"/>
      <c r="CC395" s="13"/>
      <c r="CD395" s="11">
        <v>1</v>
      </c>
      <c r="CE395" s="11"/>
      <c r="CF395" s="13"/>
      <c r="CG395" s="11"/>
      <c r="CH395" s="12"/>
      <c r="CI395" s="12"/>
      <c r="CJ395" s="11"/>
      <c r="CK395" s="13"/>
      <c r="CL395" s="11">
        <v>1</v>
      </c>
      <c r="CM395" s="11"/>
      <c r="CN395" s="13"/>
      <c r="CO395" s="11"/>
      <c r="CP395" s="12"/>
      <c r="CQ395" s="12"/>
      <c r="CR395" s="11"/>
      <c r="CS395" s="13"/>
      <c r="CT395" s="11"/>
      <c r="CU395" s="11"/>
      <c r="CV395" s="13"/>
      <c r="CW395" s="11"/>
      <c r="CX395" s="12"/>
      <c r="CY395" s="12"/>
      <c r="CZ395" s="11">
        <v>14</v>
      </c>
      <c r="DA395" s="13">
        <v>3987.34</v>
      </c>
      <c r="DB395" s="11">
        <v>1</v>
      </c>
      <c r="DC395" s="11"/>
      <c r="DD395" s="13"/>
      <c r="DE395" s="11"/>
      <c r="DF395" s="12"/>
      <c r="DG395" s="12"/>
      <c r="DH395" s="11"/>
      <c r="DI395" s="13"/>
      <c r="DJ395" s="11"/>
      <c r="DK395" s="11"/>
      <c r="DL395" s="13"/>
      <c r="DM395" s="11"/>
      <c r="DN395" s="12"/>
      <c r="DO395" s="12"/>
      <c r="DP395" s="11"/>
      <c r="DQ395" s="13"/>
      <c r="DR395" s="11"/>
      <c r="DS395" s="11"/>
      <c r="DT395" s="13"/>
      <c r="DU395" s="11"/>
      <c r="DV395" s="12"/>
      <c r="DW395" s="12"/>
      <c r="DX395" s="11"/>
      <c r="DY395" s="13"/>
      <c r="DZ395" s="11">
        <v>1</v>
      </c>
      <c r="EA395" s="11"/>
      <c r="EB395" s="13"/>
      <c r="EC395" s="11"/>
      <c r="ED395" s="12"/>
      <c r="EE395" s="12"/>
      <c r="EF395" s="11"/>
      <c r="EG395" s="13"/>
      <c r="EH395" s="11"/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/>
      <c r="FE395" s="13"/>
      <c r="FF395" s="11"/>
      <c r="FG395" s="11"/>
      <c r="FH395" s="13"/>
      <c r="FI395" s="11"/>
      <c r="FJ395" s="12"/>
      <c r="FK395" s="12"/>
      <c r="FL395" s="11"/>
      <c r="FM395" s="13"/>
      <c r="FN395" s="11"/>
      <c r="FO395" s="11"/>
      <c r="FP395" s="13"/>
      <c r="FQ395" s="11"/>
      <c r="FR395" s="12"/>
      <c r="FS395" s="12"/>
      <c r="FT395" s="11"/>
      <c r="FU395" s="13"/>
      <c r="FV395" s="11"/>
      <c r="FW395" s="11"/>
      <c r="FX395" s="13"/>
      <c r="FY395" s="11"/>
      <c r="FZ395" s="12"/>
      <c r="GA395" s="12"/>
      <c r="GB395" s="11">
        <v>1</v>
      </c>
      <c r="GC395" s="13">
        <v>224.64</v>
      </c>
      <c r="GD395" s="11">
        <v>1</v>
      </c>
      <c r="GE395" s="11"/>
      <c r="GF395" s="13"/>
      <c r="GG395" s="11"/>
      <c r="GH395" s="12"/>
      <c r="GI395" s="12"/>
      <c r="GJ395" s="11">
        <v>1</v>
      </c>
      <c r="GK395" s="13">
        <v>280.8</v>
      </c>
      <c r="GL395" s="11">
        <v>1</v>
      </c>
      <c r="GM395" s="11"/>
      <c r="GN395" s="13"/>
      <c r="GO395" s="11"/>
      <c r="GP395" s="12"/>
      <c r="GQ395" s="12"/>
      <c r="GR395" s="11"/>
      <c r="GS395" s="13"/>
      <c r="GT395" s="11">
        <v>1</v>
      </c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/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/>
      <c r="JO395" s="11"/>
      <c r="JP395" s="13"/>
      <c r="JQ395" s="11"/>
      <c r="JR395" s="12"/>
      <c r="JS395" s="12"/>
      <c r="JT395" s="11"/>
      <c r="JU395" s="13"/>
      <c r="JV395" s="11"/>
      <c r="JW395" s="11"/>
      <c r="JX395" s="13"/>
      <c r="JY395" s="11"/>
      <c r="JZ395" s="12"/>
      <c r="KA395" s="12"/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/>
      <c r="KM395" s="11"/>
      <c r="KN395" s="13"/>
      <c r="KO395" s="11"/>
      <c r="KP395" s="12"/>
      <c r="KQ395" s="12"/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  <c r="LH395" s="11"/>
      <c r="LI395" s="13"/>
      <c r="LJ395" s="11"/>
      <c r="LK395" s="11"/>
      <c r="LL395" s="13"/>
      <c r="LM395" s="11"/>
      <c r="LN395" s="12"/>
      <c r="LO395" s="12"/>
      <c r="LP395" s="11"/>
      <c r="LQ395" s="13"/>
      <c r="LR395" s="11"/>
      <c r="LS395" s="11"/>
      <c r="LT395" s="13"/>
      <c r="LU395" s="11"/>
      <c r="LV395" s="12"/>
      <c r="LW395" s="12"/>
    </row>
    <row r="396">
      <c r="A396" s="10" t="s">
        <v>227</v>
      </c>
      <c r="B396" s="10" t="s">
        <v>113</v>
      </c>
      <c r="C396" s="10" t="s">
        <v>230</v>
      </c>
      <c r="D396" s="11">
        <v>763</v>
      </c>
      <c r="E396" s="11">
        <f>=ROUNDDOWN(41.2432432432432,0)</f>
      </c>
      <c r="F396" s="11">
        <v>150</v>
      </c>
      <c r="G396" s="12">
        <v>1</v>
      </c>
      <c r="H396" s="11"/>
      <c r="I396" s="11">
        <f>=ROUNDDOWN({0},0)</f>
      </c>
      <c r="J396" s="11"/>
      <c r="K396" s="12"/>
      <c r="L396" s="11">
        <v>233</v>
      </c>
      <c r="M396" s="13">
        <v>37198.2</v>
      </c>
      <c r="N396" s="11">
        <v>5</v>
      </c>
      <c r="O396" s="14">
        <v>7439.64</v>
      </c>
      <c r="P396" s="11"/>
      <c r="Q396" s="13"/>
      <c r="R396" s="11"/>
      <c r="S396" s="14"/>
      <c r="T396" s="12"/>
      <c r="U396" s="12"/>
      <c r="V396" s="12"/>
      <c r="W396" s="12"/>
      <c r="X396" s="11"/>
      <c r="Y396" s="13"/>
      <c r="Z396" s="11"/>
      <c r="AA396" s="11"/>
      <c r="AB396" s="13"/>
      <c r="AC396" s="11"/>
      <c r="AD396" s="12"/>
      <c r="AE396" s="12"/>
      <c r="AF396" s="11">
        <v>139</v>
      </c>
      <c r="AG396" s="13">
        <v>17871.68</v>
      </c>
      <c r="AH396" s="11">
        <v>5</v>
      </c>
      <c r="AI396" s="11"/>
      <c r="AJ396" s="13"/>
      <c r="AK396" s="11"/>
      <c r="AL396" s="12"/>
      <c r="AM396" s="12"/>
      <c r="AN396" s="11">
        <v>1</v>
      </c>
      <c r="AO396" s="13">
        <v>173.21</v>
      </c>
      <c r="AP396" s="11">
        <v>5</v>
      </c>
      <c r="AQ396" s="11"/>
      <c r="AR396" s="13"/>
      <c r="AS396" s="11"/>
      <c r="AT396" s="12"/>
      <c r="AU396" s="12"/>
      <c r="AV396" s="11">
        <v>2</v>
      </c>
      <c r="AW396" s="13">
        <v>401.39</v>
      </c>
      <c r="AX396" s="11">
        <v>3</v>
      </c>
      <c r="AY396" s="11"/>
      <c r="AZ396" s="13"/>
      <c r="BA396" s="11"/>
      <c r="BB396" s="12"/>
      <c r="BC396" s="12"/>
      <c r="BD396" s="11">
        <v>7</v>
      </c>
      <c r="BE396" s="13">
        <v>637.37</v>
      </c>
      <c r="BF396" s="11">
        <v>3</v>
      </c>
      <c r="BG396" s="11"/>
      <c r="BH396" s="13"/>
      <c r="BI396" s="11"/>
      <c r="BJ396" s="12"/>
      <c r="BK396" s="12"/>
      <c r="BL396" s="11">
        <v>8</v>
      </c>
      <c r="BM396" s="13">
        <v>1182.59</v>
      </c>
      <c r="BN396" s="11">
        <v>5</v>
      </c>
      <c r="BO396" s="11"/>
      <c r="BP396" s="13"/>
      <c r="BQ396" s="11"/>
      <c r="BR396" s="12"/>
      <c r="BS396" s="12"/>
      <c r="BT396" s="11">
        <v>59</v>
      </c>
      <c r="BU396" s="13">
        <v>13484.61</v>
      </c>
      <c r="BV396" s="11">
        <v>5</v>
      </c>
      <c r="BW396" s="11"/>
      <c r="BX396" s="13"/>
      <c r="BY396" s="11"/>
      <c r="BZ396" s="12"/>
      <c r="CA396" s="12"/>
      <c r="CB396" s="11">
        <v>1</v>
      </c>
      <c r="CC396" s="13">
        <v>286.43</v>
      </c>
      <c r="CD396" s="11">
        <v>3</v>
      </c>
      <c r="CE396" s="11"/>
      <c r="CF396" s="13"/>
      <c r="CG396" s="11"/>
      <c r="CH396" s="12"/>
      <c r="CI396" s="12"/>
      <c r="CJ396" s="11"/>
      <c r="CK396" s="13"/>
      <c r="CL396" s="11">
        <v>1</v>
      </c>
      <c r="CM396" s="11"/>
      <c r="CN396" s="13"/>
      <c r="CO396" s="11"/>
      <c r="CP396" s="12"/>
      <c r="CQ396" s="12"/>
      <c r="CR396" s="11"/>
      <c r="CS396" s="13"/>
      <c r="CT396" s="11"/>
      <c r="CU396" s="11"/>
      <c r="CV396" s="13"/>
      <c r="CW396" s="11"/>
      <c r="CX396" s="12"/>
      <c r="CY396" s="12"/>
      <c r="CZ396" s="11"/>
      <c r="DA396" s="13"/>
      <c r="DB396" s="11"/>
      <c r="DC396" s="11"/>
      <c r="DD396" s="13"/>
      <c r="DE396" s="11"/>
      <c r="DF396" s="12"/>
      <c r="DG396" s="12"/>
      <c r="DH396" s="11">
        <v>7</v>
      </c>
      <c r="DI396" s="13">
        <v>1487.14</v>
      </c>
      <c r="DJ396" s="11">
        <v>4</v>
      </c>
      <c r="DK396" s="11"/>
      <c r="DL396" s="13"/>
      <c r="DM396" s="11"/>
      <c r="DN396" s="12"/>
      <c r="DO396" s="12"/>
      <c r="DP396" s="11"/>
      <c r="DQ396" s="13"/>
      <c r="DR396" s="11"/>
      <c r="DS396" s="11"/>
      <c r="DT396" s="13"/>
      <c r="DU396" s="11"/>
      <c r="DV396" s="12"/>
      <c r="DW396" s="12"/>
      <c r="DX396" s="11">
        <v>7</v>
      </c>
      <c r="DY396" s="13">
        <v>1306.28</v>
      </c>
      <c r="DZ396" s="11">
        <v>1</v>
      </c>
      <c r="EA396" s="11"/>
      <c r="EB396" s="13"/>
      <c r="EC396" s="11"/>
      <c r="ED396" s="12"/>
      <c r="EE396" s="12"/>
      <c r="EF396" s="11"/>
      <c r="EG396" s="13"/>
      <c r="EH396" s="11"/>
      <c r="EI396" s="11"/>
      <c r="EJ396" s="13"/>
      <c r="EK396" s="11"/>
      <c r="EL396" s="12"/>
      <c r="EM396" s="12"/>
      <c r="EN396" s="11"/>
      <c r="EO396" s="13"/>
      <c r="EP396" s="11">
        <v>5</v>
      </c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/>
      <c r="FM396" s="13"/>
      <c r="FN396" s="11">
        <v>4</v>
      </c>
      <c r="FO396" s="11"/>
      <c r="FP396" s="13"/>
      <c r="FQ396" s="11"/>
      <c r="FR396" s="12"/>
      <c r="FS396" s="12"/>
      <c r="FT396" s="11">
        <v>2</v>
      </c>
      <c r="FU396" s="13">
        <v>367.5</v>
      </c>
      <c r="FV396" s="11">
        <v>3</v>
      </c>
      <c r="FW396" s="11"/>
      <c r="FX396" s="13"/>
      <c r="FY396" s="11"/>
      <c r="FZ396" s="12"/>
      <c r="GA396" s="12"/>
      <c r="GB396" s="11"/>
      <c r="GC396" s="13"/>
      <c r="GD396" s="11">
        <v>1</v>
      </c>
      <c r="GE396" s="11"/>
      <c r="GF396" s="13"/>
      <c r="GG396" s="11"/>
      <c r="GH396" s="12"/>
      <c r="GI396" s="12"/>
      <c r="GJ396" s="11"/>
      <c r="GK396" s="13"/>
      <c r="GL396" s="11">
        <v>3</v>
      </c>
      <c r="GM396" s="11"/>
      <c r="GN396" s="13"/>
      <c r="GO396" s="11"/>
      <c r="GP396" s="12"/>
      <c r="GQ396" s="12"/>
      <c r="GR396" s="11"/>
      <c r="GS396" s="13"/>
      <c r="GT396" s="11">
        <v>5</v>
      </c>
      <c r="GU396" s="11"/>
      <c r="GV396" s="13"/>
      <c r="GW396" s="11"/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/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/>
      <c r="JO396" s="11"/>
      <c r="JP396" s="13"/>
      <c r="JQ396" s="11"/>
      <c r="JR396" s="12"/>
      <c r="JS396" s="12"/>
      <c r="JT396" s="11"/>
      <c r="JU396" s="13"/>
      <c r="JV396" s="11">
        <v>1</v>
      </c>
      <c r="JW396" s="11"/>
      <c r="JX396" s="13"/>
      <c r="JY396" s="11"/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/>
      <c r="KM396" s="11"/>
      <c r="KN396" s="13"/>
      <c r="KO396" s="11"/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  <c r="LH396" s="11"/>
      <c r="LI396" s="13"/>
      <c r="LJ396" s="11"/>
      <c r="LK396" s="11"/>
      <c r="LL396" s="13"/>
      <c r="LM396" s="11"/>
      <c r="LN396" s="12"/>
      <c r="LO396" s="12"/>
      <c r="LP396" s="11"/>
      <c r="LQ396" s="13"/>
      <c r="LR396" s="11"/>
      <c r="LS396" s="11"/>
      <c r="LT396" s="13"/>
      <c r="LU396" s="11"/>
      <c r="LV396" s="12"/>
      <c r="LW396" s="12"/>
    </row>
    <row r="397">
      <c r="A397" s="10" t="s">
        <v>227</v>
      </c>
      <c r="B397" s="10" t="s">
        <v>113</v>
      </c>
      <c r="C397" s="10" t="s">
        <v>218</v>
      </c>
      <c r="D397" s="11">
        <v>5386</v>
      </c>
      <c r="E397" s="11">
        <f>=ROUNDDOWN(24.9236464599722,0)</f>
      </c>
      <c r="F397" s="11">
        <v>3072</v>
      </c>
      <c r="G397" s="12">
        <v>0.9873</v>
      </c>
      <c r="H397" s="11"/>
      <c r="I397" s="11">
        <f>=ROUNDDOWN({0},0)</f>
      </c>
      <c r="J397" s="11"/>
      <c r="K397" s="12">
        <v>0.4384</v>
      </c>
      <c r="L397" s="11">
        <v>2671</v>
      </c>
      <c r="M397" s="13">
        <v>508056.48</v>
      </c>
      <c r="N397" s="11">
        <v>34</v>
      </c>
      <c r="O397" s="14">
        <v>14942.84</v>
      </c>
      <c r="P397" s="11"/>
      <c r="Q397" s="13"/>
      <c r="R397" s="11"/>
      <c r="S397" s="14"/>
      <c r="T397" s="12"/>
      <c r="U397" s="12"/>
      <c r="V397" s="12"/>
      <c r="W397" s="12"/>
      <c r="X397" s="11">
        <v>52</v>
      </c>
      <c r="Y397" s="13">
        <v>17359.75</v>
      </c>
      <c r="Z397" s="11">
        <v>6</v>
      </c>
      <c r="AA397" s="11"/>
      <c r="AB397" s="13"/>
      <c r="AC397" s="11"/>
      <c r="AD397" s="12"/>
      <c r="AE397" s="12"/>
      <c r="AF397" s="11">
        <v>973</v>
      </c>
      <c r="AG397" s="13">
        <v>145134.72</v>
      </c>
      <c r="AH397" s="11">
        <v>34</v>
      </c>
      <c r="AI397" s="11"/>
      <c r="AJ397" s="13"/>
      <c r="AK397" s="11"/>
      <c r="AL397" s="12"/>
      <c r="AM397" s="12"/>
      <c r="AN397" s="11">
        <v>142</v>
      </c>
      <c r="AO397" s="13">
        <v>22256.58</v>
      </c>
      <c r="AP397" s="11">
        <v>33</v>
      </c>
      <c r="AQ397" s="11"/>
      <c r="AR397" s="13"/>
      <c r="AS397" s="11"/>
      <c r="AT397" s="12"/>
      <c r="AU397" s="12"/>
      <c r="AV397" s="11">
        <v>64</v>
      </c>
      <c r="AW397" s="13">
        <v>18794.17</v>
      </c>
      <c r="AX397" s="11">
        <v>31</v>
      </c>
      <c r="AY397" s="11"/>
      <c r="AZ397" s="13"/>
      <c r="BA397" s="11"/>
      <c r="BB397" s="12"/>
      <c r="BC397" s="12"/>
      <c r="BD397" s="11">
        <v>272</v>
      </c>
      <c r="BE397" s="13">
        <v>46306.96</v>
      </c>
      <c r="BF397" s="11">
        <v>28</v>
      </c>
      <c r="BG397" s="11"/>
      <c r="BH397" s="13"/>
      <c r="BI397" s="11"/>
      <c r="BJ397" s="12"/>
      <c r="BK397" s="12"/>
      <c r="BL397" s="11">
        <v>377</v>
      </c>
      <c r="BM397" s="13">
        <v>91076.31</v>
      </c>
      <c r="BN397" s="11">
        <v>34</v>
      </c>
      <c r="BO397" s="11"/>
      <c r="BP397" s="13"/>
      <c r="BQ397" s="11"/>
      <c r="BR397" s="12"/>
      <c r="BS397" s="12"/>
      <c r="BT397" s="11">
        <v>331</v>
      </c>
      <c r="BU397" s="13">
        <v>74191.69</v>
      </c>
      <c r="BV397" s="11">
        <v>34</v>
      </c>
      <c r="BW397" s="11"/>
      <c r="BX397" s="13"/>
      <c r="BY397" s="11"/>
      <c r="BZ397" s="12"/>
      <c r="CA397" s="12"/>
      <c r="CB397" s="11">
        <v>18</v>
      </c>
      <c r="CC397" s="13">
        <v>3670.83</v>
      </c>
      <c r="CD397" s="11">
        <v>21</v>
      </c>
      <c r="CE397" s="11"/>
      <c r="CF397" s="13"/>
      <c r="CG397" s="11"/>
      <c r="CH397" s="12"/>
      <c r="CI397" s="12"/>
      <c r="CJ397" s="11"/>
      <c r="CK397" s="13"/>
      <c r="CL397" s="11">
        <v>33</v>
      </c>
      <c r="CM397" s="11"/>
      <c r="CN397" s="13"/>
      <c r="CO397" s="11"/>
      <c r="CP397" s="12"/>
      <c r="CQ397" s="12"/>
      <c r="CR397" s="11"/>
      <c r="CS397" s="13"/>
      <c r="CT397" s="11"/>
      <c r="CU397" s="11"/>
      <c r="CV397" s="13"/>
      <c r="CW397" s="11"/>
      <c r="CX397" s="12"/>
      <c r="CY397" s="12"/>
      <c r="CZ397" s="11">
        <v>111</v>
      </c>
      <c r="DA397" s="13">
        <v>24349.75</v>
      </c>
      <c r="DB397" s="11">
        <v>17</v>
      </c>
      <c r="DC397" s="11"/>
      <c r="DD397" s="13"/>
      <c r="DE397" s="11"/>
      <c r="DF397" s="12"/>
      <c r="DG397" s="12"/>
      <c r="DH397" s="11">
        <v>55</v>
      </c>
      <c r="DI397" s="13">
        <v>15662.68</v>
      </c>
      <c r="DJ397" s="11">
        <v>2</v>
      </c>
      <c r="DK397" s="11"/>
      <c r="DL397" s="13"/>
      <c r="DM397" s="11"/>
      <c r="DN397" s="12"/>
      <c r="DO397" s="12"/>
      <c r="DP397" s="11"/>
      <c r="DQ397" s="13"/>
      <c r="DR397" s="11">
        <v>13</v>
      </c>
      <c r="DS397" s="11"/>
      <c r="DT397" s="13"/>
      <c r="DU397" s="11"/>
      <c r="DV397" s="12"/>
      <c r="DW397" s="12"/>
      <c r="DX397" s="11">
        <v>51</v>
      </c>
      <c r="DY397" s="13">
        <v>11192.66</v>
      </c>
      <c r="DZ397" s="11">
        <v>30</v>
      </c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>
        <v>2</v>
      </c>
      <c r="EO397" s="13">
        <v>754</v>
      </c>
      <c r="EP397" s="11">
        <v>34</v>
      </c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>
        <v>4</v>
      </c>
      <c r="FM397" s="13">
        <v>1040.42</v>
      </c>
      <c r="FN397" s="11">
        <v>9</v>
      </c>
      <c r="FO397" s="11"/>
      <c r="FP397" s="13"/>
      <c r="FQ397" s="11"/>
      <c r="FR397" s="12"/>
      <c r="FS397" s="12"/>
      <c r="FT397" s="11">
        <v>26</v>
      </c>
      <c r="FU397" s="13">
        <v>3737.08</v>
      </c>
      <c r="FV397" s="11">
        <v>16</v>
      </c>
      <c r="FW397" s="11"/>
      <c r="FX397" s="13"/>
      <c r="FY397" s="11"/>
      <c r="FZ397" s="12"/>
      <c r="GA397" s="12"/>
      <c r="GB397" s="11">
        <v>12</v>
      </c>
      <c r="GC397" s="13">
        <v>2363.77</v>
      </c>
      <c r="GD397" s="11">
        <v>12</v>
      </c>
      <c r="GE397" s="11"/>
      <c r="GF397" s="13"/>
      <c r="GG397" s="11"/>
      <c r="GH397" s="12"/>
      <c r="GI397" s="12"/>
      <c r="GJ397" s="11">
        <v>43</v>
      </c>
      <c r="GK397" s="13">
        <v>7682.5</v>
      </c>
      <c r="GL397" s="11">
        <v>27</v>
      </c>
      <c r="GM397" s="11"/>
      <c r="GN397" s="13"/>
      <c r="GO397" s="11"/>
      <c r="GP397" s="12"/>
      <c r="GQ397" s="12"/>
      <c r="GR397" s="11">
        <v>138</v>
      </c>
      <c r="GS397" s="13">
        <v>22482.61</v>
      </c>
      <c r="GT397" s="11">
        <v>29</v>
      </c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>
        <v>3</v>
      </c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/>
      <c r="JO397" s="11"/>
      <c r="JP397" s="13"/>
      <c r="JQ397" s="11"/>
      <c r="JR397" s="12"/>
      <c r="JS397" s="12"/>
      <c r="JT397" s="11"/>
      <c r="JU397" s="13"/>
      <c r="JV397" s="11"/>
      <c r="JW397" s="11"/>
      <c r="JX397" s="13"/>
      <c r="JY397" s="11"/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  <c r="LH397" s="11"/>
      <c r="LI397" s="13"/>
      <c r="LJ397" s="11"/>
      <c r="LK397" s="11"/>
      <c r="LL397" s="13"/>
      <c r="LM397" s="11"/>
      <c r="LN397" s="12"/>
      <c r="LO397" s="12"/>
      <c r="LP397" s="11"/>
      <c r="LQ397" s="13"/>
      <c r="LR397" s="11"/>
      <c r="LS397" s="11"/>
      <c r="LT397" s="13"/>
      <c r="LU397" s="11"/>
      <c r="LV397" s="12"/>
      <c r="LW397" s="12"/>
    </row>
    <row r="398">
      <c r="A398" s="10" t="s">
        <v>227</v>
      </c>
      <c r="B398" s="10" t="s">
        <v>113</v>
      </c>
      <c r="C398" s="10" t="s">
        <v>219</v>
      </c>
      <c r="D398" s="11">
        <v>211</v>
      </c>
      <c r="E398" s="11">
        <f>=ROUNDDOWN(5.14634146341463,0)</f>
      </c>
      <c r="F398" s="11">
        <v>1266</v>
      </c>
      <c r="G398" s="12">
        <v>0.8532</v>
      </c>
      <c r="H398" s="11"/>
      <c r="I398" s="11">
        <f>=ROUNDDOWN({0},0)</f>
      </c>
      <c r="J398" s="11"/>
      <c r="K398" s="12"/>
      <c r="L398" s="11">
        <v>568</v>
      </c>
      <c r="M398" s="13">
        <v>172572.78</v>
      </c>
      <c r="N398" s="11">
        <v>2</v>
      </c>
      <c r="O398" s="14">
        <v>86286.39</v>
      </c>
      <c r="P398" s="11"/>
      <c r="Q398" s="13"/>
      <c r="R398" s="11"/>
      <c r="S398" s="14"/>
      <c r="T398" s="12"/>
      <c r="U398" s="12"/>
      <c r="V398" s="12"/>
      <c r="W398" s="12"/>
      <c r="X398" s="11"/>
      <c r="Y398" s="13"/>
      <c r="Z398" s="11"/>
      <c r="AA398" s="11"/>
      <c r="AB398" s="13"/>
      <c r="AC398" s="11"/>
      <c r="AD398" s="12"/>
      <c r="AE398" s="12"/>
      <c r="AF398" s="11">
        <v>422</v>
      </c>
      <c r="AG398" s="13">
        <v>123501.4</v>
      </c>
      <c r="AH398" s="11">
        <v>2</v>
      </c>
      <c r="AI398" s="11"/>
      <c r="AJ398" s="13"/>
      <c r="AK398" s="11"/>
      <c r="AL398" s="12"/>
      <c r="AM398" s="12"/>
      <c r="AN398" s="11">
        <v>8</v>
      </c>
      <c r="AO398" s="13">
        <v>2584.72</v>
      </c>
      <c r="AP398" s="11">
        <v>2</v>
      </c>
      <c r="AQ398" s="11"/>
      <c r="AR398" s="13"/>
      <c r="AS398" s="11"/>
      <c r="AT398" s="12"/>
      <c r="AU398" s="12"/>
      <c r="AV398" s="11"/>
      <c r="AW398" s="13"/>
      <c r="AX398" s="11"/>
      <c r="AY398" s="11"/>
      <c r="AZ398" s="13"/>
      <c r="BA398" s="11"/>
      <c r="BB398" s="12"/>
      <c r="BC398" s="12"/>
      <c r="BD398" s="11">
        <v>55</v>
      </c>
      <c r="BE398" s="13">
        <v>16356.45</v>
      </c>
      <c r="BF398" s="11">
        <v>1</v>
      </c>
      <c r="BG398" s="11"/>
      <c r="BH398" s="13"/>
      <c r="BI398" s="11"/>
      <c r="BJ398" s="12"/>
      <c r="BK398" s="12"/>
      <c r="BL398" s="11">
        <v>32</v>
      </c>
      <c r="BM398" s="13">
        <v>11914.97</v>
      </c>
      <c r="BN398" s="11">
        <v>2</v>
      </c>
      <c r="BO398" s="11"/>
      <c r="BP398" s="13"/>
      <c r="BQ398" s="11"/>
      <c r="BR398" s="12"/>
      <c r="BS398" s="12"/>
      <c r="BT398" s="11">
        <v>43</v>
      </c>
      <c r="BU398" s="13">
        <v>15653.5</v>
      </c>
      <c r="BV398" s="11">
        <v>1</v>
      </c>
      <c r="BW398" s="11"/>
      <c r="BX398" s="13"/>
      <c r="BY398" s="11"/>
      <c r="BZ398" s="12"/>
      <c r="CA398" s="12"/>
      <c r="CB398" s="11"/>
      <c r="CC398" s="13"/>
      <c r="CD398" s="11"/>
      <c r="CE398" s="11"/>
      <c r="CF398" s="13"/>
      <c r="CG398" s="11"/>
      <c r="CH398" s="12"/>
      <c r="CI398" s="12"/>
      <c r="CJ398" s="11"/>
      <c r="CK398" s="13"/>
      <c r="CL398" s="11">
        <v>1</v>
      </c>
      <c r="CM398" s="11"/>
      <c r="CN398" s="13"/>
      <c r="CO398" s="11"/>
      <c r="CP398" s="12"/>
      <c r="CQ398" s="12"/>
      <c r="CR398" s="11"/>
      <c r="CS398" s="13"/>
      <c r="CT398" s="11"/>
      <c r="CU398" s="11"/>
      <c r="CV398" s="13"/>
      <c r="CW398" s="11"/>
      <c r="CX398" s="12"/>
      <c r="CY398" s="12"/>
      <c r="CZ398" s="11"/>
      <c r="DA398" s="13"/>
      <c r="DB398" s="11"/>
      <c r="DC398" s="11"/>
      <c r="DD398" s="13"/>
      <c r="DE398" s="11"/>
      <c r="DF398" s="12"/>
      <c r="DG398" s="12"/>
      <c r="DH398" s="11"/>
      <c r="DI398" s="13"/>
      <c r="DJ398" s="11"/>
      <c r="DK398" s="11"/>
      <c r="DL398" s="13"/>
      <c r="DM398" s="11"/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/>
      <c r="EA398" s="11"/>
      <c r="EB398" s="13"/>
      <c r="EC398" s="11"/>
      <c r="ED398" s="12"/>
      <c r="EE398" s="12"/>
      <c r="EF398" s="11"/>
      <c r="EG398" s="13"/>
      <c r="EH398" s="11"/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>
        <v>1</v>
      </c>
      <c r="FM398" s="13">
        <v>297.68</v>
      </c>
      <c r="FN398" s="11">
        <v>1</v>
      </c>
      <c r="FO398" s="11"/>
      <c r="FP398" s="13"/>
      <c r="FQ398" s="11"/>
      <c r="FR398" s="12"/>
      <c r="FS398" s="12"/>
      <c r="FT398" s="11"/>
      <c r="FU398" s="13"/>
      <c r="FV398" s="11"/>
      <c r="FW398" s="11"/>
      <c r="FX398" s="13"/>
      <c r="FY398" s="11"/>
      <c r="FZ398" s="12"/>
      <c r="GA398" s="12"/>
      <c r="GB398" s="11">
        <v>2</v>
      </c>
      <c r="GC398" s="13">
        <v>775.66</v>
      </c>
      <c r="GD398" s="11"/>
      <c r="GE398" s="11"/>
      <c r="GF398" s="13"/>
      <c r="GG398" s="11"/>
      <c r="GH398" s="12"/>
      <c r="GI398" s="12"/>
      <c r="GJ398" s="11">
        <v>5</v>
      </c>
      <c r="GK398" s="13">
        <v>1488.4</v>
      </c>
      <c r="GL398" s="11">
        <v>1</v>
      </c>
      <c r="GM398" s="11"/>
      <c r="GN398" s="13"/>
      <c r="GO398" s="11"/>
      <c r="GP398" s="12"/>
      <c r="GQ398" s="12"/>
      <c r="GR398" s="11"/>
      <c r="GS398" s="13"/>
      <c r="GT398" s="11">
        <v>1</v>
      </c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/>
      <c r="JR398" s="12"/>
      <c r="JS398" s="12"/>
      <c r="JT398" s="11"/>
      <c r="JU398" s="13"/>
      <c r="JV398" s="11"/>
      <c r="JW398" s="11"/>
      <c r="JX398" s="13"/>
      <c r="JY398" s="11"/>
      <c r="JZ398" s="12"/>
      <c r="KA398" s="12"/>
      <c r="KB398" s="11"/>
      <c r="KC398" s="13"/>
      <c r="KD398" s="11"/>
      <c r="KE398" s="11"/>
      <c r="KF398" s="13"/>
      <c r="KG398" s="11"/>
      <c r="KH398" s="12"/>
      <c r="KI398" s="12"/>
      <c r="KJ398" s="11"/>
      <c r="KK398" s="13"/>
      <c r="KL398" s="11"/>
      <c r="KM398" s="11"/>
      <c r="KN398" s="13"/>
      <c r="KO398" s="11"/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  <c r="LH398" s="11"/>
      <c r="LI398" s="13"/>
      <c r="LJ398" s="11"/>
      <c r="LK398" s="11"/>
      <c r="LL398" s="13"/>
      <c r="LM398" s="11"/>
      <c r="LN398" s="12"/>
      <c r="LO398" s="12"/>
      <c r="LP398" s="11"/>
      <c r="LQ398" s="13"/>
      <c r="LR398" s="11"/>
      <c r="LS398" s="11"/>
      <c r="LT398" s="13"/>
      <c r="LU398" s="11"/>
      <c r="LV398" s="12"/>
      <c r="LW398" s="12"/>
    </row>
    <row r="399">
      <c r="A399" s="10" t="s">
        <v>227</v>
      </c>
      <c r="B399" s="10" t="s">
        <v>113</v>
      </c>
      <c r="C399" s="10" t="s">
        <v>240</v>
      </c>
      <c r="D399" s="11"/>
      <c r="E399" s="11">
        <f>=ROUNDDOWN({0},0)</f>
      </c>
      <c r="F399" s="11"/>
      <c r="G399" s="12"/>
      <c r="H399" s="11"/>
      <c r="I399" s="11">
        <f>=ROUNDDOWN({0},0)</f>
      </c>
      <c r="J399" s="11"/>
      <c r="K399" s="12"/>
      <c r="L399" s="11"/>
      <c r="M399" s="13"/>
      <c r="N399" s="11"/>
      <c r="O399" s="14"/>
      <c r="P399" s="11"/>
      <c r="Q399" s="13"/>
      <c r="R399" s="11"/>
      <c r="S399" s="14"/>
      <c r="T399" s="12"/>
      <c r="U399" s="12"/>
      <c r="V399" s="12"/>
      <c r="W399" s="12"/>
      <c r="X399" s="11"/>
      <c r="Y399" s="13"/>
      <c r="Z399" s="11"/>
      <c r="AA399" s="11"/>
      <c r="AB399" s="13"/>
      <c r="AC399" s="11"/>
      <c r="AD399" s="12"/>
      <c r="AE399" s="12"/>
      <c r="AF399" s="11"/>
      <c r="AG399" s="13"/>
      <c r="AH399" s="11"/>
      <c r="AI399" s="11"/>
      <c r="AJ399" s="13"/>
      <c r="AK399" s="11"/>
      <c r="AL399" s="12"/>
      <c r="AM399" s="12"/>
      <c r="AN399" s="11"/>
      <c r="AO399" s="13"/>
      <c r="AP399" s="11"/>
      <c r="AQ399" s="11"/>
      <c r="AR399" s="13"/>
      <c r="AS399" s="11"/>
      <c r="AT399" s="12"/>
      <c r="AU399" s="12"/>
      <c r="AV399" s="11"/>
      <c r="AW399" s="13"/>
      <c r="AX399" s="11"/>
      <c r="AY399" s="11"/>
      <c r="AZ399" s="13"/>
      <c r="BA399" s="11"/>
      <c r="BB399" s="12"/>
      <c r="BC399" s="12"/>
      <c r="BD399" s="11"/>
      <c r="BE399" s="13"/>
      <c r="BF399" s="11"/>
      <c r="BG399" s="11"/>
      <c r="BH399" s="13"/>
      <c r="BI399" s="11"/>
      <c r="BJ399" s="12"/>
      <c r="BK399" s="12"/>
      <c r="BL399" s="11"/>
      <c r="BM399" s="13"/>
      <c r="BN399" s="11"/>
      <c r="BO399" s="11"/>
      <c r="BP399" s="13"/>
      <c r="BQ399" s="11"/>
      <c r="BR399" s="12"/>
      <c r="BS399" s="12"/>
      <c r="BT399" s="11"/>
      <c r="BU399" s="13"/>
      <c r="BV399" s="11"/>
      <c r="BW399" s="11"/>
      <c r="BX399" s="13"/>
      <c r="BY399" s="11"/>
      <c r="BZ399" s="12"/>
      <c r="CA399" s="12"/>
      <c r="CB399" s="11"/>
      <c r="CC399" s="13"/>
      <c r="CD399" s="11"/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/>
      <c r="CS399" s="13"/>
      <c r="CT399" s="11"/>
      <c r="CU399" s="11"/>
      <c r="CV399" s="13"/>
      <c r="CW399" s="11"/>
      <c r="CX399" s="12"/>
      <c r="CY399" s="12"/>
      <c r="CZ399" s="11"/>
      <c r="DA399" s="13"/>
      <c r="DB399" s="11"/>
      <c r="DC399" s="11"/>
      <c r="DD399" s="13"/>
      <c r="DE399" s="11"/>
      <c r="DF399" s="12"/>
      <c r="DG399" s="12"/>
      <c r="DH399" s="11"/>
      <c r="DI399" s="13"/>
      <c r="DJ399" s="11"/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/>
      <c r="EA399" s="11"/>
      <c r="EB399" s="13"/>
      <c r="EC399" s="11"/>
      <c r="ED399" s="12"/>
      <c r="EE399" s="12"/>
      <c r="EF399" s="11"/>
      <c r="EG399" s="13"/>
      <c r="EH399" s="11"/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/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/>
      <c r="GM399" s="11"/>
      <c r="GN399" s="13"/>
      <c r="GO399" s="11"/>
      <c r="GP399" s="12"/>
      <c r="GQ399" s="12"/>
      <c r="GR399" s="11"/>
      <c r="GS399" s="13"/>
      <c r="GT399" s="11"/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/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  <c r="LH399" s="11"/>
      <c r="LI399" s="13"/>
      <c r="LJ399" s="11"/>
      <c r="LK399" s="11"/>
      <c r="LL399" s="13"/>
      <c r="LM399" s="11"/>
      <c r="LN399" s="12"/>
      <c r="LO399" s="12"/>
      <c r="LP399" s="11"/>
      <c r="LQ399" s="13"/>
      <c r="LR399" s="11"/>
      <c r="LS399" s="11"/>
      <c r="LT399" s="13"/>
      <c r="LU399" s="11"/>
      <c r="LV399" s="12"/>
      <c r="LW399" s="12"/>
    </row>
    <row r="400">
      <c r="A400" s="10" t="s">
        <v>227</v>
      </c>
      <c r="B400" s="10" t="s">
        <v>113</v>
      </c>
      <c r="C400" s="10" t="s">
        <v>220</v>
      </c>
      <c r="D400" s="11">
        <v>1526</v>
      </c>
      <c r="E400" s="11">
        <f>=ROUNDDOWN(17.5200918484501,0)</f>
      </c>
      <c r="F400" s="11">
        <v>2443</v>
      </c>
      <c r="G400" s="12">
        <v>0.9991</v>
      </c>
      <c r="H400" s="11"/>
      <c r="I400" s="11">
        <f>=ROUNDDOWN({0},0)</f>
      </c>
      <c r="J400" s="11">
        <v>470</v>
      </c>
      <c r="K400" s="12">
        <v>0.4566</v>
      </c>
      <c r="L400" s="11">
        <v>1645</v>
      </c>
      <c r="M400" s="13">
        <v>293023.39</v>
      </c>
      <c r="N400" s="11">
        <v>9</v>
      </c>
      <c r="O400" s="14">
        <v>32558.15</v>
      </c>
      <c r="P400" s="11"/>
      <c r="Q400" s="13"/>
      <c r="R400" s="11"/>
      <c r="S400" s="14"/>
      <c r="T400" s="12"/>
      <c r="U400" s="12"/>
      <c r="V400" s="12"/>
      <c r="W400" s="12"/>
      <c r="X400" s="11">
        <v>590</v>
      </c>
      <c r="Y400" s="13">
        <v>125188.86</v>
      </c>
      <c r="Z400" s="11">
        <v>7</v>
      </c>
      <c r="AA400" s="11"/>
      <c r="AB400" s="13"/>
      <c r="AC400" s="11"/>
      <c r="AD400" s="12"/>
      <c r="AE400" s="12"/>
      <c r="AF400" s="11">
        <v>783</v>
      </c>
      <c r="AG400" s="13">
        <v>125898.11</v>
      </c>
      <c r="AH400" s="11">
        <v>9</v>
      </c>
      <c r="AI400" s="11"/>
      <c r="AJ400" s="13"/>
      <c r="AK400" s="11"/>
      <c r="AL400" s="12"/>
      <c r="AM400" s="12"/>
      <c r="AN400" s="11">
        <v>4</v>
      </c>
      <c r="AO400" s="13">
        <v>549.59</v>
      </c>
      <c r="AP400" s="11">
        <v>6</v>
      </c>
      <c r="AQ400" s="11"/>
      <c r="AR400" s="13"/>
      <c r="AS400" s="11"/>
      <c r="AT400" s="12"/>
      <c r="AU400" s="12"/>
      <c r="AV400" s="11">
        <v>3</v>
      </c>
      <c r="AW400" s="13">
        <v>510.48</v>
      </c>
      <c r="AX400" s="11">
        <v>5</v>
      </c>
      <c r="AY400" s="11"/>
      <c r="AZ400" s="13"/>
      <c r="BA400" s="11"/>
      <c r="BB400" s="12"/>
      <c r="BC400" s="12"/>
      <c r="BD400" s="11">
        <v>127</v>
      </c>
      <c r="BE400" s="13">
        <v>17232.05</v>
      </c>
      <c r="BF400" s="11">
        <v>5</v>
      </c>
      <c r="BG400" s="11"/>
      <c r="BH400" s="13"/>
      <c r="BI400" s="11"/>
      <c r="BJ400" s="12"/>
      <c r="BK400" s="12"/>
      <c r="BL400" s="11">
        <v>36</v>
      </c>
      <c r="BM400" s="13">
        <v>6156.41</v>
      </c>
      <c r="BN400" s="11">
        <v>5</v>
      </c>
      <c r="BO400" s="11"/>
      <c r="BP400" s="13"/>
      <c r="BQ400" s="11"/>
      <c r="BR400" s="12"/>
      <c r="BS400" s="12"/>
      <c r="BT400" s="11">
        <v>29</v>
      </c>
      <c r="BU400" s="13">
        <v>5821.35</v>
      </c>
      <c r="BV400" s="11">
        <v>9</v>
      </c>
      <c r="BW400" s="11"/>
      <c r="BX400" s="13"/>
      <c r="BY400" s="11"/>
      <c r="BZ400" s="12"/>
      <c r="CA400" s="12"/>
      <c r="CB400" s="11">
        <v>2</v>
      </c>
      <c r="CC400" s="13">
        <v>286.66</v>
      </c>
      <c r="CD400" s="11">
        <v>2</v>
      </c>
      <c r="CE400" s="11"/>
      <c r="CF400" s="13"/>
      <c r="CG400" s="11"/>
      <c r="CH400" s="12"/>
      <c r="CI400" s="12"/>
      <c r="CJ400" s="11"/>
      <c r="CK400" s="13"/>
      <c r="CL400" s="11">
        <v>9</v>
      </c>
      <c r="CM400" s="11"/>
      <c r="CN400" s="13"/>
      <c r="CO400" s="11"/>
      <c r="CP400" s="12"/>
      <c r="CQ400" s="12"/>
      <c r="CR400" s="11"/>
      <c r="CS400" s="13"/>
      <c r="CT400" s="11"/>
      <c r="CU400" s="11"/>
      <c r="CV400" s="13"/>
      <c r="CW400" s="11"/>
      <c r="CX400" s="12"/>
      <c r="CY400" s="12"/>
      <c r="CZ400" s="11">
        <v>18</v>
      </c>
      <c r="DA400" s="13">
        <v>2853.79</v>
      </c>
      <c r="DB400" s="11">
        <v>4</v>
      </c>
      <c r="DC400" s="11"/>
      <c r="DD400" s="13"/>
      <c r="DE400" s="11"/>
      <c r="DF400" s="12"/>
      <c r="DG400" s="12"/>
      <c r="DH400" s="11">
        <v>32</v>
      </c>
      <c r="DI400" s="13">
        <v>4974.43</v>
      </c>
      <c r="DJ400" s="11">
        <v>4</v>
      </c>
      <c r="DK400" s="11"/>
      <c r="DL400" s="13"/>
      <c r="DM400" s="11"/>
      <c r="DN400" s="12"/>
      <c r="DO400" s="12"/>
      <c r="DP400" s="11"/>
      <c r="DQ400" s="13"/>
      <c r="DR400" s="11"/>
      <c r="DS400" s="11"/>
      <c r="DT400" s="13"/>
      <c r="DU400" s="11"/>
      <c r="DV400" s="12"/>
      <c r="DW400" s="12"/>
      <c r="DX400" s="11">
        <v>16</v>
      </c>
      <c r="DY400" s="13">
        <v>2658.62</v>
      </c>
      <c r="DZ400" s="11">
        <v>5</v>
      </c>
      <c r="EA400" s="11"/>
      <c r="EB400" s="13"/>
      <c r="EC400" s="11"/>
      <c r="ED400" s="12"/>
      <c r="EE400" s="12"/>
      <c r="EF400" s="11"/>
      <c r="EG400" s="13"/>
      <c r="EH400" s="11"/>
      <c r="EI400" s="11"/>
      <c r="EJ400" s="13"/>
      <c r="EK400" s="11"/>
      <c r="EL400" s="12"/>
      <c r="EM400" s="12"/>
      <c r="EN400" s="11"/>
      <c r="EO400" s="13"/>
      <c r="EP400" s="11">
        <v>4</v>
      </c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/>
      <c r="FE400" s="13"/>
      <c r="FF400" s="11"/>
      <c r="FG400" s="11"/>
      <c r="FH400" s="13"/>
      <c r="FI400" s="11"/>
      <c r="FJ400" s="12"/>
      <c r="FK400" s="12"/>
      <c r="FL400" s="11">
        <v>2</v>
      </c>
      <c r="FM400" s="13">
        <v>354.38</v>
      </c>
      <c r="FN400" s="11">
        <v>5</v>
      </c>
      <c r="FO400" s="11"/>
      <c r="FP400" s="13"/>
      <c r="FQ400" s="11"/>
      <c r="FR400" s="12"/>
      <c r="FS400" s="12"/>
      <c r="FT400" s="11"/>
      <c r="FU400" s="13"/>
      <c r="FV400" s="11">
        <v>1</v>
      </c>
      <c r="FW400" s="11"/>
      <c r="FX400" s="13"/>
      <c r="FY400" s="11"/>
      <c r="FZ400" s="12"/>
      <c r="GA400" s="12"/>
      <c r="GB400" s="11"/>
      <c r="GC400" s="13"/>
      <c r="GD400" s="11">
        <v>1</v>
      </c>
      <c r="GE400" s="11"/>
      <c r="GF400" s="13"/>
      <c r="GG400" s="11"/>
      <c r="GH400" s="12"/>
      <c r="GI400" s="12"/>
      <c r="GJ400" s="11">
        <v>2</v>
      </c>
      <c r="GK400" s="13">
        <v>323.2</v>
      </c>
      <c r="GL400" s="11">
        <v>5</v>
      </c>
      <c r="GM400" s="11"/>
      <c r="GN400" s="13"/>
      <c r="GO400" s="11"/>
      <c r="GP400" s="12"/>
      <c r="GQ400" s="12"/>
      <c r="GR400" s="11">
        <v>1</v>
      </c>
      <c r="GS400" s="13">
        <v>215.46</v>
      </c>
      <c r="GT400" s="11">
        <v>1</v>
      </c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/>
      <c r="JO400" s="11"/>
      <c r="JP400" s="13"/>
      <c r="JQ400" s="11"/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/>
      <c r="KN400" s="13"/>
      <c r="KO400" s="11"/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  <c r="LH400" s="11"/>
      <c r="LI400" s="13"/>
      <c r="LJ400" s="11"/>
      <c r="LK400" s="11"/>
      <c r="LL400" s="13"/>
      <c r="LM400" s="11"/>
      <c r="LN400" s="12"/>
      <c r="LO400" s="12"/>
      <c r="LP400" s="11"/>
      <c r="LQ400" s="13"/>
      <c r="LR400" s="11"/>
      <c r="LS400" s="11"/>
      <c r="LT400" s="13"/>
      <c r="LU400" s="11"/>
      <c r="LV400" s="12"/>
      <c r="LW400" s="12"/>
    </row>
    <row r="401">
      <c r="A401" s="10" t="s">
        <v>227</v>
      </c>
      <c r="B401" s="10" t="s">
        <v>113</v>
      </c>
      <c r="C401" s="10" t="s">
        <v>221</v>
      </c>
      <c r="D401" s="11">
        <v>316</v>
      </c>
      <c r="E401" s="11">
        <f>=ROUNDDOWN(28.7272727272727,0)</f>
      </c>
      <c r="F401" s="11">
        <v>294</v>
      </c>
      <c r="G401" s="12">
        <v>1</v>
      </c>
      <c r="H401" s="11"/>
      <c r="I401" s="11">
        <f>=ROUNDDOWN({0},0)</f>
      </c>
      <c r="J401" s="11"/>
      <c r="K401" s="12"/>
      <c r="L401" s="11">
        <v>192</v>
      </c>
      <c r="M401" s="13">
        <v>64088.62</v>
      </c>
      <c r="N401" s="11">
        <v>2</v>
      </c>
      <c r="O401" s="14">
        <v>32044.31</v>
      </c>
      <c r="P401" s="11"/>
      <c r="Q401" s="13"/>
      <c r="R401" s="11"/>
      <c r="S401" s="14"/>
      <c r="T401" s="12"/>
      <c r="U401" s="12"/>
      <c r="V401" s="12"/>
      <c r="W401" s="12"/>
      <c r="X401" s="11">
        <v>26</v>
      </c>
      <c r="Y401" s="13">
        <v>10614.24</v>
      </c>
      <c r="Z401" s="11">
        <v>1</v>
      </c>
      <c r="AA401" s="11"/>
      <c r="AB401" s="13"/>
      <c r="AC401" s="11"/>
      <c r="AD401" s="12"/>
      <c r="AE401" s="12"/>
      <c r="AF401" s="11">
        <v>47</v>
      </c>
      <c r="AG401" s="13">
        <v>10829.96</v>
      </c>
      <c r="AH401" s="11">
        <v>2</v>
      </c>
      <c r="AI401" s="11"/>
      <c r="AJ401" s="13"/>
      <c r="AK401" s="11"/>
      <c r="AL401" s="12"/>
      <c r="AM401" s="12"/>
      <c r="AN401" s="11">
        <v>1</v>
      </c>
      <c r="AO401" s="13">
        <v>350.34</v>
      </c>
      <c r="AP401" s="11">
        <v>2</v>
      </c>
      <c r="AQ401" s="11"/>
      <c r="AR401" s="13"/>
      <c r="AS401" s="11"/>
      <c r="AT401" s="12"/>
      <c r="AU401" s="12"/>
      <c r="AV401" s="11"/>
      <c r="AW401" s="13"/>
      <c r="AX401" s="11">
        <v>1</v>
      </c>
      <c r="AY401" s="11"/>
      <c r="AZ401" s="13"/>
      <c r="BA401" s="11"/>
      <c r="BB401" s="12"/>
      <c r="BC401" s="12"/>
      <c r="BD401" s="11">
        <v>12</v>
      </c>
      <c r="BE401" s="13">
        <v>1630.38</v>
      </c>
      <c r="BF401" s="11">
        <v>2</v>
      </c>
      <c r="BG401" s="11"/>
      <c r="BH401" s="13"/>
      <c r="BI401" s="11"/>
      <c r="BJ401" s="12"/>
      <c r="BK401" s="12"/>
      <c r="BL401" s="11">
        <v>71</v>
      </c>
      <c r="BM401" s="13">
        <v>27237.02</v>
      </c>
      <c r="BN401" s="11">
        <v>2</v>
      </c>
      <c r="BO401" s="11"/>
      <c r="BP401" s="13"/>
      <c r="BQ401" s="11"/>
      <c r="BR401" s="12"/>
      <c r="BS401" s="12"/>
      <c r="BT401" s="11">
        <v>20</v>
      </c>
      <c r="BU401" s="13">
        <v>8165.34</v>
      </c>
      <c r="BV401" s="11">
        <v>2</v>
      </c>
      <c r="BW401" s="11"/>
      <c r="BX401" s="13"/>
      <c r="BY401" s="11"/>
      <c r="BZ401" s="12"/>
      <c r="CA401" s="12"/>
      <c r="CB401" s="11"/>
      <c r="CC401" s="13"/>
      <c r="CD401" s="11"/>
      <c r="CE401" s="11"/>
      <c r="CF401" s="13"/>
      <c r="CG401" s="11"/>
      <c r="CH401" s="12"/>
      <c r="CI401" s="12"/>
      <c r="CJ401" s="11"/>
      <c r="CK401" s="13"/>
      <c r="CL401" s="11">
        <v>2</v>
      </c>
      <c r="CM401" s="11"/>
      <c r="CN401" s="13"/>
      <c r="CO401" s="11"/>
      <c r="CP401" s="12"/>
      <c r="CQ401" s="12"/>
      <c r="CR401" s="11"/>
      <c r="CS401" s="13"/>
      <c r="CT401" s="11"/>
      <c r="CU401" s="11"/>
      <c r="CV401" s="13"/>
      <c r="CW401" s="11"/>
      <c r="CX401" s="12"/>
      <c r="CY401" s="12"/>
      <c r="CZ401" s="11"/>
      <c r="DA401" s="13"/>
      <c r="DB401" s="11"/>
      <c r="DC401" s="11"/>
      <c r="DD401" s="13"/>
      <c r="DE401" s="11"/>
      <c r="DF401" s="12"/>
      <c r="DG401" s="12"/>
      <c r="DH401" s="11">
        <v>5</v>
      </c>
      <c r="DI401" s="13">
        <v>1627.5</v>
      </c>
      <c r="DJ401" s="11">
        <v>2</v>
      </c>
      <c r="DK401" s="11"/>
      <c r="DL401" s="13"/>
      <c r="DM401" s="11"/>
      <c r="DN401" s="12"/>
      <c r="DO401" s="12"/>
      <c r="DP401" s="11"/>
      <c r="DQ401" s="13"/>
      <c r="DR401" s="11">
        <v>1</v>
      </c>
      <c r="DS401" s="11"/>
      <c r="DT401" s="13"/>
      <c r="DU401" s="11"/>
      <c r="DV401" s="12"/>
      <c r="DW401" s="12"/>
      <c r="DX401" s="11">
        <v>5</v>
      </c>
      <c r="DY401" s="13">
        <v>1954.26</v>
      </c>
      <c r="DZ401" s="11">
        <v>1</v>
      </c>
      <c r="EA401" s="11"/>
      <c r="EB401" s="13"/>
      <c r="EC401" s="11"/>
      <c r="ED401" s="12"/>
      <c r="EE401" s="12"/>
      <c r="EF401" s="11"/>
      <c r="EG401" s="13"/>
      <c r="EH401" s="11"/>
      <c r="EI401" s="11"/>
      <c r="EJ401" s="13"/>
      <c r="EK401" s="11"/>
      <c r="EL401" s="12"/>
      <c r="EM401" s="12"/>
      <c r="EN401" s="11"/>
      <c r="EO401" s="13"/>
      <c r="EP401" s="11">
        <v>1</v>
      </c>
      <c r="EQ401" s="11"/>
      <c r="ER401" s="13"/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/>
      <c r="FE401" s="13"/>
      <c r="FF401" s="11"/>
      <c r="FG401" s="11"/>
      <c r="FH401" s="13"/>
      <c r="FI401" s="11"/>
      <c r="FJ401" s="12"/>
      <c r="FK401" s="12"/>
      <c r="FL401" s="11"/>
      <c r="FM401" s="13"/>
      <c r="FN401" s="11">
        <v>1</v>
      </c>
      <c r="FO401" s="11"/>
      <c r="FP401" s="13"/>
      <c r="FQ401" s="11"/>
      <c r="FR401" s="12"/>
      <c r="FS401" s="12"/>
      <c r="FT401" s="11">
        <v>3</v>
      </c>
      <c r="FU401" s="13">
        <v>976.5</v>
      </c>
      <c r="FV401" s="11">
        <v>1</v>
      </c>
      <c r="FW401" s="11"/>
      <c r="FX401" s="13"/>
      <c r="FY401" s="11"/>
      <c r="FZ401" s="12"/>
      <c r="GA401" s="12"/>
      <c r="GB401" s="11"/>
      <c r="GC401" s="13"/>
      <c r="GD401" s="11">
        <v>1</v>
      </c>
      <c r="GE401" s="11"/>
      <c r="GF401" s="13"/>
      <c r="GG401" s="11"/>
      <c r="GH401" s="12"/>
      <c r="GI401" s="12"/>
      <c r="GJ401" s="11"/>
      <c r="GK401" s="13"/>
      <c r="GL401" s="11">
        <v>1</v>
      </c>
      <c r="GM401" s="11"/>
      <c r="GN401" s="13"/>
      <c r="GO401" s="11"/>
      <c r="GP401" s="12"/>
      <c r="GQ401" s="12"/>
      <c r="GR401" s="11">
        <v>2</v>
      </c>
      <c r="GS401" s="13">
        <v>703.08</v>
      </c>
      <c r="GT401" s="11">
        <v>2</v>
      </c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/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>
        <v>1</v>
      </c>
      <c r="IA401" s="11"/>
      <c r="IB401" s="13"/>
      <c r="IC401" s="11"/>
      <c r="ID401" s="12"/>
      <c r="IE401" s="12"/>
      <c r="IF401" s="11"/>
      <c r="IG401" s="13"/>
      <c r="IH401" s="11"/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/>
      <c r="JP401" s="13"/>
      <c r="JQ401" s="11"/>
      <c r="JR401" s="12"/>
      <c r="JS401" s="12"/>
      <c r="JT401" s="11"/>
      <c r="JU401" s="13"/>
      <c r="JV401" s="11"/>
      <c r="JW401" s="11"/>
      <c r="JX401" s="13"/>
      <c r="JY401" s="11"/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/>
      <c r="KN401" s="13"/>
      <c r="KO401" s="11"/>
      <c r="KP401" s="12"/>
      <c r="KQ401" s="12"/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  <c r="LH401" s="11"/>
      <c r="LI401" s="13"/>
      <c r="LJ401" s="11"/>
      <c r="LK401" s="11"/>
      <c r="LL401" s="13"/>
      <c r="LM401" s="11"/>
      <c r="LN401" s="12"/>
      <c r="LO401" s="12"/>
      <c r="LP401" s="11"/>
      <c r="LQ401" s="13"/>
      <c r="LR401" s="11"/>
      <c r="LS401" s="11"/>
      <c r="LT401" s="13"/>
      <c r="LU401" s="11"/>
      <c r="LV401" s="12"/>
      <c r="LW401" s="12"/>
    </row>
    <row r="402">
      <c r="A402" s="10" t="s">
        <v>227</v>
      </c>
      <c r="B402" s="10" t="s">
        <v>113</v>
      </c>
      <c r="C402" s="10" t="s">
        <v>222</v>
      </c>
      <c r="D402" s="11">
        <v>6266</v>
      </c>
      <c r="E402" s="11">
        <f>=ROUNDDOWN(21.0268456375839,0)</f>
      </c>
      <c r="F402" s="11">
        <v>6147</v>
      </c>
      <c r="G402" s="12">
        <v>1</v>
      </c>
      <c r="H402" s="11"/>
      <c r="I402" s="11">
        <f>=ROUNDDOWN({0},0)</f>
      </c>
      <c r="J402" s="11">
        <v>840</v>
      </c>
      <c r="K402" s="12">
        <v>0.481</v>
      </c>
      <c r="L402" s="11">
        <v>4259</v>
      </c>
      <c r="M402" s="13">
        <v>948700.41</v>
      </c>
      <c r="N402" s="11">
        <v>51</v>
      </c>
      <c r="O402" s="14">
        <v>18601.97</v>
      </c>
      <c r="P402" s="11"/>
      <c r="Q402" s="13"/>
      <c r="R402" s="11"/>
      <c r="S402" s="14"/>
      <c r="T402" s="12"/>
      <c r="U402" s="12"/>
      <c r="V402" s="12"/>
      <c r="W402" s="12"/>
      <c r="X402" s="11">
        <v>425</v>
      </c>
      <c r="Y402" s="13">
        <v>102548.02</v>
      </c>
      <c r="Z402" s="11">
        <v>21</v>
      </c>
      <c r="AA402" s="11"/>
      <c r="AB402" s="13"/>
      <c r="AC402" s="11"/>
      <c r="AD402" s="12"/>
      <c r="AE402" s="12"/>
      <c r="AF402" s="11">
        <v>1455</v>
      </c>
      <c r="AG402" s="13">
        <v>278214.53</v>
      </c>
      <c r="AH402" s="11">
        <v>51</v>
      </c>
      <c r="AI402" s="11"/>
      <c r="AJ402" s="13"/>
      <c r="AK402" s="11"/>
      <c r="AL402" s="12"/>
      <c r="AM402" s="12"/>
      <c r="AN402" s="11">
        <v>38</v>
      </c>
      <c r="AO402" s="13">
        <v>8364.46</v>
      </c>
      <c r="AP402" s="11">
        <v>49</v>
      </c>
      <c r="AQ402" s="11"/>
      <c r="AR402" s="13"/>
      <c r="AS402" s="11"/>
      <c r="AT402" s="12"/>
      <c r="AU402" s="12"/>
      <c r="AV402" s="11">
        <v>56</v>
      </c>
      <c r="AW402" s="13">
        <v>14949.77</v>
      </c>
      <c r="AX402" s="11">
        <v>41</v>
      </c>
      <c r="AY402" s="11"/>
      <c r="AZ402" s="13"/>
      <c r="BA402" s="11"/>
      <c r="BB402" s="12"/>
      <c r="BC402" s="12"/>
      <c r="BD402" s="11">
        <v>382</v>
      </c>
      <c r="BE402" s="13">
        <v>83129.34</v>
      </c>
      <c r="BF402" s="11">
        <v>44</v>
      </c>
      <c r="BG402" s="11"/>
      <c r="BH402" s="13"/>
      <c r="BI402" s="11"/>
      <c r="BJ402" s="12"/>
      <c r="BK402" s="12"/>
      <c r="BL402" s="11">
        <v>228</v>
      </c>
      <c r="BM402" s="13">
        <v>60599.61</v>
      </c>
      <c r="BN402" s="11">
        <v>50</v>
      </c>
      <c r="BO402" s="11"/>
      <c r="BP402" s="13"/>
      <c r="BQ402" s="11"/>
      <c r="BR402" s="12"/>
      <c r="BS402" s="12"/>
      <c r="BT402" s="11">
        <v>436</v>
      </c>
      <c r="BU402" s="13">
        <v>108960.48</v>
      </c>
      <c r="BV402" s="11">
        <v>51</v>
      </c>
      <c r="BW402" s="11"/>
      <c r="BX402" s="13"/>
      <c r="BY402" s="11"/>
      <c r="BZ402" s="12"/>
      <c r="CA402" s="12"/>
      <c r="CB402" s="11">
        <v>7</v>
      </c>
      <c r="CC402" s="13">
        <v>1735.26</v>
      </c>
      <c r="CD402" s="11">
        <v>23</v>
      </c>
      <c r="CE402" s="11"/>
      <c r="CF402" s="13"/>
      <c r="CG402" s="11"/>
      <c r="CH402" s="12"/>
      <c r="CI402" s="12"/>
      <c r="CJ402" s="11"/>
      <c r="CK402" s="13"/>
      <c r="CL402" s="11">
        <v>45</v>
      </c>
      <c r="CM402" s="11"/>
      <c r="CN402" s="13"/>
      <c r="CO402" s="11"/>
      <c r="CP402" s="12"/>
      <c r="CQ402" s="12"/>
      <c r="CR402" s="11"/>
      <c r="CS402" s="13"/>
      <c r="CT402" s="11"/>
      <c r="CU402" s="11"/>
      <c r="CV402" s="13"/>
      <c r="CW402" s="11"/>
      <c r="CX402" s="12"/>
      <c r="CY402" s="12"/>
      <c r="CZ402" s="11">
        <v>355</v>
      </c>
      <c r="DA402" s="13">
        <v>95203.28</v>
      </c>
      <c r="DB402" s="11">
        <v>26</v>
      </c>
      <c r="DC402" s="11"/>
      <c r="DD402" s="13"/>
      <c r="DE402" s="11"/>
      <c r="DF402" s="12"/>
      <c r="DG402" s="12"/>
      <c r="DH402" s="11">
        <v>697</v>
      </c>
      <c r="DI402" s="13">
        <v>151818.75</v>
      </c>
      <c r="DJ402" s="11">
        <v>30</v>
      </c>
      <c r="DK402" s="11"/>
      <c r="DL402" s="13"/>
      <c r="DM402" s="11"/>
      <c r="DN402" s="12"/>
      <c r="DO402" s="12"/>
      <c r="DP402" s="11"/>
      <c r="DQ402" s="13"/>
      <c r="DR402" s="11">
        <v>35</v>
      </c>
      <c r="DS402" s="11"/>
      <c r="DT402" s="13"/>
      <c r="DU402" s="11"/>
      <c r="DV402" s="12"/>
      <c r="DW402" s="12"/>
      <c r="DX402" s="11">
        <v>50</v>
      </c>
      <c r="DY402" s="13">
        <v>13588.76</v>
      </c>
      <c r="DZ402" s="11">
        <v>44</v>
      </c>
      <c r="EA402" s="11"/>
      <c r="EB402" s="13"/>
      <c r="EC402" s="11"/>
      <c r="ED402" s="12"/>
      <c r="EE402" s="12"/>
      <c r="EF402" s="11"/>
      <c r="EG402" s="13"/>
      <c r="EH402" s="11"/>
      <c r="EI402" s="11"/>
      <c r="EJ402" s="13"/>
      <c r="EK402" s="11"/>
      <c r="EL402" s="12"/>
      <c r="EM402" s="12"/>
      <c r="EN402" s="11"/>
      <c r="EO402" s="13"/>
      <c r="EP402" s="11">
        <v>28</v>
      </c>
      <c r="EQ402" s="11"/>
      <c r="ER402" s="13"/>
      <c r="ES402" s="11"/>
      <c r="ET402" s="12"/>
      <c r="EU402" s="12"/>
      <c r="EV402" s="11"/>
      <c r="EW402" s="13"/>
      <c r="EX402" s="11"/>
      <c r="EY402" s="11"/>
      <c r="EZ402" s="13"/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>
        <v>1</v>
      </c>
      <c r="FM402" s="13">
        <v>269.89</v>
      </c>
      <c r="FN402" s="11">
        <v>6</v>
      </c>
      <c r="FO402" s="11"/>
      <c r="FP402" s="13"/>
      <c r="FQ402" s="11"/>
      <c r="FR402" s="12"/>
      <c r="FS402" s="12"/>
      <c r="FT402" s="11">
        <v>41</v>
      </c>
      <c r="FU402" s="13">
        <v>9178.52</v>
      </c>
      <c r="FV402" s="11">
        <v>14</v>
      </c>
      <c r="FW402" s="11"/>
      <c r="FX402" s="13"/>
      <c r="FY402" s="11"/>
      <c r="FZ402" s="12"/>
      <c r="GA402" s="12"/>
      <c r="GB402" s="11">
        <v>41</v>
      </c>
      <c r="GC402" s="13">
        <v>9488.09</v>
      </c>
      <c r="GD402" s="11">
        <v>35</v>
      </c>
      <c r="GE402" s="11"/>
      <c r="GF402" s="13"/>
      <c r="GG402" s="11"/>
      <c r="GH402" s="12"/>
      <c r="GI402" s="12"/>
      <c r="GJ402" s="11">
        <v>28</v>
      </c>
      <c r="GK402" s="13">
        <v>6102.32</v>
      </c>
      <c r="GL402" s="11">
        <v>34</v>
      </c>
      <c r="GM402" s="11"/>
      <c r="GN402" s="13"/>
      <c r="GO402" s="11"/>
      <c r="GP402" s="12"/>
      <c r="GQ402" s="12"/>
      <c r="GR402" s="11">
        <v>19</v>
      </c>
      <c r="GS402" s="13">
        <v>4549.33</v>
      </c>
      <c r="GT402" s="11">
        <v>35</v>
      </c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  <c r="LH402" s="11"/>
      <c r="LI402" s="13"/>
      <c r="LJ402" s="11"/>
      <c r="LK402" s="11"/>
      <c r="LL402" s="13"/>
      <c r="LM402" s="11"/>
      <c r="LN402" s="12"/>
      <c r="LO402" s="12"/>
      <c r="LP402" s="11"/>
      <c r="LQ402" s="13"/>
      <c r="LR402" s="11"/>
      <c r="LS402" s="11"/>
      <c r="LT402" s="13"/>
      <c r="LU402" s="11"/>
      <c r="LV402" s="12"/>
      <c r="LW402" s="12"/>
    </row>
    <row r="403">
      <c r="A403" s="10" t="s">
        <v>227</v>
      </c>
      <c r="B403" s="10" t="s">
        <v>113</v>
      </c>
      <c r="C403" s="10" t="s">
        <v>224</v>
      </c>
      <c r="D403" s="11">
        <v>5442</v>
      </c>
      <c r="E403" s="11">
        <f>=ROUNDDOWN(22.450495049505,0)</f>
      </c>
      <c r="F403" s="11">
        <v>2356</v>
      </c>
      <c r="G403" s="12">
        <v>0.939</v>
      </c>
      <c r="H403" s="11"/>
      <c r="I403" s="11">
        <f>=ROUNDDOWN({0},0)</f>
      </c>
      <c r="J403" s="11">
        <v>2126</v>
      </c>
      <c r="K403" s="12">
        <v>0.4384</v>
      </c>
      <c r="L403" s="11">
        <v>3334</v>
      </c>
      <c r="M403" s="13">
        <v>397290.04</v>
      </c>
      <c r="N403" s="11">
        <v>16</v>
      </c>
      <c r="O403" s="14">
        <v>24830.63</v>
      </c>
      <c r="P403" s="11"/>
      <c r="Q403" s="13"/>
      <c r="R403" s="11"/>
      <c r="S403" s="14"/>
      <c r="T403" s="12"/>
      <c r="U403" s="12"/>
      <c r="V403" s="12"/>
      <c r="W403" s="12"/>
      <c r="X403" s="11">
        <v>203</v>
      </c>
      <c r="Y403" s="13">
        <v>26204.1</v>
      </c>
      <c r="Z403" s="11">
        <v>8</v>
      </c>
      <c r="AA403" s="11"/>
      <c r="AB403" s="13"/>
      <c r="AC403" s="11"/>
      <c r="AD403" s="12"/>
      <c r="AE403" s="12"/>
      <c r="AF403" s="11">
        <v>2357</v>
      </c>
      <c r="AG403" s="13">
        <v>263917.58</v>
      </c>
      <c r="AH403" s="11">
        <v>16</v>
      </c>
      <c r="AI403" s="11"/>
      <c r="AJ403" s="13"/>
      <c r="AK403" s="11"/>
      <c r="AL403" s="12"/>
      <c r="AM403" s="12"/>
      <c r="AN403" s="11">
        <v>41</v>
      </c>
      <c r="AO403" s="13">
        <v>5303.08</v>
      </c>
      <c r="AP403" s="11">
        <v>15</v>
      </c>
      <c r="AQ403" s="11"/>
      <c r="AR403" s="13"/>
      <c r="AS403" s="11"/>
      <c r="AT403" s="12"/>
      <c r="AU403" s="12"/>
      <c r="AV403" s="11">
        <v>44</v>
      </c>
      <c r="AW403" s="13">
        <v>6403.69</v>
      </c>
      <c r="AX403" s="11">
        <v>9</v>
      </c>
      <c r="AY403" s="11"/>
      <c r="AZ403" s="13"/>
      <c r="BA403" s="11"/>
      <c r="BB403" s="12"/>
      <c r="BC403" s="12"/>
      <c r="BD403" s="11">
        <v>46</v>
      </c>
      <c r="BE403" s="13">
        <v>5440.36</v>
      </c>
      <c r="BF403" s="11">
        <v>15</v>
      </c>
      <c r="BG403" s="11"/>
      <c r="BH403" s="13"/>
      <c r="BI403" s="11"/>
      <c r="BJ403" s="12"/>
      <c r="BK403" s="12"/>
      <c r="BL403" s="11">
        <v>195</v>
      </c>
      <c r="BM403" s="13">
        <v>31139.22</v>
      </c>
      <c r="BN403" s="11">
        <v>16</v>
      </c>
      <c r="BO403" s="11"/>
      <c r="BP403" s="13"/>
      <c r="BQ403" s="11"/>
      <c r="BR403" s="12"/>
      <c r="BS403" s="12"/>
      <c r="BT403" s="11">
        <v>242</v>
      </c>
      <c r="BU403" s="13">
        <v>31775.94</v>
      </c>
      <c r="BV403" s="11">
        <v>16</v>
      </c>
      <c r="BW403" s="11"/>
      <c r="BX403" s="13"/>
      <c r="BY403" s="11"/>
      <c r="BZ403" s="12"/>
      <c r="CA403" s="12"/>
      <c r="CB403" s="11">
        <v>3</v>
      </c>
      <c r="CC403" s="13">
        <v>534.15</v>
      </c>
      <c r="CD403" s="11">
        <v>6</v>
      </c>
      <c r="CE403" s="11"/>
      <c r="CF403" s="13"/>
      <c r="CG403" s="11"/>
      <c r="CH403" s="12"/>
      <c r="CI403" s="12"/>
      <c r="CJ403" s="11">
        <v>2</v>
      </c>
      <c r="CK403" s="13">
        <v>379.98</v>
      </c>
      <c r="CL403" s="11">
        <v>15</v>
      </c>
      <c r="CM403" s="11"/>
      <c r="CN403" s="13"/>
      <c r="CO403" s="11"/>
      <c r="CP403" s="12"/>
      <c r="CQ403" s="12"/>
      <c r="CR403" s="11"/>
      <c r="CS403" s="13"/>
      <c r="CT403" s="11"/>
      <c r="CU403" s="11"/>
      <c r="CV403" s="13"/>
      <c r="CW403" s="11"/>
      <c r="CX403" s="12"/>
      <c r="CY403" s="12"/>
      <c r="CZ403" s="11">
        <v>15</v>
      </c>
      <c r="DA403" s="13">
        <v>1962.97</v>
      </c>
      <c r="DB403" s="11">
        <v>6</v>
      </c>
      <c r="DC403" s="11"/>
      <c r="DD403" s="13"/>
      <c r="DE403" s="11"/>
      <c r="DF403" s="12"/>
      <c r="DG403" s="12"/>
      <c r="DH403" s="11">
        <v>113</v>
      </c>
      <c r="DI403" s="13">
        <v>14388.08</v>
      </c>
      <c r="DJ403" s="11">
        <v>11</v>
      </c>
      <c r="DK403" s="11"/>
      <c r="DL403" s="13"/>
      <c r="DM403" s="11"/>
      <c r="DN403" s="12"/>
      <c r="DO403" s="12"/>
      <c r="DP403" s="11"/>
      <c r="DQ403" s="13"/>
      <c r="DR403" s="11">
        <v>10</v>
      </c>
      <c r="DS403" s="11"/>
      <c r="DT403" s="13"/>
      <c r="DU403" s="11"/>
      <c r="DV403" s="12"/>
      <c r="DW403" s="12"/>
      <c r="DX403" s="11">
        <v>7</v>
      </c>
      <c r="DY403" s="13">
        <v>954.83</v>
      </c>
      <c r="DZ403" s="11">
        <v>12</v>
      </c>
      <c r="EA403" s="11"/>
      <c r="EB403" s="13"/>
      <c r="EC403" s="11"/>
      <c r="ED403" s="12"/>
      <c r="EE403" s="12"/>
      <c r="EF403" s="11"/>
      <c r="EG403" s="13"/>
      <c r="EH403" s="11"/>
      <c r="EI403" s="11"/>
      <c r="EJ403" s="13"/>
      <c r="EK403" s="11"/>
      <c r="EL403" s="12"/>
      <c r="EM403" s="12"/>
      <c r="EN403" s="11"/>
      <c r="EO403" s="13"/>
      <c r="EP403" s="11">
        <v>16</v>
      </c>
      <c r="EQ403" s="11"/>
      <c r="ER403" s="13"/>
      <c r="ES403" s="11"/>
      <c r="ET403" s="12"/>
      <c r="EU403" s="12"/>
      <c r="EV403" s="11"/>
      <c r="EW403" s="13"/>
      <c r="EX403" s="11"/>
      <c r="EY403" s="11"/>
      <c r="EZ403" s="13"/>
      <c r="FA403" s="11"/>
      <c r="FB403" s="12"/>
      <c r="FC403" s="12"/>
      <c r="FD403" s="11"/>
      <c r="FE403" s="13"/>
      <c r="FF403" s="11"/>
      <c r="FG403" s="11"/>
      <c r="FH403" s="13"/>
      <c r="FI403" s="11"/>
      <c r="FJ403" s="12"/>
      <c r="FK403" s="12"/>
      <c r="FL403" s="11">
        <v>6</v>
      </c>
      <c r="FM403" s="13">
        <v>1014.07</v>
      </c>
      <c r="FN403" s="11">
        <v>6</v>
      </c>
      <c r="FO403" s="11"/>
      <c r="FP403" s="13"/>
      <c r="FQ403" s="11"/>
      <c r="FR403" s="12"/>
      <c r="FS403" s="12"/>
      <c r="FT403" s="11">
        <v>19</v>
      </c>
      <c r="FU403" s="13">
        <v>2314.57</v>
      </c>
      <c r="FV403" s="11">
        <v>10</v>
      </c>
      <c r="FW403" s="11"/>
      <c r="FX403" s="13"/>
      <c r="FY403" s="11"/>
      <c r="FZ403" s="12"/>
      <c r="GA403" s="12"/>
      <c r="GB403" s="11">
        <v>28</v>
      </c>
      <c r="GC403" s="13">
        <v>3747.46</v>
      </c>
      <c r="GD403" s="11">
        <v>12</v>
      </c>
      <c r="GE403" s="11"/>
      <c r="GF403" s="13"/>
      <c r="GG403" s="11"/>
      <c r="GH403" s="12"/>
      <c r="GI403" s="12"/>
      <c r="GJ403" s="11">
        <v>8</v>
      </c>
      <c r="GK403" s="13">
        <v>1117.26</v>
      </c>
      <c r="GL403" s="11">
        <v>13</v>
      </c>
      <c r="GM403" s="11"/>
      <c r="GN403" s="13"/>
      <c r="GO403" s="11"/>
      <c r="GP403" s="12"/>
      <c r="GQ403" s="12"/>
      <c r="GR403" s="11">
        <v>5</v>
      </c>
      <c r="GS403" s="13">
        <v>692.7</v>
      </c>
      <c r="GT403" s="11">
        <v>13</v>
      </c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>
        <v>2</v>
      </c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>
        <v>1</v>
      </c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>
        <v>4</v>
      </c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/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  <c r="LH403" s="11"/>
      <c r="LI403" s="13"/>
      <c r="LJ403" s="11"/>
      <c r="LK403" s="11"/>
      <c r="LL403" s="13"/>
      <c r="LM403" s="11"/>
      <c r="LN403" s="12"/>
      <c r="LO403" s="12"/>
      <c r="LP403" s="11"/>
      <c r="LQ403" s="13"/>
      <c r="LR403" s="11"/>
      <c r="LS403" s="11"/>
      <c r="LT403" s="13"/>
      <c r="LU403" s="11"/>
      <c r="LV403" s="12"/>
      <c r="LW403" s="12"/>
    </row>
    <row r="404">
      <c r="A404" s="10" t="s">
        <v>227</v>
      </c>
      <c r="B404" s="10" t="s">
        <v>113</v>
      </c>
      <c r="C404" s="10" t="s">
        <v>225</v>
      </c>
      <c r="D404" s="11">
        <v>2351</v>
      </c>
      <c r="E404" s="11">
        <f>=ROUNDDOWN(30.7722513089005,0)</f>
      </c>
      <c r="F404" s="11">
        <v>703</v>
      </c>
      <c r="G404" s="12">
        <v>1</v>
      </c>
      <c r="H404" s="11"/>
      <c r="I404" s="11">
        <f>=ROUNDDOWN({0},0)</f>
      </c>
      <c r="J404" s="11"/>
      <c r="K404" s="12">
        <v>0.5109</v>
      </c>
      <c r="L404" s="11">
        <v>1172</v>
      </c>
      <c r="M404" s="13">
        <v>153797.17</v>
      </c>
      <c r="N404" s="11">
        <v>20</v>
      </c>
      <c r="O404" s="14">
        <v>7689.86</v>
      </c>
      <c r="P404" s="11"/>
      <c r="Q404" s="13"/>
      <c r="R404" s="11"/>
      <c r="S404" s="14"/>
      <c r="T404" s="12"/>
      <c r="U404" s="12"/>
      <c r="V404" s="12"/>
      <c r="W404" s="12"/>
      <c r="X404" s="11">
        <v>119</v>
      </c>
      <c r="Y404" s="13">
        <v>16854.14</v>
      </c>
      <c r="Z404" s="11">
        <v>10</v>
      </c>
      <c r="AA404" s="11"/>
      <c r="AB404" s="13"/>
      <c r="AC404" s="11"/>
      <c r="AD404" s="12"/>
      <c r="AE404" s="12"/>
      <c r="AF404" s="11">
        <v>533</v>
      </c>
      <c r="AG404" s="13">
        <v>68243.29</v>
      </c>
      <c r="AH404" s="11">
        <v>20</v>
      </c>
      <c r="AI404" s="11"/>
      <c r="AJ404" s="13"/>
      <c r="AK404" s="11"/>
      <c r="AL404" s="12"/>
      <c r="AM404" s="12"/>
      <c r="AN404" s="11">
        <v>96</v>
      </c>
      <c r="AO404" s="13">
        <v>8309</v>
      </c>
      <c r="AP404" s="11">
        <v>20</v>
      </c>
      <c r="AQ404" s="11"/>
      <c r="AR404" s="13"/>
      <c r="AS404" s="11"/>
      <c r="AT404" s="12"/>
      <c r="AU404" s="12"/>
      <c r="AV404" s="11">
        <v>24</v>
      </c>
      <c r="AW404" s="13">
        <v>3654.01</v>
      </c>
      <c r="AX404" s="11">
        <v>20</v>
      </c>
      <c r="AY404" s="11"/>
      <c r="AZ404" s="13"/>
      <c r="BA404" s="11"/>
      <c r="BB404" s="12"/>
      <c r="BC404" s="12"/>
      <c r="BD404" s="11">
        <v>72</v>
      </c>
      <c r="BE404" s="13">
        <v>9368.67</v>
      </c>
      <c r="BF404" s="11">
        <v>18</v>
      </c>
      <c r="BG404" s="11"/>
      <c r="BH404" s="13"/>
      <c r="BI404" s="11"/>
      <c r="BJ404" s="12"/>
      <c r="BK404" s="12"/>
      <c r="BL404" s="11">
        <v>65</v>
      </c>
      <c r="BM404" s="13">
        <v>9743.55</v>
      </c>
      <c r="BN404" s="11">
        <v>20</v>
      </c>
      <c r="BO404" s="11"/>
      <c r="BP404" s="13"/>
      <c r="BQ404" s="11"/>
      <c r="BR404" s="12"/>
      <c r="BS404" s="12"/>
      <c r="BT404" s="11">
        <v>108</v>
      </c>
      <c r="BU404" s="13">
        <v>15470.69</v>
      </c>
      <c r="BV404" s="11">
        <v>20</v>
      </c>
      <c r="BW404" s="11"/>
      <c r="BX404" s="13"/>
      <c r="BY404" s="11"/>
      <c r="BZ404" s="12"/>
      <c r="CA404" s="12"/>
      <c r="CB404" s="11"/>
      <c r="CC404" s="13"/>
      <c r="CD404" s="11">
        <v>6</v>
      </c>
      <c r="CE404" s="11"/>
      <c r="CF404" s="13"/>
      <c r="CG404" s="11"/>
      <c r="CH404" s="12"/>
      <c r="CI404" s="12"/>
      <c r="CJ404" s="11"/>
      <c r="CK404" s="13"/>
      <c r="CL404" s="11">
        <v>18</v>
      </c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>
        <v>86</v>
      </c>
      <c r="DA404" s="13">
        <v>12951.06</v>
      </c>
      <c r="DB404" s="11">
        <v>14</v>
      </c>
      <c r="DC404" s="11"/>
      <c r="DD404" s="13"/>
      <c r="DE404" s="11"/>
      <c r="DF404" s="12"/>
      <c r="DG404" s="12"/>
      <c r="DH404" s="11">
        <v>2</v>
      </c>
      <c r="DI404" s="13">
        <v>247.01</v>
      </c>
      <c r="DJ404" s="11">
        <v>5</v>
      </c>
      <c r="DK404" s="11"/>
      <c r="DL404" s="13"/>
      <c r="DM404" s="11"/>
      <c r="DN404" s="12"/>
      <c r="DO404" s="12"/>
      <c r="DP404" s="11">
        <v>1</v>
      </c>
      <c r="DQ404" s="13">
        <v>145.53</v>
      </c>
      <c r="DR404" s="11">
        <v>10</v>
      </c>
      <c r="DS404" s="11"/>
      <c r="DT404" s="13"/>
      <c r="DU404" s="11"/>
      <c r="DV404" s="12"/>
      <c r="DW404" s="12"/>
      <c r="DX404" s="11">
        <v>13</v>
      </c>
      <c r="DY404" s="13">
        <v>2173.16</v>
      </c>
      <c r="DZ404" s="11">
        <v>15</v>
      </c>
      <c r="EA404" s="11"/>
      <c r="EB404" s="13"/>
      <c r="EC404" s="11"/>
      <c r="ED404" s="12"/>
      <c r="EE404" s="12"/>
      <c r="EF404" s="11"/>
      <c r="EG404" s="13"/>
      <c r="EH404" s="11"/>
      <c r="EI404" s="11"/>
      <c r="EJ404" s="13"/>
      <c r="EK404" s="11"/>
      <c r="EL404" s="12"/>
      <c r="EM404" s="12"/>
      <c r="EN404" s="11">
        <v>1</v>
      </c>
      <c r="EO404" s="13">
        <v>187</v>
      </c>
      <c r="EP404" s="11">
        <v>20</v>
      </c>
      <c r="EQ404" s="11"/>
      <c r="ER404" s="13"/>
      <c r="ES404" s="11"/>
      <c r="ET404" s="12"/>
      <c r="EU404" s="12"/>
      <c r="EV404" s="11"/>
      <c r="EW404" s="13"/>
      <c r="EX404" s="11"/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>
        <v>7</v>
      </c>
      <c r="FM404" s="13">
        <v>1036.12</v>
      </c>
      <c r="FN404" s="11">
        <v>15</v>
      </c>
      <c r="FO404" s="11"/>
      <c r="FP404" s="13"/>
      <c r="FQ404" s="11"/>
      <c r="FR404" s="12"/>
      <c r="FS404" s="12"/>
      <c r="FT404" s="11">
        <v>21</v>
      </c>
      <c r="FU404" s="13">
        <v>2413.5</v>
      </c>
      <c r="FV404" s="11">
        <v>11</v>
      </c>
      <c r="FW404" s="11"/>
      <c r="FX404" s="13"/>
      <c r="FY404" s="11"/>
      <c r="FZ404" s="12"/>
      <c r="GA404" s="12"/>
      <c r="GB404" s="11">
        <v>11</v>
      </c>
      <c r="GC404" s="13">
        <v>1118.6</v>
      </c>
      <c r="GD404" s="11">
        <v>14</v>
      </c>
      <c r="GE404" s="11"/>
      <c r="GF404" s="13"/>
      <c r="GG404" s="11"/>
      <c r="GH404" s="12"/>
      <c r="GI404" s="12"/>
      <c r="GJ404" s="11">
        <v>5</v>
      </c>
      <c r="GK404" s="13">
        <v>793.26</v>
      </c>
      <c r="GL404" s="11">
        <v>15</v>
      </c>
      <c r="GM404" s="11"/>
      <c r="GN404" s="13"/>
      <c r="GO404" s="11"/>
      <c r="GP404" s="12"/>
      <c r="GQ404" s="12"/>
      <c r="GR404" s="11">
        <v>8</v>
      </c>
      <c r="GS404" s="13">
        <v>1088.58</v>
      </c>
      <c r="GT404" s="11">
        <v>16</v>
      </c>
      <c r="GU404" s="11"/>
      <c r="GV404" s="13"/>
      <c r="GW404" s="11"/>
      <c r="GX404" s="12"/>
      <c r="GY404" s="12"/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/>
      <c r="JO404" s="11"/>
      <c r="JP404" s="13"/>
      <c r="JQ404" s="11"/>
      <c r="JR404" s="12"/>
      <c r="JS404" s="12"/>
      <c r="JT404" s="11"/>
      <c r="JU404" s="13"/>
      <c r="JV404" s="11">
        <v>4</v>
      </c>
      <c r="JW404" s="11"/>
      <c r="JX404" s="13"/>
      <c r="JY404" s="11"/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  <c r="LH404" s="11"/>
      <c r="LI404" s="13"/>
      <c r="LJ404" s="11"/>
      <c r="LK404" s="11"/>
      <c r="LL404" s="13"/>
      <c r="LM404" s="11"/>
      <c r="LN404" s="12"/>
      <c r="LO404" s="12"/>
      <c r="LP404" s="11"/>
      <c r="LQ404" s="13"/>
      <c r="LR404" s="11"/>
      <c r="LS404" s="11"/>
      <c r="LT404" s="13"/>
      <c r="LU404" s="11"/>
      <c r="LV404" s="12"/>
      <c r="LW404" s="12"/>
    </row>
    <row r="405">
      <c r="A405" s="10" t="s">
        <v>227</v>
      </c>
      <c r="B405" s="10" t="s">
        <v>116</v>
      </c>
      <c r="C405" s="10" t="s">
        <v>77</v>
      </c>
      <c r="D405" s="11">
        <v>52122</v>
      </c>
      <c r="E405" s="11">
        <f>=ROUNDDOWN({0},0)</f>
      </c>
      <c r="F405" s="11">
        <v>34437</v>
      </c>
      <c r="G405" s="12"/>
      <c r="H405" s="11"/>
      <c r="I405" s="11">
        <f>=ROUNDDOWN({0},0)</f>
      </c>
      <c r="J405" s="11">
        <v>4834</v>
      </c>
      <c r="K405" s="12"/>
      <c r="L405" s="11">
        <v>30911</v>
      </c>
      <c r="M405" s="13">
        <v>5209267.59</v>
      </c>
      <c r="N405" s="11">
        <v>333</v>
      </c>
      <c r="O405" s="14">
        <v>15643.45</v>
      </c>
      <c r="P405" s="11"/>
      <c r="Q405" s="13"/>
      <c r="R405" s="11"/>
      <c r="S405" s="14"/>
      <c r="T405" s="12"/>
      <c r="U405" s="12"/>
      <c r="V405" s="12"/>
      <c r="W405" s="12"/>
      <c r="X405" s="11">
        <v>2836</v>
      </c>
      <c r="Y405" s="13">
        <v>491829.47</v>
      </c>
      <c r="Z405" s="11">
        <v>119</v>
      </c>
      <c r="AA405" s="11"/>
      <c r="AB405" s="13"/>
      <c r="AC405" s="11"/>
      <c r="AD405" s="12"/>
      <c r="AE405" s="12"/>
      <c r="AF405" s="11">
        <v>12352</v>
      </c>
      <c r="AG405" s="13">
        <v>1874219.76</v>
      </c>
      <c r="AH405" s="11">
        <v>333</v>
      </c>
      <c r="AI405" s="11"/>
      <c r="AJ405" s="13"/>
      <c r="AK405" s="11"/>
      <c r="AL405" s="12"/>
      <c r="AM405" s="12"/>
      <c r="AN405" s="11">
        <v>975</v>
      </c>
      <c r="AO405" s="13">
        <v>132393.29</v>
      </c>
      <c r="AP405" s="11">
        <v>325</v>
      </c>
      <c r="AQ405" s="11"/>
      <c r="AR405" s="13"/>
      <c r="AS405" s="11"/>
      <c r="AT405" s="12"/>
      <c r="AU405" s="12"/>
      <c r="AV405" s="11">
        <v>566</v>
      </c>
      <c r="AW405" s="13">
        <v>112684.47</v>
      </c>
      <c r="AX405" s="11">
        <v>270</v>
      </c>
      <c r="AY405" s="11"/>
      <c r="AZ405" s="13"/>
      <c r="BA405" s="11"/>
      <c r="BB405" s="12"/>
      <c r="BC405" s="12"/>
      <c r="BD405" s="11">
        <v>2391</v>
      </c>
      <c r="BE405" s="13">
        <v>392580.7</v>
      </c>
      <c r="BF405" s="11">
        <v>293</v>
      </c>
      <c r="BG405" s="11"/>
      <c r="BH405" s="13"/>
      <c r="BI405" s="11"/>
      <c r="BJ405" s="12"/>
      <c r="BK405" s="12"/>
      <c r="BL405" s="11">
        <v>2361</v>
      </c>
      <c r="BM405" s="13">
        <v>511960.53</v>
      </c>
      <c r="BN405" s="11">
        <v>326</v>
      </c>
      <c r="BO405" s="11"/>
      <c r="BP405" s="13"/>
      <c r="BQ405" s="11"/>
      <c r="BR405" s="12"/>
      <c r="BS405" s="12"/>
      <c r="BT405" s="11">
        <v>3428</v>
      </c>
      <c r="BU405" s="13">
        <v>646971.85</v>
      </c>
      <c r="BV405" s="11">
        <v>329</v>
      </c>
      <c r="BW405" s="11"/>
      <c r="BX405" s="13"/>
      <c r="BY405" s="11"/>
      <c r="BZ405" s="12"/>
      <c r="CA405" s="12"/>
      <c r="CB405" s="11">
        <v>98</v>
      </c>
      <c r="CC405" s="13">
        <v>15958.48</v>
      </c>
      <c r="CD405" s="11">
        <v>134</v>
      </c>
      <c r="CE405" s="11"/>
      <c r="CF405" s="13"/>
      <c r="CG405" s="11"/>
      <c r="CH405" s="12"/>
      <c r="CI405" s="12"/>
      <c r="CJ405" s="11">
        <v>2</v>
      </c>
      <c r="CK405" s="13">
        <v>379.98</v>
      </c>
      <c r="CL405" s="11">
        <v>301</v>
      </c>
      <c r="CM405" s="11"/>
      <c r="CN405" s="13"/>
      <c r="CO405" s="11"/>
      <c r="CP405" s="12"/>
      <c r="CQ405" s="12"/>
      <c r="CR405" s="11"/>
      <c r="CS405" s="13"/>
      <c r="CT405" s="11"/>
      <c r="CU405" s="11"/>
      <c r="CV405" s="13"/>
      <c r="CW405" s="11"/>
      <c r="CX405" s="12"/>
      <c r="CY405" s="12"/>
      <c r="CZ405" s="11">
        <v>1458</v>
      </c>
      <c r="DA405" s="13">
        <v>289463.07</v>
      </c>
      <c r="DB405" s="11">
        <v>162</v>
      </c>
      <c r="DC405" s="11"/>
      <c r="DD405" s="13"/>
      <c r="DE405" s="11"/>
      <c r="DF405" s="12"/>
      <c r="DG405" s="12"/>
      <c r="DH405" s="11">
        <v>2423</v>
      </c>
      <c r="DI405" s="13">
        <v>427959.38</v>
      </c>
      <c r="DJ405" s="11">
        <v>141</v>
      </c>
      <c r="DK405" s="11"/>
      <c r="DL405" s="13"/>
      <c r="DM405" s="11"/>
      <c r="DN405" s="12"/>
      <c r="DO405" s="12"/>
      <c r="DP405" s="11">
        <v>14</v>
      </c>
      <c r="DQ405" s="13">
        <v>2779.65</v>
      </c>
      <c r="DR405" s="11">
        <v>174</v>
      </c>
      <c r="DS405" s="11"/>
      <c r="DT405" s="13"/>
      <c r="DU405" s="11"/>
      <c r="DV405" s="12"/>
      <c r="DW405" s="12"/>
      <c r="DX405" s="11">
        <v>372</v>
      </c>
      <c r="DY405" s="13">
        <v>70245.57</v>
      </c>
      <c r="DZ405" s="11">
        <v>280</v>
      </c>
      <c r="EA405" s="11"/>
      <c r="EB405" s="13"/>
      <c r="EC405" s="11"/>
      <c r="ED405" s="12"/>
      <c r="EE405" s="12"/>
      <c r="EF405" s="11"/>
      <c r="EG405" s="13"/>
      <c r="EH405" s="11"/>
      <c r="EI405" s="11"/>
      <c r="EJ405" s="13"/>
      <c r="EK405" s="11"/>
      <c r="EL405" s="12"/>
      <c r="EM405" s="12"/>
      <c r="EN405" s="11">
        <v>5</v>
      </c>
      <c r="EO405" s="13">
        <v>1694</v>
      </c>
      <c r="EP405" s="11">
        <v>274</v>
      </c>
      <c r="EQ405" s="11"/>
      <c r="ER405" s="13"/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>
        <v>79</v>
      </c>
      <c r="FM405" s="13">
        <v>11047.04</v>
      </c>
      <c r="FN405" s="11">
        <v>84</v>
      </c>
      <c r="FO405" s="11"/>
      <c r="FP405" s="13"/>
      <c r="FQ405" s="11"/>
      <c r="FR405" s="12"/>
      <c r="FS405" s="12"/>
      <c r="FT405" s="11">
        <v>579</v>
      </c>
      <c r="FU405" s="13">
        <v>72910.87</v>
      </c>
      <c r="FV405" s="11">
        <v>195</v>
      </c>
      <c r="FW405" s="11"/>
      <c r="FX405" s="13"/>
      <c r="FY405" s="11"/>
      <c r="FZ405" s="12"/>
      <c r="GA405" s="12"/>
      <c r="GB405" s="11">
        <v>338</v>
      </c>
      <c r="GC405" s="13">
        <v>50885.87</v>
      </c>
      <c r="GD405" s="11">
        <v>197</v>
      </c>
      <c r="GE405" s="11"/>
      <c r="GF405" s="13"/>
      <c r="GG405" s="11"/>
      <c r="GH405" s="12"/>
      <c r="GI405" s="12"/>
      <c r="GJ405" s="11">
        <v>292</v>
      </c>
      <c r="GK405" s="13">
        <v>48342.9</v>
      </c>
      <c r="GL405" s="11">
        <v>256</v>
      </c>
      <c r="GM405" s="11"/>
      <c r="GN405" s="13"/>
      <c r="GO405" s="11"/>
      <c r="GP405" s="12"/>
      <c r="GQ405" s="12"/>
      <c r="GR405" s="11">
        <v>337</v>
      </c>
      <c r="GS405" s="13">
        <v>54362.21</v>
      </c>
      <c r="GT405" s="11">
        <v>258</v>
      </c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>
        <v>5</v>
      </c>
      <c r="HY405" s="13">
        <v>598.5</v>
      </c>
      <c r="HZ405" s="11">
        <v>17</v>
      </c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>
        <v>14</v>
      </c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/>
      <c r="JP405" s="13"/>
      <c r="JQ405" s="11"/>
      <c r="JR405" s="12"/>
      <c r="JS405" s="12"/>
      <c r="JT405" s="11"/>
      <c r="JU405" s="13"/>
      <c r="JV405" s="11">
        <v>40</v>
      </c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/>
      <c r="KN405" s="13"/>
      <c r="KO405" s="11"/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  <c r="LH405" s="11"/>
      <c r="LI405" s="13"/>
      <c r="LJ405" s="11"/>
      <c r="LK405" s="11"/>
      <c r="LL405" s="13"/>
      <c r="LM405" s="11"/>
      <c r="LN405" s="12"/>
      <c r="LO405" s="12"/>
      <c r="LP405" s="11"/>
      <c r="LQ405" s="13"/>
      <c r="LR405" s="11"/>
      <c r="LS405" s="11"/>
      <c r="LT405" s="13"/>
      <c r="LU405" s="11"/>
      <c r="LV405" s="12"/>
      <c r="LW405" s="12"/>
    </row>
    <row r="406">
      <c r="A406" s="10" t="s">
        <v>227</v>
      </c>
      <c r="B406" s="10" t="s">
        <v>122</v>
      </c>
      <c r="C406" s="10" t="s">
        <v>228</v>
      </c>
      <c r="D406" s="11">
        <v>87</v>
      </c>
      <c r="E406" s="11">
        <f>=ROUNDDOWN(217.5,0)</f>
      </c>
      <c r="F406" s="11"/>
      <c r="G406" s="12"/>
      <c r="H406" s="11"/>
      <c r="I406" s="11">
        <f>=ROUNDDOWN({0},0)</f>
      </c>
      <c r="J406" s="11"/>
      <c r="K406" s="12"/>
      <c r="L406" s="11">
        <v>1</v>
      </c>
      <c r="M406" s="13">
        <v>130.61</v>
      </c>
      <c r="N406" s="11">
        <v>1</v>
      </c>
      <c r="O406" s="14">
        <v>130.61</v>
      </c>
      <c r="P406" s="11"/>
      <c r="Q406" s="13"/>
      <c r="R406" s="11"/>
      <c r="S406" s="14"/>
      <c r="T406" s="12"/>
      <c r="U406" s="12"/>
      <c r="V406" s="12"/>
      <c r="W406" s="12"/>
      <c r="X406" s="11"/>
      <c r="Y406" s="13"/>
      <c r="Z406" s="11"/>
      <c r="AA406" s="11"/>
      <c r="AB406" s="13"/>
      <c r="AC406" s="11"/>
      <c r="AD406" s="12"/>
      <c r="AE406" s="12"/>
      <c r="AF406" s="11">
        <v>1</v>
      </c>
      <c r="AG406" s="13">
        <v>130.61</v>
      </c>
      <c r="AH406" s="11">
        <v>1</v>
      </c>
      <c r="AI406" s="11"/>
      <c r="AJ406" s="13"/>
      <c r="AK406" s="11"/>
      <c r="AL406" s="12"/>
      <c r="AM406" s="12"/>
      <c r="AN406" s="11"/>
      <c r="AO406" s="13"/>
      <c r="AP406" s="11">
        <v>1</v>
      </c>
      <c r="AQ406" s="11"/>
      <c r="AR406" s="13"/>
      <c r="AS406" s="11"/>
      <c r="AT406" s="12"/>
      <c r="AU406" s="12"/>
      <c r="AV406" s="11"/>
      <c r="AW406" s="13"/>
      <c r="AX406" s="11"/>
      <c r="AY406" s="11"/>
      <c r="AZ406" s="13"/>
      <c r="BA406" s="11"/>
      <c r="BB406" s="12"/>
      <c r="BC406" s="12"/>
      <c r="BD406" s="11"/>
      <c r="BE406" s="13"/>
      <c r="BF406" s="11"/>
      <c r="BG406" s="11"/>
      <c r="BH406" s="13"/>
      <c r="BI406" s="11"/>
      <c r="BJ406" s="12"/>
      <c r="BK406" s="12"/>
      <c r="BL406" s="11"/>
      <c r="BM406" s="13"/>
      <c r="BN406" s="11">
        <v>1</v>
      </c>
      <c r="BO406" s="11"/>
      <c r="BP406" s="13"/>
      <c r="BQ406" s="11"/>
      <c r="BR406" s="12"/>
      <c r="BS406" s="12"/>
      <c r="BT406" s="11"/>
      <c r="BU406" s="13"/>
      <c r="BV406" s="11">
        <v>1</v>
      </c>
      <c r="BW406" s="11"/>
      <c r="BX406" s="13"/>
      <c r="BY406" s="11"/>
      <c r="BZ406" s="12"/>
      <c r="CA406" s="12"/>
      <c r="CB406" s="11"/>
      <c r="CC406" s="13"/>
      <c r="CD406" s="11"/>
      <c r="CE406" s="11"/>
      <c r="CF406" s="13"/>
      <c r="CG406" s="11"/>
      <c r="CH406" s="12"/>
      <c r="CI406" s="12"/>
      <c r="CJ406" s="11"/>
      <c r="CK406" s="13"/>
      <c r="CL406" s="11">
        <v>1</v>
      </c>
      <c r="CM406" s="11"/>
      <c r="CN406" s="13"/>
      <c r="CO406" s="11"/>
      <c r="CP406" s="12"/>
      <c r="CQ406" s="12"/>
      <c r="CR406" s="11"/>
      <c r="CS406" s="13"/>
      <c r="CT406" s="11"/>
      <c r="CU406" s="11"/>
      <c r="CV406" s="13"/>
      <c r="CW406" s="11"/>
      <c r="CX406" s="12"/>
      <c r="CY406" s="12"/>
      <c r="CZ406" s="11"/>
      <c r="DA406" s="13"/>
      <c r="DB406" s="11"/>
      <c r="DC406" s="11"/>
      <c r="DD406" s="13"/>
      <c r="DE406" s="11"/>
      <c r="DF406" s="12"/>
      <c r="DG406" s="12"/>
      <c r="DH406" s="11"/>
      <c r="DI406" s="13"/>
      <c r="DJ406" s="11"/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>
        <v>1</v>
      </c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>
        <v>1</v>
      </c>
      <c r="EQ406" s="11"/>
      <c r="ER406" s="13"/>
      <c r="ES406" s="11"/>
      <c r="ET406" s="12"/>
      <c r="EU406" s="12"/>
      <c r="EV406" s="11"/>
      <c r="EW406" s="13"/>
      <c r="EX406" s="11"/>
      <c r="EY406" s="11"/>
      <c r="EZ406" s="13"/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/>
      <c r="FU406" s="13"/>
      <c r="FV406" s="11">
        <v>1</v>
      </c>
      <c r="FW406" s="11"/>
      <c r="FX406" s="13"/>
      <c r="FY406" s="11"/>
      <c r="FZ406" s="12"/>
      <c r="GA406" s="12"/>
      <c r="GB406" s="11"/>
      <c r="GC406" s="13"/>
      <c r="GD406" s="11"/>
      <c r="GE406" s="11"/>
      <c r="GF406" s="13"/>
      <c r="GG406" s="11"/>
      <c r="GH406" s="12"/>
      <c r="GI406" s="12"/>
      <c r="GJ406" s="11"/>
      <c r="GK406" s="13"/>
      <c r="GL406" s="11"/>
      <c r="GM406" s="11"/>
      <c r="GN406" s="13"/>
      <c r="GO406" s="11"/>
      <c r="GP406" s="12"/>
      <c r="GQ406" s="12"/>
      <c r="GR406" s="11"/>
      <c r="GS406" s="13"/>
      <c r="GT406" s="11"/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  <c r="LH406" s="11"/>
      <c r="LI406" s="13"/>
      <c r="LJ406" s="11"/>
      <c r="LK406" s="11"/>
      <c r="LL406" s="13"/>
      <c r="LM406" s="11"/>
      <c r="LN406" s="12"/>
      <c r="LO406" s="12"/>
      <c r="LP406" s="11"/>
      <c r="LQ406" s="13"/>
      <c r="LR406" s="11"/>
      <c r="LS406" s="11"/>
      <c r="LT406" s="13"/>
      <c r="LU406" s="11"/>
      <c r="LV406" s="12"/>
      <c r="LW406" s="12"/>
    </row>
    <row r="407">
      <c r="A407" s="10" t="s">
        <v>227</v>
      </c>
      <c r="B407" s="10" t="s">
        <v>122</v>
      </c>
      <c r="C407" s="10" t="s">
        <v>213</v>
      </c>
      <c r="D407" s="11">
        <v>252</v>
      </c>
      <c r="E407" s="11">
        <f>=ROUNDDOWN(21,0)</f>
      </c>
      <c r="F407" s="11"/>
      <c r="G407" s="12">
        <v>1</v>
      </c>
      <c r="H407" s="11"/>
      <c r="I407" s="11">
        <f>=ROUNDDOWN({0},0)</f>
      </c>
      <c r="J407" s="11"/>
      <c r="K407" s="12"/>
      <c r="L407" s="11">
        <v>162</v>
      </c>
      <c r="M407" s="13">
        <v>29834.64</v>
      </c>
      <c r="N407" s="11">
        <v>3</v>
      </c>
      <c r="O407" s="14">
        <v>9944.88</v>
      </c>
      <c r="P407" s="11"/>
      <c r="Q407" s="13"/>
      <c r="R407" s="11"/>
      <c r="S407" s="14"/>
      <c r="T407" s="12"/>
      <c r="U407" s="12"/>
      <c r="V407" s="12"/>
      <c r="W407" s="12"/>
      <c r="X407" s="11"/>
      <c r="Y407" s="13"/>
      <c r="Z407" s="11"/>
      <c r="AA407" s="11"/>
      <c r="AB407" s="13"/>
      <c r="AC407" s="11"/>
      <c r="AD407" s="12"/>
      <c r="AE407" s="12"/>
      <c r="AF407" s="11">
        <v>115</v>
      </c>
      <c r="AG407" s="13">
        <v>18982.45</v>
      </c>
      <c r="AH407" s="11">
        <v>3</v>
      </c>
      <c r="AI407" s="11"/>
      <c r="AJ407" s="13"/>
      <c r="AK407" s="11"/>
      <c r="AL407" s="12"/>
      <c r="AM407" s="12"/>
      <c r="AN407" s="11"/>
      <c r="AO407" s="13"/>
      <c r="AP407" s="11">
        <v>3</v>
      </c>
      <c r="AQ407" s="11"/>
      <c r="AR407" s="13"/>
      <c r="AS407" s="11"/>
      <c r="AT407" s="12"/>
      <c r="AU407" s="12"/>
      <c r="AV407" s="11">
        <v>1</v>
      </c>
      <c r="AW407" s="13">
        <v>250.31</v>
      </c>
      <c r="AX407" s="11">
        <v>3</v>
      </c>
      <c r="AY407" s="11"/>
      <c r="AZ407" s="13"/>
      <c r="BA407" s="11"/>
      <c r="BB407" s="12"/>
      <c r="BC407" s="12"/>
      <c r="BD407" s="11">
        <v>13</v>
      </c>
      <c r="BE407" s="13">
        <v>2601.57</v>
      </c>
      <c r="BF407" s="11">
        <v>3</v>
      </c>
      <c r="BG407" s="11"/>
      <c r="BH407" s="13"/>
      <c r="BI407" s="11"/>
      <c r="BJ407" s="12"/>
      <c r="BK407" s="12"/>
      <c r="BL407" s="11">
        <v>6</v>
      </c>
      <c r="BM407" s="13">
        <v>1474.86</v>
      </c>
      <c r="BN407" s="11">
        <v>2</v>
      </c>
      <c r="BO407" s="11"/>
      <c r="BP407" s="13"/>
      <c r="BQ407" s="11"/>
      <c r="BR407" s="12"/>
      <c r="BS407" s="12"/>
      <c r="BT407" s="11">
        <v>12</v>
      </c>
      <c r="BU407" s="13">
        <v>3222</v>
      </c>
      <c r="BV407" s="11">
        <v>3</v>
      </c>
      <c r="BW407" s="11"/>
      <c r="BX407" s="13"/>
      <c r="BY407" s="11"/>
      <c r="BZ407" s="12"/>
      <c r="CA407" s="12"/>
      <c r="CB407" s="11">
        <v>2</v>
      </c>
      <c r="CC407" s="13">
        <v>469.32</v>
      </c>
      <c r="CD407" s="11">
        <v>2</v>
      </c>
      <c r="CE407" s="11"/>
      <c r="CF407" s="13"/>
      <c r="CG407" s="11"/>
      <c r="CH407" s="12"/>
      <c r="CI407" s="12"/>
      <c r="CJ407" s="11"/>
      <c r="CK407" s="13"/>
      <c r="CL407" s="11">
        <v>3</v>
      </c>
      <c r="CM407" s="11"/>
      <c r="CN407" s="13"/>
      <c r="CO407" s="11"/>
      <c r="CP407" s="12"/>
      <c r="CQ407" s="12"/>
      <c r="CR407" s="11"/>
      <c r="CS407" s="13"/>
      <c r="CT407" s="11"/>
      <c r="CU407" s="11"/>
      <c r="CV407" s="13"/>
      <c r="CW407" s="11"/>
      <c r="CX407" s="12"/>
      <c r="CY407" s="12"/>
      <c r="CZ407" s="11">
        <v>3</v>
      </c>
      <c r="DA407" s="13">
        <v>731.29</v>
      </c>
      <c r="DB407" s="11">
        <v>3</v>
      </c>
      <c r="DC407" s="11"/>
      <c r="DD407" s="13"/>
      <c r="DE407" s="11"/>
      <c r="DF407" s="12"/>
      <c r="DG407" s="12"/>
      <c r="DH407" s="11"/>
      <c r="DI407" s="13"/>
      <c r="DJ407" s="11">
        <v>2</v>
      </c>
      <c r="DK407" s="11"/>
      <c r="DL407" s="13"/>
      <c r="DM407" s="11"/>
      <c r="DN407" s="12"/>
      <c r="DO407" s="12"/>
      <c r="DP407" s="11"/>
      <c r="DQ407" s="13"/>
      <c r="DR407" s="11">
        <v>3</v>
      </c>
      <c r="DS407" s="11"/>
      <c r="DT407" s="13"/>
      <c r="DU407" s="11"/>
      <c r="DV407" s="12"/>
      <c r="DW407" s="12"/>
      <c r="DX407" s="11">
        <v>2</v>
      </c>
      <c r="DY407" s="13">
        <v>491.68</v>
      </c>
      <c r="DZ407" s="11">
        <v>3</v>
      </c>
      <c r="EA407" s="11"/>
      <c r="EB407" s="13"/>
      <c r="EC407" s="11"/>
      <c r="ED407" s="12"/>
      <c r="EE407" s="12"/>
      <c r="EF407" s="11"/>
      <c r="EG407" s="13"/>
      <c r="EH407" s="11"/>
      <c r="EI407" s="11"/>
      <c r="EJ407" s="13"/>
      <c r="EK407" s="11"/>
      <c r="EL407" s="12"/>
      <c r="EM407" s="12"/>
      <c r="EN407" s="11"/>
      <c r="EO407" s="13"/>
      <c r="EP407" s="11">
        <v>3</v>
      </c>
      <c r="EQ407" s="11"/>
      <c r="ER407" s="13"/>
      <c r="ES407" s="11"/>
      <c r="ET407" s="12"/>
      <c r="EU407" s="12"/>
      <c r="EV407" s="11"/>
      <c r="EW407" s="13"/>
      <c r="EX407" s="11"/>
      <c r="EY407" s="11"/>
      <c r="EZ407" s="13"/>
      <c r="FA407" s="11"/>
      <c r="FB407" s="12"/>
      <c r="FC407" s="12"/>
      <c r="FD407" s="11"/>
      <c r="FE407" s="13"/>
      <c r="FF407" s="11"/>
      <c r="FG407" s="11"/>
      <c r="FH407" s="13"/>
      <c r="FI407" s="11"/>
      <c r="FJ407" s="12"/>
      <c r="FK407" s="12"/>
      <c r="FL407" s="11"/>
      <c r="FM407" s="13"/>
      <c r="FN407" s="11">
        <v>1</v>
      </c>
      <c r="FO407" s="11"/>
      <c r="FP407" s="13"/>
      <c r="FQ407" s="11"/>
      <c r="FR407" s="12"/>
      <c r="FS407" s="12"/>
      <c r="FT407" s="11">
        <v>3</v>
      </c>
      <c r="FU407" s="13">
        <v>598.5</v>
      </c>
      <c r="FV407" s="11">
        <v>2</v>
      </c>
      <c r="FW407" s="11"/>
      <c r="FX407" s="13"/>
      <c r="FY407" s="11"/>
      <c r="FZ407" s="12"/>
      <c r="GA407" s="12"/>
      <c r="GB407" s="11">
        <v>1</v>
      </c>
      <c r="GC407" s="13">
        <v>215.46</v>
      </c>
      <c r="GD407" s="11">
        <v>1</v>
      </c>
      <c r="GE407" s="11"/>
      <c r="GF407" s="13"/>
      <c r="GG407" s="11"/>
      <c r="GH407" s="12"/>
      <c r="GI407" s="12"/>
      <c r="GJ407" s="11">
        <v>2</v>
      </c>
      <c r="GK407" s="13">
        <v>366.28</v>
      </c>
      <c r="GL407" s="11">
        <v>3</v>
      </c>
      <c r="GM407" s="11"/>
      <c r="GN407" s="13"/>
      <c r="GO407" s="11"/>
      <c r="GP407" s="12"/>
      <c r="GQ407" s="12"/>
      <c r="GR407" s="11">
        <v>2</v>
      </c>
      <c r="GS407" s="13">
        <v>430.92</v>
      </c>
      <c r="GT407" s="11">
        <v>2</v>
      </c>
      <c r="GU407" s="11"/>
      <c r="GV407" s="13"/>
      <c r="GW407" s="11"/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/>
      <c r="IG407" s="13"/>
      <c r="IH407" s="11"/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/>
      <c r="JO407" s="11"/>
      <c r="JP407" s="13"/>
      <c r="JQ407" s="11"/>
      <c r="JR407" s="12"/>
      <c r="JS407" s="12"/>
      <c r="JT407" s="11"/>
      <c r="JU407" s="13"/>
      <c r="JV407" s="11"/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/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  <c r="LH407" s="11"/>
      <c r="LI407" s="13"/>
      <c r="LJ407" s="11"/>
      <c r="LK407" s="11"/>
      <c r="LL407" s="13"/>
      <c r="LM407" s="11"/>
      <c r="LN407" s="12"/>
      <c r="LO407" s="12"/>
      <c r="LP407" s="11"/>
      <c r="LQ407" s="13"/>
      <c r="LR407" s="11"/>
      <c r="LS407" s="11"/>
      <c r="LT407" s="13"/>
      <c r="LU407" s="11"/>
      <c r="LV407" s="12"/>
      <c r="LW407" s="12"/>
    </row>
    <row r="408">
      <c r="A408" s="10" t="s">
        <v>227</v>
      </c>
      <c r="B408" s="10" t="s">
        <v>122</v>
      </c>
      <c r="C408" s="10" t="s">
        <v>214</v>
      </c>
      <c r="D408" s="11">
        <v>398</v>
      </c>
      <c r="E408" s="11">
        <f>=ROUNDDOWN(11.0863509749304,0)</f>
      </c>
      <c r="F408" s="11">
        <v>620</v>
      </c>
      <c r="G408" s="12">
        <v>0.9022</v>
      </c>
      <c r="H408" s="11"/>
      <c r="I408" s="11">
        <f>=ROUNDDOWN({0},0)</f>
      </c>
      <c r="J408" s="11"/>
      <c r="K408" s="12"/>
      <c r="L408" s="11">
        <v>379</v>
      </c>
      <c r="M408" s="13">
        <v>82509.95</v>
      </c>
      <c r="N408" s="11">
        <v>3</v>
      </c>
      <c r="O408" s="14">
        <v>27503.32</v>
      </c>
      <c r="P408" s="11"/>
      <c r="Q408" s="13"/>
      <c r="R408" s="11"/>
      <c r="S408" s="14"/>
      <c r="T408" s="12"/>
      <c r="U408" s="12"/>
      <c r="V408" s="12"/>
      <c r="W408" s="12"/>
      <c r="X408" s="11">
        <v>4</v>
      </c>
      <c r="Y408" s="13">
        <v>1097.72</v>
      </c>
      <c r="Z408" s="11">
        <v>1</v>
      </c>
      <c r="AA408" s="11"/>
      <c r="AB408" s="13"/>
      <c r="AC408" s="11"/>
      <c r="AD408" s="12"/>
      <c r="AE408" s="12"/>
      <c r="AF408" s="11">
        <v>289</v>
      </c>
      <c r="AG408" s="13">
        <v>60459.93</v>
      </c>
      <c r="AH408" s="11">
        <v>3</v>
      </c>
      <c r="AI408" s="11"/>
      <c r="AJ408" s="13"/>
      <c r="AK408" s="11"/>
      <c r="AL408" s="12"/>
      <c r="AM408" s="12"/>
      <c r="AN408" s="11">
        <v>16</v>
      </c>
      <c r="AO408" s="13">
        <v>3503.2</v>
      </c>
      <c r="AP408" s="11">
        <v>3</v>
      </c>
      <c r="AQ408" s="11"/>
      <c r="AR408" s="13"/>
      <c r="AS408" s="11"/>
      <c r="AT408" s="12"/>
      <c r="AU408" s="12"/>
      <c r="AV408" s="11"/>
      <c r="AW408" s="13"/>
      <c r="AX408" s="11"/>
      <c r="AY408" s="11"/>
      <c r="AZ408" s="13"/>
      <c r="BA408" s="11"/>
      <c r="BB408" s="12"/>
      <c r="BC408" s="12"/>
      <c r="BD408" s="11">
        <v>5</v>
      </c>
      <c r="BE408" s="13">
        <v>1197.49</v>
      </c>
      <c r="BF408" s="11">
        <v>2</v>
      </c>
      <c r="BG408" s="11"/>
      <c r="BH408" s="13"/>
      <c r="BI408" s="11"/>
      <c r="BJ408" s="12"/>
      <c r="BK408" s="12"/>
      <c r="BL408" s="11">
        <v>34</v>
      </c>
      <c r="BM408" s="13">
        <v>8324.24</v>
      </c>
      <c r="BN408" s="11">
        <v>3</v>
      </c>
      <c r="BO408" s="11"/>
      <c r="BP408" s="13"/>
      <c r="BQ408" s="11"/>
      <c r="BR408" s="12"/>
      <c r="BS408" s="12"/>
      <c r="BT408" s="11">
        <v>20</v>
      </c>
      <c r="BU408" s="13">
        <v>5059.31</v>
      </c>
      <c r="BV408" s="11">
        <v>3</v>
      </c>
      <c r="BW408" s="11"/>
      <c r="BX408" s="13"/>
      <c r="BY408" s="11"/>
      <c r="BZ408" s="12"/>
      <c r="CA408" s="12"/>
      <c r="CB408" s="11">
        <v>2</v>
      </c>
      <c r="CC408" s="13">
        <v>480.24</v>
      </c>
      <c r="CD408" s="11">
        <v>2</v>
      </c>
      <c r="CE408" s="11"/>
      <c r="CF408" s="13"/>
      <c r="CG408" s="11"/>
      <c r="CH408" s="12"/>
      <c r="CI408" s="12"/>
      <c r="CJ408" s="11">
        <v>1</v>
      </c>
      <c r="CK408" s="13">
        <v>459.99</v>
      </c>
      <c r="CL408" s="11">
        <v>3</v>
      </c>
      <c r="CM408" s="11"/>
      <c r="CN408" s="13"/>
      <c r="CO408" s="11"/>
      <c r="CP408" s="12"/>
      <c r="CQ408" s="12"/>
      <c r="CR408" s="11"/>
      <c r="CS408" s="13"/>
      <c r="CT408" s="11"/>
      <c r="CU408" s="11"/>
      <c r="CV408" s="13"/>
      <c r="CW408" s="11"/>
      <c r="CX408" s="12"/>
      <c r="CY408" s="12"/>
      <c r="CZ408" s="11">
        <v>7</v>
      </c>
      <c r="DA408" s="13">
        <v>1680.84</v>
      </c>
      <c r="DB408" s="11">
        <v>2</v>
      </c>
      <c r="DC408" s="11"/>
      <c r="DD408" s="13"/>
      <c r="DE408" s="11"/>
      <c r="DF408" s="12"/>
      <c r="DG408" s="12"/>
      <c r="DH408" s="11"/>
      <c r="DI408" s="13"/>
      <c r="DJ408" s="11"/>
      <c r="DK408" s="11"/>
      <c r="DL408" s="13"/>
      <c r="DM408" s="11"/>
      <c r="DN408" s="12"/>
      <c r="DO408" s="12"/>
      <c r="DP408" s="11"/>
      <c r="DQ408" s="13"/>
      <c r="DR408" s="11">
        <v>2</v>
      </c>
      <c r="DS408" s="11"/>
      <c r="DT408" s="13"/>
      <c r="DU408" s="11"/>
      <c r="DV408" s="12"/>
      <c r="DW408" s="12"/>
      <c r="DX408" s="11"/>
      <c r="DY408" s="13"/>
      <c r="DZ408" s="11">
        <v>2</v>
      </c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>
        <v>3</v>
      </c>
      <c r="EQ408" s="11"/>
      <c r="ER408" s="13"/>
      <c r="ES408" s="11"/>
      <c r="ET408" s="12"/>
      <c r="EU408" s="12"/>
      <c r="EV408" s="11"/>
      <c r="EW408" s="13"/>
      <c r="EX408" s="11"/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>
        <v>3</v>
      </c>
      <c r="FW408" s="11"/>
      <c r="FX408" s="13"/>
      <c r="FY408" s="11"/>
      <c r="FZ408" s="12"/>
      <c r="GA408" s="12"/>
      <c r="GB408" s="11">
        <v>1</v>
      </c>
      <c r="GC408" s="13">
        <v>246.99</v>
      </c>
      <c r="GD408" s="11">
        <v>2</v>
      </c>
      <c r="GE408" s="11"/>
      <c r="GF408" s="13"/>
      <c r="GG408" s="11"/>
      <c r="GH408" s="12"/>
      <c r="GI408" s="12"/>
      <c r="GJ408" s="11"/>
      <c r="GK408" s="13"/>
      <c r="GL408" s="11">
        <v>2</v>
      </c>
      <c r="GM408" s="11"/>
      <c r="GN408" s="13"/>
      <c r="GO408" s="11"/>
      <c r="GP408" s="12"/>
      <c r="GQ408" s="12"/>
      <c r="GR408" s="11"/>
      <c r="GS408" s="13"/>
      <c r="GT408" s="11">
        <v>1</v>
      </c>
      <c r="GU408" s="11"/>
      <c r="GV408" s="13"/>
      <c r="GW408" s="11"/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/>
      <c r="IA408" s="11"/>
      <c r="IB408" s="13"/>
      <c r="IC408" s="11"/>
      <c r="ID408" s="12"/>
      <c r="IE408" s="12"/>
      <c r="IF408" s="11"/>
      <c r="IG408" s="13"/>
      <c r="IH408" s="11"/>
      <c r="II408" s="11"/>
      <c r="IJ408" s="13"/>
      <c r="IK408" s="11"/>
      <c r="IL408" s="12"/>
      <c r="IM408" s="12"/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/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  <c r="LH408" s="11"/>
      <c r="LI408" s="13"/>
      <c r="LJ408" s="11"/>
      <c r="LK408" s="11"/>
      <c r="LL408" s="13"/>
      <c r="LM408" s="11"/>
      <c r="LN408" s="12"/>
      <c r="LO408" s="12"/>
      <c r="LP408" s="11"/>
      <c r="LQ408" s="13"/>
      <c r="LR408" s="11"/>
      <c r="LS408" s="11"/>
      <c r="LT408" s="13"/>
      <c r="LU408" s="11"/>
      <c r="LV408" s="12"/>
      <c r="LW408" s="12"/>
    </row>
    <row r="409">
      <c r="A409" s="10" t="s">
        <v>227</v>
      </c>
      <c r="B409" s="10" t="s">
        <v>122</v>
      </c>
      <c r="C409" s="10" t="s">
        <v>241</v>
      </c>
      <c r="D409" s="11">
        <v>242</v>
      </c>
      <c r="E409" s="11">
        <f>=ROUNDDOWN(60.5,0)</f>
      </c>
      <c r="F409" s="11"/>
      <c r="G409" s="12">
        <v>1</v>
      </c>
      <c r="H409" s="11"/>
      <c r="I409" s="11">
        <f>=ROUNDDOWN({0},0)</f>
      </c>
      <c r="J409" s="11"/>
      <c r="K409" s="12"/>
      <c r="L409" s="11">
        <v>50</v>
      </c>
      <c r="M409" s="13">
        <v>7807.64</v>
      </c>
      <c r="N409" s="11">
        <v>1</v>
      </c>
      <c r="O409" s="14">
        <v>7807.64</v>
      </c>
      <c r="P409" s="11"/>
      <c r="Q409" s="13"/>
      <c r="R409" s="11"/>
      <c r="S409" s="14"/>
      <c r="T409" s="12"/>
      <c r="U409" s="12"/>
      <c r="V409" s="12"/>
      <c r="W409" s="12"/>
      <c r="X409" s="11"/>
      <c r="Y409" s="13"/>
      <c r="Z409" s="11"/>
      <c r="AA409" s="11"/>
      <c r="AB409" s="13"/>
      <c r="AC409" s="11"/>
      <c r="AD409" s="12"/>
      <c r="AE409" s="12"/>
      <c r="AF409" s="11">
        <v>24</v>
      </c>
      <c r="AG409" s="13">
        <v>3323.35</v>
      </c>
      <c r="AH409" s="11">
        <v>1</v>
      </c>
      <c r="AI409" s="11"/>
      <c r="AJ409" s="13"/>
      <c r="AK409" s="11"/>
      <c r="AL409" s="12"/>
      <c r="AM409" s="12"/>
      <c r="AN409" s="11">
        <v>2</v>
      </c>
      <c r="AO409" s="13">
        <v>330.82</v>
      </c>
      <c r="AP409" s="11">
        <v>1</v>
      </c>
      <c r="AQ409" s="11"/>
      <c r="AR409" s="13"/>
      <c r="AS409" s="11"/>
      <c r="AT409" s="12"/>
      <c r="AU409" s="12"/>
      <c r="AV409" s="11"/>
      <c r="AW409" s="13"/>
      <c r="AX409" s="11">
        <v>1</v>
      </c>
      <c r="AY409" s="11"/>
      <c r="AZ409" s="13"/>
      <c r="BA409" s="11"/>
      <c r="BB409" s="12"/>
      <c r="BC409" s="12"/>
      <c r="BD409" s="11">
        <v>10</v>
      </c>
      <c r="BE409" s="13">
        <v>1531.4</v>
      </c>
      <c r="BF409" s="11">
        <v>1</v>
      </c>
      <c r="BG409" s="11"/>
      <c r="BH409" s="13"/>
      <c r="BI409" s="11"/>
      <c r="BJ409" s="12"/>
      <c r="BK409" s="12"/>
      <c r="BL409" s="11">
        <v>4</v>
      </c>
      <c r="BM409" s="13">
        <v>743.84</v>
      </c>
      <c r="BN409" s="11">
        <v>1</v>
      </c>
      <c r="BO409" s="11"/>
      <c r="BP409" s="13"/>
      <c r="BQ409" s="11"/>
      <c r="BR409" s="12"/>
      <c r="BS409" s="12"/>
      <c r="BT409" s="11">
        <v>7</v>
      </c>
      <c r="BU409" s="13">
        <v>1393.43</v>
      </c>
      <c r="BV409" s="11">
        <v>1</v>
      </c>
      <c r="BW409" s="11"/>
      <c r="BX409" s="13"/>
      <c r="BY409" s="11"/>
      <c r="BZ409" s="12"/>
      <c r="CA409" s="12"/>
      <c r="CB409" s="11"/>
      <c r="CC409" s="13"/>
      <c r="CD409" s="11"/>
      <c r="CE409" s="11"/>
      <c r="CF409" s="13"/>
      <c r="CG409" s="11"/>
      <c r="CH409" s="12"/>
      <c r="CI409" s="12"/>
      <c r="CJ409" s="11"/>
      <c r="CK409" s="13"/>
      <c r="CL409" s="11">
        <v>1</v>
      </c>
      <c r="CM409" s="11"/>
      <c r="CN409" s="13"/>
      <c r="CO409" s="11"/>
      <c r="CP409" s="12"/>
      <c r="CQ409" s="12"/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/>
      <c r="DC409" s="11"/>
      <c r="DD409" s="13"/>
      <c r="DE409" s="11"/>
      <c r="DF409" s="12"/>
      <c r="DG409" s="12"/>
      <c r="DH409" s="11"/>
      <c r="DI409" s="13"/>
      <c r="DJ409" s="11"/>
      <c r="DK409" s="11"/>
      <c r="DL409" s="13"/>
      <c r="DM409" s="11"/>
      <c r="DN409" s="12"/>
      <c r="DO409" s="12"/>
      <c r="DP409" s="11"/>
      <c r="DQ409" s="13"/>
      <c r="DR409" s="11">
        <v>1</v>
      </c>
      <c r="DS409" s="11"/>
      <c r="DT409" s="13"/>
      <c r="DU409" s="11"/>
      <c r="DV409" s="12"/>
      <c r="DW409" s="12"/>
      <c r="DX409" s="11"/>
      <c r="DY409" s="13"/>
      <c r="DZ409" s="11">
        <v>1</v>
      </c>
      <c r="EA409" s="11"/>
      <c r="EB409" s="13"/>
      <c r="EC409" s="11"/>
      <c r="ED409" s="12"/>
      <c r="EE409" s="12"/>
      <c r="EF409" s="11"/>
      <c r="EG409" s="13"/>
      <c r="EH409" s="11"/>
      <c r="EI409" s="11"/>
      <c r="EJ409" s="13"/>
      <c r="EK409" s="11"/>
      <c r="EL409" s="12"/>
      <c r="EM409" s="12"/>
      <c r="EN409" s="11"/>
      <c r="EO409" s="13"/>
      <c r="EP409" s="11">
        <v>1</v>
      </c>
      <c r="EQ409" s="11"/>
      <c r="ER409" s="13"/>
      <c r="ES409" s="11"/>
      <c r="ET409" s="12"/>
      <c r="EU409" s="12"/>
      <c r="EV409" s="11"/>
      <c r="EW409" s="13"/>
      <c r="EX409" s="11"/>
      <c r="EY409" s="11"/>
      <c r="EZ409" s="13"/>
      <c r="FA409" s="11"/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>
        <v>2</v>
      </c>
      <c r="FM409" s="13">
        <v>323.2</v>
      </c>
      <c r="FN409" s="11">
        <v>1</v>
      </c>
      <c r="FO409" s="11"/>
      <c r="FP409" s="13"/>
      <c r="FQ409" s="11"/>
      <c r="FR409" s="12"/>
      <c r="FS409" s="12"/>
      <c r="FT409" s="11"/>
      <c r="FU409" s="13"/>
      <c r="FV409" s="11">
        <v>1</v>
      </c>
      <c r="FW409" s="11"/>
      <c r="FX409" s="13"/>
      <c r="FY409" s="11"/>
      <c r="FZ409" s="12"/>
      <c r="GA409" s="12"/>
      <c r="GB409" s="11"/>
      <c r="GC409" s="13"/>
      <c r="GD409" s="11">
        <v>1</v>
      </c>
      <c r="GE409" s="11"/>
      <c r="GF409" s="13"/>
      <c r="GG409" s="11"/>
      <c r="GH409" s="12"/>
      <c r="GI409" s="12"/>
      <c r="GJ409" s="11">
        <v>1</v>
      </c>
      <c r="GK409" s="13">
        <v>161.6</v>
      </c>
      <c r="GL409" s="11">
        <v>1</v>
      </c>
      <c r="GM409" s="11"/>
      <c r="GN409" s="13"/>
      <c r="GO409" s="11"/>
      <c r="GP409" s="12"/>
      <c r="GQ409" s="12"/>
      <c r="GR409" s="11"/>
      <c r="GS409" s="13"/>
      <c r="GT409" s="11">
        <v>1</v>
      </c>
      <c r="GU409" s="11"/>
      <c r="GV409" s="13"/>
      <c r="GW409" s="11"/>
      <c r="GX409" s="12"/>
      <c r="GY409" s="12"/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/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/>
      <c r="JO409" s="11"/>
      <c r="JP409" s="13"/>
      <c r="JQ409" s="11"/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/>
      <c r="KM409" s="11"/>
      <c r="KN409" s="13"/>
      <c r="KO409" s="11"/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  <c r="LH409" s="11"/>
      <c r="LI409" s="13"/>
      <c r="LJ409" s="11"/>
      <c r="LK409" s="11"/>
      <c r="LL409" s="13"/>
      <c r="LM409" s="11"/>
      <c r="LN409" s="12"/>
      <c r="LO409" s="12"/>
      <c r="LP409" s="11"/>
      <c r="LQ409" s="13"/>
      <c r="LR409" s="11"/>
      <c r="LS409" s="11"/>
      <c r="LT409" s="13"/>
      <c r="LU409" s="11"/>
      <c r="LV409" s="12"/>
      <c r="LW409" s="12"/>
    </row>
    <row r="410">
      <c r="A410" s="10" t="s">
        <v>227</v>
      </c>
      <c r="B410" s="10" t="s">
        <v>122</v>
      </c>
      <c r="C410" s="10" t="s">
        <v>216</v>
      </c>
      <c r="D410" s="11">
        <v>1529</v>
      </c>
      <c r="E410" s="11">
        <f>=ROUNDDOWN(218.428571428571,0)</f>
      </c>
      <c r="F410" s="11"/>
      <c r="G410" s="12"/>
      <c r="H410" s="11"/>
      <c r="I410" s="11">
        <f>=ROUNDDOWN({0},0)</f>
      </c>
      <c r="J410" s="11"/>
      <c r="K410" s="12"/>
      <c r="L410" s="11">
        <v>65</v>
      </c>
      <c r="M410" s="13">
        <v>5425.87</v>
      </c>
      <c r="N410" s="11">
        <v>2</v>
      </c>
      <c r="O410" s="14">
        <v>2712.94</v>
      </c>
      <c r="P410" s="11"/>
      <c r="Q410" s="13"/>
      <c r="R410" s="11"/>
      <c r="S410" s="14"/>
      <c r="T410" s="12"/>
      <c r="U410" s="12"/>
      <c r="V410" s="12"/>
      <c r="W410" s="12"/>
      <c r="X410" s="11"/>
      <c r="Y410" s="13"/>
      <c r="Z410" s="11"/>
      <c r="AA410" s="11"/>
      <c r="AB410" s="13"/>
      <c r="AC410" s="11"/>
      <c r="AD410" s="12"/>
      <c r="AE410" s="12"/>
      <c r="AF410" s="11">
        <v>58</v>
      </c>
      <c r="AG410" s="13">
        <v>4264.52</v>
      </c>
      <c r="AH410" s="11">
        <v>2</v>
      </c>
      <c r="AI410" s="11"/>
      <c r="AJ410" s="13"/>
      <c r="AK410" s="11"/>
      <c r="AL410" s="12"/>
      <c r="AM410" s="12"/>
      <c r="AN410" s="11"/>
      <c r="AO410" s="13"/>
      <c r="AP410" s="11">
        <v>2</v>
      </c>
      <c r="AQ410" s="11"/>
      <c r="AR410" s="13"/>
      <c r="AS410" s="11"/>
      <c r="AT410" s="12"/>
      <c r="AU410" s="12"/>
      <c r="AV410" s="11"/>
      <c r="AW410" s="13"/>
      <c r="AX410" s="11">
        <v>2</v>
      </c>
      <c r="AY410" s="11"/>
      <c r="AZ410" s="13"/>
      <c r="BA410" s="11"/>
      <c r="BB410" s="12"/>
      <c r="BC410" s="12"/>
      <c r="BD410" s="11">
        <v>3</v>
      </c>
      <c r="BE410" s="13">
        <v>545.73</v>
      </c>
      <c r="BF410" s="11">
        <v>2</v>
      </c>
      <c r="BG410" s="11"/>
      <c r="BH410" s="13"/>
      <c r="BI410" s="11"/>
      <c r="BJ410" s="12"/>
      <c r="BK410" s="12"/>
      <c r="BL410" s="11"/>
      <c r="BM410" s="13"/>
      <c r="BN410" s="11">
        <v>2</v>
      </c>
      <c r="BO410" s="11"/>
      <c r="BP410" s="13"/>
      <c r="BQ410" s="11"/>
      <c r="BR410" s="12"/>
      <c r="BS410" s="12"/>
      <c r="BT410" s="11">
        <v>2</v>
      </c>
      <c r="BU410" s="13">
        <v>300.3</v>
      </c>
      <c r="BV410" s="11">
        <v>2</v>
      </c>
      <c r="BW410" s="11"/>
      <c r="BX410" s="13"/>
      <c r="BY410" s="11"/>
      <c r="BZ410" s="12"/>
      <c r="CA410" s="12"/>
      <c r="CB410" s="11">
        <v>2</v>
      </c>
      <c r="CC410" s="13">
        <v>315.32</v>
      </c>
      <c r="CD410" s="11">
        <v>2</v>
      </c>
      <c r="CE410" s="11"/>
      <c r="CF410" s="13"/>
      <c r="CG410" s="11"/>
      <c r="CH410" s="12"/>
      <c r="CI410" s="12"/>
      <c r="CJ410" s="11"/>
      <c r="CK410" s="13"/>
      <c r="CL410" s="11"/>
      <c r="CM410" s="11"/>
      <c r="CN410" s="13"/>
      <c r="CO410" s="11"/>
      <c r="CP410" s="12"/>
      <c r="CQ410" s="12"/>
      <c r="CR410" s="11"/>
      <c r="CS410" s="13"/>
      <c r="CT410" s="11"/>
      <c r="CU410" s="11"/>
      <c r="CV410" s="13"/>
      <c r="CW410" s="11"/>
      <c r="CX410" s="12"/>
      <c r="CY410" s="12"/>
      <c r="CZ410" s="11"/>
      <c r="DA410" s="13"/>
      <c r="DB410" s="11"/>
      <c r="DC410" s="11"/>
      <c r="DD410" s="13"/>
      <c r="DE410" s="11"/>
      <c r="DF410" s="12"/>
      <c r="DG410" s="12"/>
      <c r="DH410" s="11"/>
      <c r="DI410" s="13"/>
      <c r="DJ410" s="11"/>
      <c r="DK410" s="11"/>
      <c r="DL410" s="13"/>
      <c r="DM410" s="11"/>
      <c r="DN410" s="12"/>
      <c r="DO410" s="12"/>
      <c r="DP410" s="11"/>
      <c r="DQ410" s="13"/>
      <c r="DR410" s="11"/>
      <c r="DS410" s="11"/>
      <c r="DT410" s="13"/>
      <c r="DU410" s="11"/>
      <c r="DV410" s="12"/>
      <c r="DW410" s="12"/>
      <c r="DX410" s="11"/>
      <c r="DY410" s="13"/>
      <c r="DZ410" s="11"/>
      <c r="EA410" s="11"/>
      <c r="EB410" s="13"/>
      <c r="EC410" s="11"/>
      <c r="ED410" s="12"/>
      <c r="EE410" s="12"/>
      <c r="EF410" s="11"/>
      <c r="EG410" s="13"/>
      <c r="EH410" s="11"/>
      <c r="EI410" s="11"/>
      <c r="EJ410" s="13"/>
      <c r="EK410" s="11"/>
      <c r="EL410" s="12"/>
      <c r="EM410" s="12"/>
      <c r="EN410" s="11"/>
      <c r="EO410" s="13"/>
      <c r="EP410" s="11">
        <v>2</v>
      </c>
      <c r="EQ410" s="11"/>
      <c r="ER410" s="13"/>
      <c r="ES410" s="11"/>
      <c r="ET410" s="12"/>
      <c r="EU410" s="12"/>
      <c r="EV410" s="11"/>
      <c r="EW410" s="13"/>
      <c r="EX410" s="11"/>
      <c r="EY410" s="11"/>
      <c r="EZ410" s="13"/>
      <c r="FA410" s="11"/>
      <c r="FB410" s="12"/>
      <c r="FC410" s="12"/>
      <c r="FD410" s="11"/>
      <c r="FE410" s="13"/>
      <c r="FF410" s="11"/>
      <c r="FG410" s="11"/>
      <c r="FH410" s="13"/>
      <c r="FI410" s="11"/>
      <c r="FJ410" s="12"/>
      <c r="FK410" s="12"/>
      <c r="FL410" s="11"/>
      <c r="FM410" s="13"/>
      <c r="FN410" s="11"/>
      <c r="FO410" s="11"/>
      <c r="FP410" s="13"/>
      <c r="FQ410" s="11"/>
      <c r="FR410" s="12"/>
      <c r="FS410" s="12"/>
      <c r="FT410" s="11"/>
      <c r="FU410" s="13"/>
      <c r="FV410" s="11"/>
      <c r="FW410" s="11"/>
      <c r="FX410" s="13"/>
      <c r="FY410" s="11"/>
      <c r="FZ410" s="12"/>
      <c r="GA410" s="12"/>
      <c r="GB410" s="11"/>
      <c r="GC410" s="13"/>
      <c r="GD410" s="11"/>
      <c r="GE410" s="11"/>
      <c r="GF410" s="13"/>
      <c r="GG410" s="11"/>
      <c r="GH410" s="12"/>
      <c r="GI410" s="12"/>
      <c r="GJ410" s="11"/>
      <c r="GK410" s="13"/>
      <c r="GL410" s="11"/>
      <c r="GM410" s="11"/>
      <c r="GN410" s="13"/>
      <c r="GO410" s="11"/>
      <c r="GP410" s="12"/>
      <c r="GQ410" s="12"/>
      <c r="GR410" s="11"/>
      <c r="GS410" s="13"/>
      <c r="GT410" s="11">
        <v>2</v>
      </c>
      <c r="GU410" s="11"/>
      <c r="GV410" s="13"/>
      <c r="GW410" s="11"/>
      <c r="GX410" s="12"/>
      <c r="GY410" s="12"/>
      <c r="GZ410" s="11"/>
      <c r="HA410" s="13"/>
      <c r="HB410" s="11"/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/>
      <c r="IO410" s="13"/>
      <c r="IP410" s="11"/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/>
      <c r="JO410" s="11"/>
      <c r="JP410" s="13"/>
      <c r="JQ410" s="11"/>
      <c r="JR410" s="12"/>
      <c r="JS410" s="12"/>
      <c r="JT410" s="11"/>
      <c r="JU410" s="13"/>
      <c r="JV410" s="11"/>
      <c r="JW410" s="11"/>
      <c r="JX410" s="13"/>
      <c r="JY410" s="11"/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/>
      <c r="KM410" s="11"/>
      <c r="KN410" s="13"/>
      <c r="KO410" s="11"/>
      <c r="KP410" s="12"/>
      <c r="KQ410" s="12"/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  <c r="LH410" s="11"/>
      <c r="LI410" s="13"/>
      <c r="LJ410" s="11"/>
      <c r="LK410" s="11"/>
      <c r="LL410" s="13"/>
      <c r="LM410" s="11"/>
      <c r="LN410" s="12"/>
      <c r="LO410" s="12"/>
      <c r="LP410" s="11"/>
      <c r="LQ410" s="13"/>
      <c r="LR410" s="11"/>
      <c r="LS410" s="11"/>
      <c r="LT410" s="13"/>
      <c r="LU410" s="11"/>
      <c r="LV410" s="12"/>
      <c r="LW410" s="12"/>
    </row>
    <row r="411">
      <c r="A411" s="10" t="s">
        <v>227</v>
      </c>
      <c r="B411" s="10" t="s">
        <v>122</v>
      </c>
      <c r="C411" s="10" t="s">
        <v>229</v>
      </c>
      <c r="D411" s="11">
        <v>1524</v>
      </c>
      <c r="E411" s="11">
        <f>=ROUNDDOWN(22.0231213872832,0)</f>
      </c>
      <c r="F411" s="11">
        <v>983</v>
      </c>
      <c r="G411" s="12">
        <v>1</v>
      </c>
      <c r="H411" s="11"/>
      <c r="I411" s="11">
        <f>=ROUNDDOWN({0},0)</f>
      </c>
      <c r="J411" s="11"/>
      <c r="K411" s="12"/>
      <c r="L411" s="11">
        <v>894</v>
      </c>
      <c r="M411" s="13">
        <v>339524.09</v>
      </c>
      <c r="N411" s="11">
        <v>6</v>
      </c>
      <c r="O411" s="14">
        <v>56587.35</v>
      </c>
      <c r="P411" s="11"/>
      <c r="Q411" s="13"/>
      <c r="R411" s="11"/>
      <c r="S411" s="14"/>
      <c r="T411" s="12"/>
      <c r="U411" s="12"/>
      <c r="V411" s="12"/>
      <c r="W411" s="12"/>
      <c r="X411" s="11"/>
      <c r="Y411" s="13"/>
      <c r="Z411" s="11"/>
      <c r="AA411" s="11"/>
      <c r="AB411" s="13"/>
      <c r="AC411" s="11"/>
      <c r="AD411" s="12"/>
      <c r="AE411" s="12"/>
      <c r="AF411" s="11">
        <v>653</v>
      </c>
      <c r="AG411" s="13">
        <v>243152.79</v>
      </c>
      <c r="AH411" s="11">
        <v>6</v>
      </c>
      <c r="AI411" s="11"/>
      <c r="AJ411" s="13"/>
      <c r="AK411" s="11"/>
      <c r="AL411" s="12"/>
      <c r="AM411" s="12"/>
      <c r="AN411" s="11">
        <v>12</v>
      </c>
      <c r="AO411" s="13">
        <v>4315.08</v>
      </c>
      <c r="AP411" s="11">
        <v>2</v>
      </c>
      <c r="AQ411" s="11"/>
      <c r="AR411" s="13"/>
      <c r="AS411" s="11"/>
      <c r="AT411" s="12"/>
      <c r="AU411" s="12"/>
      <c r="AV411" s="11"/>
      <c r="AW411" s="13"/>
      <c r="AX411" s="11"/>
      <c r="AY411" s="11"/>
      <c r="AZ411" s="13"/>
      <c r="BA411" s="11"/>
      <c r="BB411" s="12"/>
      <c r="BC411" s="12"/>
      <c r="BD411" s="11"/>
      <c r="BE411" s="13"/>
      <c r="BF411" s="11">
        <v>1</v>
      </c>
      <c r="BG411" s="11"/>
      <c r="BH411" s="13"/>
      <c r="BI411" s="11"/>
      <c r="BJ411" s="12"/>
      <c r="BK411" s="12"/>
      <c r="BL411" s="11">
        <v>98</v>
      </c>
      <c r="BM411" s="13">
        <v>40543.8</v>
      </c>
      <c r="BN411" s="11">
        <v>3</v>
      </c>
      <c r="BO411" s="11"/>
      <c r="BP411" s="13"/>
      <c r="BQ411" s="11"/>
      <c r="BR411" s="12"/>
      <c r="BS411" s="12"/>
      <c r="BT411" s="11">
        <v>129</v>
      </c>
      <c r="BU411" s="13">
        <v>50605.22</v>
      </c>
      <c r="BV411" s="11">
        <v>6</v>
      </c>
      <c r="BW411" s="11"/>
      <c r="BX411" s="13"/>
      <c r="BY411" s="11"/>
      <c r="BZ411" s="12"/>
      <c r="CA411" s="12"/>
      <c r="CB411" s="11"/>
      <c r="CC411" s="13"/>
      <c r="CD411" s="11"/>
      <c r="CE411" s="11"/>
      <c r="CF411" s="13"/>
      <c r="CG411" s="11"/>
      <c r="CH411" s="12"/>
      <c r="CI411" s="12"/>
      <c r="CJ411" s="11"/>
      <c r="CK411" s="13"/>
      <c r="CL411" s="11">
        <v>2</v>
      </c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/>
      <c r="DC411" s="11"/>
      <c r="DD411" s="13"/>
      <c r="DE411" s="11"/>
      <c r="DF411" s="12"/>
      <c r="DG411" s="12"/>
      <c r="DH411" s="11"/>
      <c r="DI411" s="13"/>
      <c r="DJ411" s="11"/>
      <c r="DK411" s="11"/>
      <c r="DL411" s="13"/>
      <c r="DM411" s="11"/>
      <c r="DN411" s="12"/>
      <c r="DO411" s="12"/>
      <c r="DP411" s="11"/>
      <c r="DQ411" s="13"/>
      <c r="DR411" s="11"/>
      <c r="DS411" s="11"/>
      <c r="DT411" s="13"/>
      <c r="DU411" s="11"/>
      <c r="DV411" s="12"/>
      <c r="DW411" s="12"/>
      <c r="DX411" s="11"/>
      <c r="DY411" s="13"/>
      <c r="DZ411" s="11"/>
      <c r="EA411" s="11"/>
      <c r="EB411" s="13"/>
      <c r="EC411" s="11"/>
      <c r="ED411" s="12"/>
      <c r="EE411" s="12"/>
      <c r="EF411" s="11"/>
      <c r="EG411" s="13"/>
      <c r="EH411" s="11"/>
      <c r="EI411" s="11"/>
      <c r="EJ411" s="13"/>
      <c r="EK411" s="11"/>
      <c r="EL411" s="12"/>
      <c r="EM411" s="12"/>
      <c r="EN411" s="11"/>
      <c r="EO411" s="13"/>
      <c r="EP411" s="11">
        <v>4</v>
      </c>
      <c r="EQ411" s="11"/>
      <c r="ER411" s="13"/>
      <c r="ES411" s="11"/>
      <c r="ET411" s="12"/>
      <c r="EU411" s="12"/>
      <c r="EV411" s="11"/>
      <c r="EW411" s="13"/>
      <c r="EX411" s="11"/>
      <c r="EY411" s="11"/>
      <c r="EZ411" s="13"/>
      <c r="FA411" s="11"/>
      <c r="FB411" s="12"/>
      <c r="FC411" s="12"/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>
        <v>1</v>
      </c>
      <c r="FW411" s="11"/>
      <c r="FX411" s="13"/>
      <c r="FY411" s="11"/>
      <c r="FZ411" s="12"/>
      <c r="GA411" s="12"/>
      <c r="GB411" s="11">
        <v>1</v>
      </c>
      <c r="GC411" s="13">
        <v>419.58</v>
      </c>
      <c r="GD411" s="11">
        <v>2</v>
      </c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>
        <v>1</v>
      </c>
      <c r="GS411" s="13">
        <v>487.62</v>
      </c>
      <c r="GT411" s="11">
        <v>3</v>
      </c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  <c r="LH411" s="11"/>
      <c r="LI411" s="13"/>
      <c r="LJ411" s="11"/>
      <c r="LK411" s="11"/>
      <c r="LL411" s="13"/>
      <c r="LM411" s="11"/>
      <c r="LN411" s="12"/>
      <c r="LO411" s="12"/>
      <c r="LP411" s="11"/>
      <c r="LQ411" s="13"/>
      <c r="LR411" s="11"/>
      <c r="LS411" s="11"/>
      <c r="LT411" s="13"/>
      <c r="LU411" s="11"/>
      <c r="LV411" s="12"/>
      <c r="LW411" s="12"/>
    </row>
    <row r="412">
      <c r="A412" s="10" t="s">
        <v>227</v>
      </c>
      <c r="B412" s="10" t="s">
        <v>122</v>
      </c>
      <c r="C412" s="10" t="s">
        <v>218</v>
      </c>
      <c r="D412" s="11">
        <v>852</v>
      </c>
      <c r="E412" s="11">
        <f>=ROUNDDOWN(8.07582938388625,0)</f>
      </c>
      <c r="F412" s="11">
        <v>2826</v>
      </c>
      <c r="G412" s="12">
        <v>1</v>
      </c>
      <c r="H412" s="11"/>
      <c r="I412" s="11">
        <f>=ROUNDDOWN({0},0)</f>
      </c>
      <c r="J412" s="11">
        <v>898</v>
      </c>
      <c r="K412" s="12">
        <v>0.5109</v>
      </c>
      <c r="L412" s="11">
        <v>1595</v>
      </c>
      <c r="M412" s="13">
        <v>314374</v>
      </c>
      <c r="N412" s="11">
        <v>8</v>
      </c>
      <c r="O412" s="14">
        <v>39296.75</v>
      </c>
      <c r="P412" s="11"/>
      <c r="Q412" s="13"/>
      <c r="R412" s="11"/>
      <c r="S412" s="14"/>
      <c r="T412" s="12"/>
      <c r="U412" s="12"/>
      <c r="V412" s="12"/>
      <c r="W412" s="12"/>
      <c r="X412" s="11">
        <v>4</v>
      </c>
      <c r="Y412" s="13">
        <v>1026</v>
      </c>
      <c r="Z412" s="11">
        <v>1</v>
      </c>
      <c r="AA412" s="11"/>
      <c r="AB412" s="13"/>
      <c r="AC412" s="11"/>
      <c r="AD412" s="12"/>
      <c r="AE412" s="12"/>
      <c r="AF412" s="11">
        <v>992</v>
      </c>
      <c r="AG412" s="13">
        <v>176687.09</v>
      </c>
      <c r="AH412" s="11">
        <v>8</v>
      </c>
      <c r="AI412" s="11"/>
      <c r="AJ412" s="13"/>
      <c r="AK412" s="11"/>
      <c r="AL412" s="12"/>
      <c r="AM412" s="12"/>
      <c r="AN412" s="11">
        <v>30</v>
      </c>
      <c r="AO412" s="13">
        <v>6885.43</v>
      </c>
      <c r="AP412" s="11">
        <v>8</v>
      </c>
      <c r="AQ412" s="11"/>
      <c r="AR412" s="13"/>
      <c r="AS412" s="11"/>
      <c r="AT412" s="12"/>
      <c r="AU412" s="12"/>
      <c r="AV412" s="11">
        <v>4</v>
      </c>
      <c r="AW412" s="13">
        <v>888.54</v>
      </c>
      <c r="AX412" s="11">
        <v>7</v>
      </c>
      <c r="AY412" s="11"/>
      <c r="AZ412" s="13"/>
      <c r="BA412" s="11"/>
      <c r="BB412" s="12"/>
      <c r="BC412" s="12"/>
      <c r="BD412" s="11">
        <v>68</v>
      </c>
      <c r="BE412" s="13">
        <v>14175.79</v>
      </c>
      <c r="BF412" s="11">
        <v>7</v>
      </c>
      <c r="BG412" s="11"/>
      <c r="BH412" s="13"/>
      <c r="BI412" s="11"/>
      <c r="BJ412" s="12"/>
      <c r="BK412" s="12"/>
      <c r="BL412" s="11">
        <v>188</v>
      </c>
      <c r="BM412" s="13">
        <v>45630.6</v>
      </c>
      <c r="BN412" s="11">
        <v>8</v>
      </c>
      <c r="BO412" s="11"/>
      <c r="BP412" s="13"/>
      <c r="BQ412" s="11"/>
      <c r="BR412" s="12"/>
      <c r="BS412" s="12"/>
      <c r="BT412" s="11">
        <v>106</v>
      </c>
      <c r="BU412" s="13">
        <v>23991.27</v>
      </c>
      <c r="BV412" s="11">
        <v>8</v>
      </c>
      <c r="BW412" s="11"/>
      <c r="BX412" s="13"/>
      <c r="BY412" s="11"/>
      <c r="BZ412" s="12"/>
      <c r="CA412" s="12"/>
      <c r="CB412" s="11">
        <v>5</v>
      </c>
      <c r="CC412" s="13">
        <v>651.15</v>
      </c>
      <c r="CD412" s="11">
        <v>6</v>
      </c>
      <c r="CE412" s="11"/>
      <c r="CF412" s="13"/>
      <c r="CG412" s="11"/>
      <c r="CH412" s="12"/>
      <c r="CI412" s="12"/>
      <c r="CJ412" s="11"/>
      <c r="CK412" s="13"/>
      <c r="CL412" s="11">
        <v>8</v>
      </c>
      <c r="CM412" s="11"/>
      <c r="CN412" s="13"/>
      <c r="CO412" s="11"/>
      <c r="CP412" s="12"/>
      <c r="CQ412" s="12"/>
      <c r="CR412" s="11"/>
      <c r="CS412" s="13"/>
      <c r="CT412" s="11"/>
      <c r="CU412" s="11"/>
      <c r="CV412" s="13"/>
      <c r="CW412" s="11"/>
      <c r="CX412" s="12"/>
      <c r="CY412" s="12"/>
      <c r="CZ412" s="11">
        <v>177</v>
      </c>
      <c r="DA412" s="13">
        <v>40584.48</v>
      </c>
      <c r="DB412" s="11">
        <v>6</v>
      </c>
      <c r="DC412" s="11"/>
      <c r="DD412" s="13"/>
      <c r="DE412" s="11"/>
      <c r="DF412" s="12"/>
      <c r="DG412" s="12"/>
      <c r="DH412" s="11"/>
      <c r="DI412" s="13"/>
      <c r="DJ412" s="11"/>
      <c r="DK412" s="11"/>
      <c r="DL412" s="13"/>
      <c r="DM412" s="11"/>
      <c r="DN412" s="12"/>
      <c r="DO412" s="12"/>
      <c r="DP412" s="11">
        <v>2</v>
      </c>
      <c r="DQ412" s="13">
        <v>472.32</v>
      </c>
      <c r="DR412" s="11">
        <v>7</v>
      </c>
      <c r="DS412" s="11"/>
      <c r="DT412" s="13"/>
      <c r="DU412" s="11"/>
      <c r="DV412" s="12"/>
      <c r="DW412" s="12"/>
      <c r="DX412" s="11">
        <v>5</v>
      </c>
      <c r="DY412" s="13">
        <v>999.1</v>
      </c>
      <c r="DZ412" s="11">
        <v>7</v>
      </c>
      <c r="EA412" s="11"/>
      <c r="EB412" s="13"/>
      <c r="EC412" s="11"/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>
        <v>8</v>
      </c>
      <c r="EQ412" s="11"/>
      <c r="ER412" s="13"/>
      <c r="ES412" s="11"/>
      <c r="ET412" s="12"/>
      <c r="EU412" s="12"/>
      <c r="EV412" s="11"/>
      <c r="EW412" s="13"/>
      <c r="EX412" s="11"/>
      <c r="EY412" s="11"/>
      <c r="EZ412" s="13"/>
      <c r="FA412" s="11"/>
      <c r="FB412" s="12"/>
      <c r="FC412" s="12"/>
      <c r="FD412" s="11"/>
      <c r="FE412" s="13"/>
      <c r="FF412" s="11"/>
      <c r="FG412" s="11"/>
      <c r="FH412" s="13"/>
      <c r="FI412" s="11"/>
      <c r="FJ412" s="12"/>
      <c r="FK412" s="12"/>
      <c r="FL412" s="11"/>
      <c r="FM412" s="13"/>
      <c r="FN412" s="11">
        <v>2</v>
      </c>
      <c r="FO412" s="11"/>
      <c r="FP412" s="13"/>
      <c r="FQ412" s="11"/>
      <c r="FR412" s="12"/>
      <c r="FS412" s="12"/>
      <c r="FT412" s="11"/>
      <c r="FU412" s="13"/>
      <c r="FV412" s="11">
        <v>3</v>
      </c>
      <c r="FW412" s="11"/>
      <c r="FX412" s="13"/>
      <c r="FY412" s="11"/>
      <c r="FZ412" s="12"/>
      <c r="GA412" s="12"/>
      <c r="GB412" s="11">
        <v>5</v>
      </c>
      <c r="GC412" s="13">
        <v>920.89</v>
      </c>
      <c r="GD412" s="11">
        <v>7</v>
      </c>
      <c r="GE412" s="11"/>
      <c r="GF412" s="13"/>
      <c r="GG412" s="11"/>
      <c r="GH412" s="12"/>
      <c r="GI412" s="12"/>
      <c r="GJ412" s="11">
        <v>3</v>
      </c>
      <c r="GK412" s="13">
        <v>646.38</v>
      </c>
      <c r="GL412" s="11">
        <v>7</v>
      </c>
      <c r="GM412" s="11"/>
      <c r="GN412" s="13"/>
      <c r="GO412" s="11"/>
      <c r="GP412" s="12"/>
      <c r="GQ412" s="12"/>
      <c r="GR412" s="11">
        <v>6</v>
      </c>
      <c r="GS412" s="13">
        <v>814.96</v>
      </c>
      <c r="GT412" s="11">
        <v>7</v>
      </c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/>
      <c r="JW412" s="11"/>
      <c r="JX412" s="13"/>
      <c r="JY412" s="11"/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  <c r="LH412" s="11"/>
      <c r="LI412" s="13"/>
      <c r="LJ412" s="11"/>
      <c r="LK412" s="11"/>
      <c r="LL412" s="13"/>
      <c r="LM412" s="11"/>
      <c r="LN412" s="12"/>
      <c r="LO412" s="12"/>
      <c r="LP412" s="11"/>
      <c r="LQ412" s="13"/>
      <c r="LR412" s="11"/>
      <c r="LS412" s="11"/>
      <c r="LT412" s="13"/>
      <c r="LU412" s="11"/>
      <c r="LV412" s="12"/>
      <c r="LW412" s="12"/>
    </row>
    <row r="413">
      <c r="A413" s="10" t="s">
        <v>227</v>
      </c>
      <c r="B413" s="10" t="s">
        <v>122</v>
      </c>
      <c r="C413" s="10" t="s">
        <v>219</v>
      </c>
      <c r="D413" s="11">
        <v>304</v>
      </c>
      <c r="E413" s="11">
        <f>=ROUNDDOWN(21.1111111111111,0)</f>
      </c>
      <c r="F413" s="11">
        <v>150</v>
      </c>
      <c r="G413" s="12">
        <v>1</v>
      </c>
      <c r="H413" s="11"/>
      <c r="I413" s="11">
        <f>=ROUNDDOWN({0},0)</f>
      </c>
      <c r="J413" s="11">
        <v>150</v>
      </c>
      <c r="K413" s="12">
        <v>0.4565</v>
      </c>
      <c r="L413" s="11">
        <v>221</v>
      </c>
      <c r="M413" s="13">
        <v>45433.12</v>
      </c>
      <c r="N413" s="11">
        <v>2</v>
      </c>
      <c r="O413" s="14">
        <v>22716.56</v>
      </c>
      <c r="P413" s="11"/>
      <c r="Q413" s="13"/>
      <c r="R413" s="11"/>
      <c r="S413" s="14"/>
      <c r="T413" s="12"/>
      <c r="U413" s="12"/>
      <c r="V413" s="12"/>
      <c r="W413" s="12"/>
      <c r="X413" s="11"/>
      <c r="Y413" s="13"/>
      <c r="Z413" s="11"/>
      <c r="AA413" s="11"/>
      <c r="AB413" s="13"/>
      <c r="AC413" s="11"/>
      <c r="AD413" s="12"/>
      <c r="AE413" s="12"/>
      <c r="AF413" s="11">
        <v>155</v>
      </c>
      <c r="AG413" s="13">
        <v>29582.74</v>
      </c>
      <c r="AH413" s="11">
        <v>2</v>
      </c>
      <c r="AI413" s="11"/>
      <c r="AJ413" s="13"/>
      <c r="AK413" s="11"/>
      <c r="AL413" s="12"/>
      <c r="AM413" s="12"/>
      <c r="AN413" s="11">
        <v>2</v>
      </c>
      <c r="AO413" s="13">
        <v>448.22</v>
      </c>
      <c r="AP413" s="11">
        <v>2</v>
      </c>
      <c r="AQ413" s="11"/>
      <c r="AR413" s="13"/>
      <c r="AS413" s="11"/>
      <c r="AT413" s="12"/>
      <c r="AU413" s="12"/>
      <c r="AV413" s="11">
        <v>4</v>
      </c>
      <c r="AW413" s="13">
        <v>1027.84</v>
      </c>
      <c r="AX413" s="11">
        <v>2</v>
      </c>
      <c r="AY413" s="11"/>
      <c r="AZ413" s="13"/>
      <c r="BA413" s="11"/>
      <c r="BB413" s="12"/>
      <c r="BC413" s="12"/>
      <c r="BD413" s="11"/>
      <c r="BE413" s="13"/>
      <c r="BF413" s="11">
        <v>1</v>
      </c>
      <c r="BG413" s="11"/>
      <c r="BH413" s="13"/>
      <c r="BI413" s="11"/>
      <c r="BJ413" s="12"/>
      <c r="BK413" s="12"/>
      <c r="BL413" s="11"/>
      <c r="BM413" s="13"/>
      <c r="BN413" s="11"/>
      <c r="BO413" s="11"/>
      <c r="BP413" s="13"/>
      <c r="BQ413" s="11"/>
      <c r="BR413" s="12"/>
      <c r="BS413" s="12"/>
      <c r="BT413" s="11">
        <v>27</v>
      </c>
      <c r="BU413" s="13">
        <v>6512.75</v>
      </c>
      <c r="BV413" s="11">
        <v>2</v>
      </c>
      <c r="BW413" s="11"/>
      <c r="BX413" s="13"/>
      <c r="BY413" s="11"/>
      <c r="BZ413" s="12"/>
      <c r="CA413" s="12"/>
      <c r="CB413" s="11"/>
      <c r="CC413" s="13"/>
      <c r="CD413" s="11"/>
      <c r="CE413" s="11"/>
      <c r="CF413" s="13"/>
      <c r="CG413" s="11"/>
      <c r="CH413" s="12"/>
      <c r="CI413" s="12"/>
      <c r="CJ413" s="11"/>
      <c r="CK413" s="13"/>
      <c r="CL413" s="11">
        <v>2</v>
      </c>
      <c r="CM413" s="11"/>
      <c r="CN413" s="13"/>
      <c r="CO413" s="11"/>
      <c r="CP413" s="12"/>
      <c r="CQ413" s="12"/>
      <c r="CR413" s="11"/>
      <c r="CS413" s="13"/>
      <c r="CT413" s="11"/>
      <c r="CU413" s="11"/>
      <c r="CV413" s="13"/>
      <c r="CW413" s="11"/>
      <c r="CX413" s="12"/>
      <c r="CY413" s="12"/>
      <c r="CZ413" s="11">
        <v>26</v>
      </c>
      <c r="DA413" s="13">
        <v>6263.4</v>
      </c>
      <c r="DB413" s="11">
        <v>2</v>
      </c>
      <c r="DC413" s="11"/>
      <c r="DD413" s="13"/>
      <c r="DE413" s="11"/>
      <c r="DF413" s="12"/>
      <c r="DG413" s="12"/>
      <c r="DH413" s="11"/>
      <c r="DI413" s="13"/>
      <c r="DJ413" s="11"/>
      <c r="DK413" s="11"/>
      <c r="DL413" s="13"/>
      <c r="DM413" s="11"/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/>
      <c r="DY413" s="13"/>
      <c r="DZ413" s="11">
        <v>2</v>
      </c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>
        <v>1</v>
      </c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/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/>
      <c r="FU413" s="13"/>
      <c r="FV413" s="11"/>
      <c r="FW413" s="11"/>
      <c r="FX413" s="13"/>
      <c r="FY413" s="11"/>
      <c r="FZ413" s="12"/>
      <c r="GA413" s="12"/>
      <c r="GB413" s="11">
        <v>3</v>
      </c>
      <c r="GC413" s="13">
        <v>607.05</v>
      </c>
      <c r="GD413" s="11">
        <v>2</v>
      </c>
      <c r="GE413" s="11"/>
      <c r="GF413" s="13"/>
      <c r="GG413" s="11"/>
      <c r="GH413" s="12"/>
      <c r="GI413" s="12"/>
      <c r="GJ413" s="11">
        <v>3</v>
      </c>
      <c r="GK413" s="13">
        <v>743.34</v>
      </c>
      <c r="GL413" s="11">
        <v>2</v>
      </c>
      <c r="GM413" s="11"/>
      <c r="GN413" s="13"/>
      <c r="GO413" s="11"/>
      <c r="GP413" s="12"/>
      <c r="GQ413" s="12"/>
      <c r="GR413" s="11">
        <v>1</v>
      </c>
      <c r="GS413" s="13">
        <v>247.78</v>
      </c>
      <c r="GT413" s="11">
        <v>2</v>
      </c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/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  <c r="LH413" s="11"/>
      <c r="LI413" s="13"/>
      <c r="LJ413" s="11"/>
      <c r="LK413" s="11"/>
      <c r="LL413" s="13"/>
      <c r="LM413" s="11"/>
      <c r="LN413" s="12"/>
      <c r="LO413" s="12"/>
      <c r="LP413" s="11"/>
      <c r="LQ413" s="13"/>
      <c r="LR413" s="11"/>
      <c r="LS413" s="11"/>
      <c r="LT413" s="13"/>
      <c r="LU413" s="11"/>
      <c r="LV413" s="12"/>
      <c r="LW413" s="12"/>
    </row>
    <row r="414">
      <c r="A414" s="10" t="s">
        <v>227</v>
      </c>
      <c r="B414" s="10" t="s">
        <v>122</v>
      </c>
      <c r="C414" s="10" t="s">
        <v>234</v>
      </c>
      <c r="D414" s="11">
        <v>877</v>
      </c>
      <c r="E414" s="11">
        <f>=ROUNDDOWN(22.6030927835052,0)</f>
      </c>
      <c r="F414" s="11">
        <v>562</v>
      </c>
      <c r="G414" s="12">
        <v>1</v>
      </c>
      <c r="H414" s="11"/>
      <c r="I414" s="11">
        <f>=ROUNDDOWN({0},0)</f>
      </c>
      <c r="J414" s="11">
        <v>880</v>
      </c>
      <c r="K414" s="12">
        <v>0.5109</v>
      </c>
      <c r="L414" s="11">
        <v>976</v>
      </c>
      <c r="M414" s="13">
        <v>439206.71</v>
      </c>
      <c r="N414" s="11">
        <v>2</v>
      </c>
      <c r="O414" s="14">
        <v>219603.36</v>
      </c>
      <c r="P414" s="11"/>
      <c r="Q414" s="13"/>
      <c r="R414" s="11"/>
      <c r="S414" s="14"/>
      <c r="T414" s="12"/>
      <c r="U414" s="12"/>
      <c r="V414" s="12"/>
      <c r="W414" s="12"/>
      <c r="X414" s="11"/>
      <c r="Y414" s="13"/>
      <c r="Z414" s="11"/>
      <c r="AA414" s="11"/>
      <c r="AB414" s="13"/>
      <c r="AC414" s="11"/>
      <c r="AD414" s="12"/>
      <c r="AE414" s="12"/>
      <c r="AF414" s="11">
        <v>640</v>
      </c>
      <c r="AG414" s="13">
        <v>280137.64</v>
      </c>
      <c r="AH414" s="11">
        <v>2</v>
      </c>
      <c r="AI414" s="11"/>
      <c r="AJ414" s="13"/>
      <c r="AK414" s="11"/>
      <c r="AL414" s="12"/>
      <c r="AM414" s="12"/>
      <c r="AN414" s="11">
        <v>8</v>
      </c>
      <c r="AO414" s="13">
        <v>2687.52</v>
      </c>
      <c r="AP414" s="11">
        <v>1</v>
      </c>
      <c r="AQ414" s="11"/>
      <c r="AR414" s="13"/>
      <c r="AS414" s="11"/>
      <c r="AT414" s="12"/>
      <c r="AU414" s="12"/>
      <c r="AV414" s="11"/>
      <c r="AW414" s="13"/>
      <c r="AX414" s="11">
        <v>1</v>
      </c>
      <c r="AY414" s="11"/>
      <c r="AZ414" s="13"/>
      <c r="BA414" s="11"/>
      <c r="BB414" s="12"/>
      <c r="BC414" s="12"/>
      <c r="BD414" s="11"/>
      <c r="BE414" s="13"/>
      <c r="BF414" s="11">
        <v>1</v>
      </c>
      <c r="BG414" s="11"/>
      <c r="BH414" s="13"/>
      <c r="BI414" s="11"/>
      <c r="BJ414" s="12"/>
      <c r="BK414" s="12"/>
      <c r="BL414" s="11"/>
      <c r="BM414" s="13"/>
      <c r="BN414" s="11">
        <v>1</v>
      </c>
      <c r="BO414" s="11"/>
      <c r="BP414" s="13"/>
      <c r="BQ414" s="11"/>
      <c r="BR414" s="12"/>
      <c r="BS414" s="12"/>
      <c r="BT414" s="11">
        <v>254</v>
      </c>
      <c r="BU414" s="13">
        <v>130046.45</v>
      </c>
      <c r="BV414" s="11">
        <v>2</v>
      </c>
      <c r="BW414" s="11"/>
      <c r="BX414" s="13"/>
      <c r="BY414" s="11"/>
      <c r="BZ414" s="12"/>
      <c r="CA414" s="12"/>
      <c r="CB414" s="11"/>
      <c r="CC414" s="13"/>
      <c r="CD414" s="11"/>
      <c r="CE414" s="11"/>
      <c r="CF414" s="13"/>
      <c r="CG414" s="11"/>
      <c r="CH414" s="12"/>
      <c r="CI414" s="12"/>
      <c r="CJ414" s="11"/>
      <c r="CK414" s="13"/>
      <c r="CL414" s="11">
        <v>2</v>
      </c>
      <c r="CM414" s="11"/>
      <c r="CN414" s="13"/>
      <c r="CO414" s="11"/>
      <c r="CP414" s="12"/>
      <c r="CQ414" s="12"/>
      <c r="CR414" s="11"/>
      <c r="CS414" s="13"/>
      <c r="CT414" s="11"/>
      <c r="CU414" s="11"/>
      <c r="CV414" s="13"/>
      <c r="CW414" s="11"/>
      <c r="CX414" s="12"/>
      <c r="CY414" s="12"/>
      <c r="CZ414" s="11">
        <v>73</v>
      </c>
      <c r="DA414" s="13">
        <v>25924.49</v>
      </c>
      <c r="DB414" s="11">
        <v>1</v>
      </c>
      <c r="DC414" s="11"/>
      <c r="DD414" s="13"/>
      <c r="DE414" s="11"/>
      <c r="DF414" s="12"/>
      <c r="DG414" s="12"/>
      <c r="DH414" s="11"/>
      <c r="DI414" s="13"/>
      <c r="DJ414" s="11"/>
      <c r="DK414" s="11"/>
      <c r="DL414" s="13"/>
      <c r="DM414" s="11"/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/>
      <c r="DY414" s="13"/>
      <c r="DZ414" s="11">
        <v>1</v>
      </c>
      <c r="EA414" s="11"/>
      <c r="EB414" s="13"/>
      <c r="EC414" s="11"/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>
        <v>1</v>
      </c>
      <c r="EQ414" s="11"/>
      <c r="ER414" s="13"/>
      <c r="ES414" s="11"/>
      <c r="ET414" s="12"/>
      <c r="EU414" s="12"/>
      <c r="EV414" s="11"/>
      <c r="EW414" s="13"/>
      <c r="EX414" s="11"/>
      <c r="EY414" s="11"/>
      <c r="EZ414" s="13"/>
      <c r="FA414" s="11"/>
      <c r="FB414" s="12"/>
      <c r="FC414" s="12"/>
      <c r="FD414" s="11"/>
      <c r="FE414" s="13"/>
      <c r="FF414" s="11"/>
      <c r="FG414" s="11"/>
      <c r="FH414" s="13"/>
      <c r="FI414" s="11"/>
      <c r="FJ414" s="12"/>
      <c r="FK414" s="12"/>
      <c r="FL414" s="11"/>
      <c r="FM414" s="13"/>
      <c r="FN414" s="11"/>
      <c r="FO414" s="11"/>
      <c r="FP414" s="13"/>
      <c r="FQ414" s="11"/>
      <c r="FR414" s="12"/>
      <c r="FS414" s="12"/>
      <c r="FT414" s="11"/>
      <c r="FU414" s="13"/>
      <c r="FV414" s="11">
        <v>1</v>
      </c>
      <c r="FW414" s="11"/>
      <c r="FX414" s="13"/>
      <c r="FY414" s="11"/>
      <c r="FZ414" s="12"/>
      <c r="GA414" s="12"/>
      <c r="GB414" s="11"/>
      <c r="GC414" s="13"/>
      <c r="GD414" s="11">
        <v>1</v>
      </c>
      <c r="GE414" s="11"/>
      <c r="GF414" s="13"/>
      <c r="GG414" s="11"/>
      <c r="GH414" s="12"/>
      <c r="GI414" s="12"/>
      <c r="GJ414" s="11">
        <v>1</v>
      </c>
      <c r="GK414" s="13">
        <v>410.61</v>
      </c>
      <c r="GL414" s="11">
        <v>1</v>
      </c>
      <c r="GM414" s="11"/>
      <c r="GN414" s="13"/>
      <c r="GO414" s="11"/>
      <c r="GP414" s="12"/>
      <c r="GQ414" s="12"/>
      <c r="GR414" s="11"/>
      <c r="GS414" s="13"/>
      <c r="GT414" s="11">
        <v>2</v>
      </c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/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/>
      <c r="JO414" s="11"/>
      <c r="JP414" s="13"/>
      <c r="JQ414" s="11"/>
      <c r="JR414" s="12"/>
      <c r="JS414" s="12"/>
      <c r="JT414" s="11"/>
      <c r="JU414" s="13"/>
      <c r="JV414" s="11"/>
      <c r="JW414" s="11"/>
      <c r="JX414" s="13"/>
      <c r="JY414" s="11"/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  <c r="LH414" s="11"/>
      <c r="LI414" s="13"/>
      <c r="LJ414" s="11"/>
      <c r="LK414" s="11"/>
      <c r="LL414" s="13"/>
      <c r="LM414" s="11"/>
      <c r="LN414" s="12"/>
      <c r="LO414" s="12"/>
      <c r="LP414" s="11"/>
      <c r="LQ414" s="13"/>
      <c r="LR414" s="11"/>
      <c r="LS414" s="11"/>
      <c r="LT414" s="13"/>
      <c r="LU414" s="11"/>
      <c r="LV414" s="12"/>
      <c r="LW414" s="12"/>
    </row>
    <row r="415">
      <c r="A415" s="10" t="s">
        <v>227</v>
      </c>
      <c r="B415" s="10" t="s">
        <v>122</v>
      </c>
      <c r="C415" s="10" t="s">
        <v>223</v>
      </c>
      <c r="D415" s="11">
        <v>3415</v>
      </c>
      <c r="E415" s="11">
        <f>=ROUNDDOWN(11.3833333333333,0)</f>
      </c>
      <c r="F415" s="11">
        <v>2569</v>
      </c>
      <c r="G415" s="12">
        <v>1</v>
      </c>
      <c r="H415" s="11"/>
      <c r="I415" s="11">
        <f>=ROUNDDOWN({0},0)</f>
      </c>
      <c r="J415" s="11">
        <v>4206</v>
      </c>
      <c r="K415" s="12"/>
      <c r="L415" s="11">
        <v>3974</v>
      </c>
      <c r="M415" s="13">
        <v>432057.11</v>
      </c>
      <c r="N415" s="11">
        <v>5</v>
      </c>
      <c r="O415" s="14">
        <v>86411.42</v>
      </c>
      <c r="P415" s="11"/>
      <c r="Q415" s="13"/>
      <c r="R415" s="11"/>
      <c r="S415" s="14"/>
      <c r="T415" s="12"/>
      <c r="U415" s="12"/>
      <c r="V415" s="12"/>
      <c r="W415" s="12"/>
      <c r="X415" s="11"/>
      <c r="Y415" s="13"/>
      <c r="Z415" s="11"/>
      <c r="AA415" s="11"/>
      <c r="AB415" s="13"/>
      <c r="AC415" s="11"/>
      <c r="AD415" s="12"/>
      <c r="AE415" s="12"/>
      <c r="AF415" s="11">
        <v>3166</v>
      </c>
      <c r="AG415" s="13">
        <v>328898.75</v>
      </c>
      <c r="AH415" s="11">
        <v>5</v>
      </c>
      <c r="AI415" s="11"/>
      <c r="AJ415" s="13"/>
      <c r="AK415" s="11"/>
      <c r="AL415" s="12"/>
      <c r="AM415" s="12"/>
      <c r="AN415" s="11">
        <v>41</v>
      </c>
      <c r="AO415" s="13">
        <v>5076.84</v>
      </c>
      <c r="AP415" s="11">
        <v>5</v>
      </c>
      <c r="AQ415" s="11"/>
      <c r="AR415" s="13"/>
      <c r="AS415" s="11"/>
      <c r="AT415" s="12"/>
      <c r="AU415" s="12"/>
      <c r="AV415" s="11">
        <v>67</v>
      </c>
      <c r="AW415" s="13">
        <v>9159.54</v>
      </c>
      <c r="AX415" s="11">
        <v>2</v>
      </c>
      <c r="AY415" s="11"/>
      <c r="AZ415" s="13"/>
      <c r="BA415" s="11"/>
      <c r="BB415" s="12"/>
      <c r="BC415" s="12"/>
      <c r="BD415" s="11">
        <v>61</v>
      </c>
      <c r="BE415" s="13">
        <v>6922.55</v>
      </c>
      <c r="BF415" s="11">
        <v>4</v>
      </c>
      <c r="BG415" s="11"/>
      <c r="BH415" s="13"/>
      <c r="BI415" s="11"/>
      <c r="BJ415" s="12"/>
      <c r="BK415" s="12"/>
      <c r="BL415" s="11">
        <v>299</v>
      </c>
      <c r="BM415" s="13">
        <v>36290.51</v>
      </c>
      <c r="BN415" s="11">
        <v>5</v>
      </c>
      <c r="BO415" s="11"/>
      <c r="BP415" s="13"/>
      <c r="BQ415" s="11"/>
      <c r="BR415" s="12"/>
      <c r="BS415" s="12"/>
      <c r="BT415" s="11">
        <v>293</v>
      </c>
      <c r="BU415" s="13">
        <v>38526.19</v>
      </c>
      <c r="BV415" s="11">
        <v>5</v>
      </c>
      <c r="BW415" s="11"/>
      <c r="BX415" s="13"/>
      <c r="BY415" s="11"/>
      <c r="BZ415" s="12"/>
      <c r="CA415" s="12"/>
      <c r="CB415" s="11">
        <v>2</v>
      </c>
      <c r="CC415" s="13">
        <v>240.88</v>
      </c>
      <c r="CD415" s="11">
        <v>1</v>
      </c>
      <c r="CE415" s="11"/>
      <c r="CF415" s="13"/>
      <c r="CG415" s="11"/>
      <c r="CH415" s="12"/>
      <c r="CI415" s="12"/>
      <c r="CJ415" s="11"/>
      <c r="CK415" s="13"/>
      <c r="CL415" s="11">
        <v>5</v>
      </c>
      <c r="CM415" s="11"/>
      <c r="CN415" s="13"/>
      <c r="CO415" s="11"/>
      <c r="CP415" s="12"/>
      <c r="CQ415" s="12"/>
      <c r="CR415" s="11"/>
      <c r="CS415" s="13"/>
      <c r="CT415" s="11"/>
      <c r="CU415" s="11"/>
      <c r="CV415" s="13"/>
      <c r="CW415" s="11"/>
      <c r="CX415" s="12"/>
      <c r="CY415" s="12"/>
      <c r="CZ415" s="11">
        <v>23</v>
      </c>
      <c r="DA415" s="13">
        <v>3921.55</v>
      </c>
      <c r="DB415" s="11">
        <v>2</v>
      </c>
      <c r="DC415" s="11"/>
      <c r="DD415" s="13"/>
      <c r="DE415" s="11"/>
      <c r="DF415" s="12"/>
      <c r="DG415" s="12"/>
      <c r="DH415" s="11"/>
      <c r="DI415" s="13"/>
      <c r="DJ415" s="11">
        <v>1</v>
      </c>
      <c r="DK415" s="11"/>
      <c r="DL415" s="13"/>
      <c r="DM415" s="11"/>
      <c r="DN415" s="12"/>
      <c r="DO415" s="12"/>
      <c r="DP415" s="11">
        <v>1</v>
      </c>
      <c r="DQ415" s="13">
        <v>196.44</v>
      </c>
      <c r="DR415" s="11">
        <v>4</v>
      </c>
      <c r="DS415" s="11"/>
      <c r="DT415" s="13"/>
      <c r="DU415" s="11"/>
      <c r="DV415" s="12"/>
      <c r="DW415" s="12"/>
      <c r="DX415" s="11">
        <v>2</v>
      </c>
      <c r="DY415" s="13">
        <v>252.36</v>
      </c>
      <c r="DZ415" s="11">
        <v>4</v>
      </c>
      <c r="EA415" s="11"/>
      <c r="EB415" s="13"/>
      <c r="EC415" s="11"/>
      <c r="ED415" s="12"/>
      <c r="EE415" s="12"/>
      <c r="EF415" s="11"/>
      <c r="EG415" s="13"/>
      <c r="EH415" s="11"/>
      <c r="EI415" s="11"/>
      <c r="EJ415" s="13"/>
      <c r="EK415" s="11"/>
      <c r="EL415" s="12"/>
      <c r="EM415" s="12"/>
      <c r="EN415" s="11"/>
      <c r="EO415" s="13"/>
      <c r="EP415" s="11">
        <v>5</v>
      </c>
      <c r="EQ415" s="11"/>
      <c r="ER415" s="13"/>
      <c r="ES415" s="11"/>
      <c r="ET415" s="12"/>
      <c r="EU415" s="12"/>
      <c r="EV415" s="11"/>
      <c r="EW415" s="13"/>
      <c r="EX415" s="11"/>
      <c r="EY415" s="11"/>
      <c r="EZ415" s="13"/>
      <c r="FA415" s="11"/>
      <c r="FB415" s="12"/>
      <c r="FC415" s="12"/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>
        <v>2</v>
      </c>
      <c r="FU415" s="13">
        <v>229.42</v>
      </c>
      <c r="FV415" s="11">
        <v>5</v>
      </c>
      <c r="FW415" s="11"/>
      <c r="FX415" s="13"/>
      <c r="FY415" s="11"/>
      <c r="FZ415" s="12"/>
      <c r="GA415" s="12"/>
      <c r="GB415" s="11">
        <v>8</v>
      </c>
      <c r="GC415" s="13">
        <v>836.27</v>
      </c>
      <c r="GD415" s="11">
        <v>2</v>
      </c>
      <c r="GE415" s="11"/>
      <c r="GF415" s="13"/>
      <c r="GG415" s="11"/>
      <c r="GH415" s="12"/>
      <c r="GI415" s="12"/>
      <c r="GJ415" s="11">
        <v>6</v>
      </c>
      <c r="GK415" s="13">
        <v>899.66</v>
      </c>
      <c r="GL415" s="11">
        <v>4</v>
      </c>
      <c r="GM415" s="11"/>
      <c r="GN415" s="13"/>
      <c r="GO415" s="11"/>
      <c r="GP415" s="12"/>
      <c r="GQ415" s="12"/>
      <c r="GR415" s="11">
        <v>3</v>
      </c>
      <c r="GS415" s="13">
        <v>606.15</v>
      </c>
      <c r="GT415" s="11">
        <v>3</v>
      </c>
      <c r="GU415" s="11"/>
      <c r="GV415" s="13"/>
      <c r="GW415" s="11"/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>
        <v>3</v>
      </c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/>
      <c r="JP415" s="13"/>
      <c r="JQ415" s="11"/>
      <c r="JR415" s="12"/>
      <c r="JS415" s="12"/>
      <c r="JT415" s="11"/>
      <c r="JU415" s="13"/>
      <c r="JV415" s="11"/>
      <c r="JW415" s="11"/>
      <c r="JX415" s="13"/>
      <c r="JY415" s="11"/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/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  <c r="LH415" s="11"/>
      <c r="LI415" s="13"/>
      <c r="LJ415" s="11"/>
      <c r="LK415" s="11"/>
      <c r="LL415" s="13"/>
      <c r="LM415" s="11"/>
      <c r="LN415" s="12"/>
      <c r="LO415" s="12"/>
      <c r="LP415" s="11"/>
      <c r="LQ415" s="13"/>
      <c r="LR415" s="11"/>
      <c r="LS415" s="11"/>
      <c r="LT415" s="13"/>
      <c r="LU415" s="11"/>
      <c r="LV415" s="12"/>
      <c r="LW415" s="12"/>
    </row>
    <row r="416">
      <c r="A416" s="10" t="s">
        <v>227</v>
      </c>
      <c r="B416" s="10" t="s">
        <v>122</v>
      </c>
      <c r="C416" s="10" t="s">
        <v>224</v>
      </c>
      <c r="D416" s="11">
        <v>746</v>
      </c>
      <c r="E416" s="11">
        <f>=ROUNDDOWN(23.3125,0)</f>
      </c>
      <c r="F416" s="11">
        <v>448</v>
      </c>
      <c r="G416" s="12">
        <v>1</v>
      </c>
      <c r="H416" s="11"/>
      <c r="I416" s="11">
        <f>=ROUNDDOWN({0},0)</f>
      </c>
      <c r="J416" s="11"/>
      <c r="K416" s="12"/>
      <c r="L416" s="11">
        <v>387</v>
      </c>
      <c r="M416" s="13">
        <v>80572.7</v>
      </c>
      <c r="N416" s="11">
        <v>4</v>
      </c>
      <c r="O416" s="14">
        <v>20143.18</v>
      </c>
      <c r="P416" s="11"/>
      <c r="Q416" s="13"/>
      <c r="R416" s="11"/>
      <c r="S416" s="14"/>
      <c r="T416" s="12"/>
      <c r="U416" s="12"/>
      <c r="V416" s="12"/>
      <c r="W416" s="12"/>
      <c r="X416" s="11"/>
      <c r="Y416" s="13"/>
      <c r="Z416" s="11"/>
      <c r="AA416" s="11"/>
      <c r="AB416" s="13"/>
      <c r="AC416" s="11"/>
      <c r="AD416" s="12"/>
      <c r="AE416" s="12"/>
      <c r="AF416" s="11">
        <v>165</v>
      </c>
      <c r="AG416" s="13">
        <v>30380.62</v>
      </c>
      <c r="AH416" s="11">
        <v>4</v>
      </c>
      <c r="AI416" s="11"/>
      <c r="AJ416" s="13"/>
      <c r="AK416" s="11"/>
      <c r="AL416" s="12"/>
      <c r="AM416" s="12"/>
      <c r="AN416" s="11">
        <v>23</v>
      </c>
      <c r="AO416" s="13">
        <v>4558.08</v>
      </c>
      <c r="AP416" s="11">
        <v>4</v>
      </c>
      <c r="AQ416" s="11"/>
      <c r="AR416" s="13"/>
      <c r="AS416" s="11"/>
      <c r="AT416" s="12"/>
      <c r="AU416" s="12"/>
      <c r="AV416" s="11">
        <v>12</v>
      </c>
      <c r="AW416" s="13">
        <v>2790.42</v>
      </c>
      <c r="AX416" s="11">
        <v>4</v>
      </c>
      <c r="AY416" s="11"/>
      <c r="AZ416" s="13"/>
      <c r="BA416" s="11"/>
      <c r="BB416" s="12"/>
      <c r="BC416" s="12"/>
      <c r="BD416" s="11">
        <v>33</v>
      </c>
      <c r="BE416" s="13">
        <v>7519.72</v>
      </c>
      <c r="BF416" s="11">
        <v>4</v>
      </c>
      <c r="BG416" s="11"/>
      <c r="BH416" s="13"/>
      <c r="BI416" s="11"/>
      <c r="BJ416" s="12"/>
      <c r="BK416" s="12"/>
      <c r="BL416" s="11">
        <v>45</v>
      </c>
      <c r="BM416" s="13">
        <v>9119.04</v>
      </c>
      <c r="BN416" s="11">
        <v>3</v>
      </c>
      <c r="BO416" s="11"/>
      <c r="BP416" s="13"/>
      <c r="BQ416" s="11"/>
      <c r="BR416" s="12"/>
      <c r="BS416" s="12"/>
      <c r="BT416" s="11">
        <v>53</v>
      </c>
      <c r="BU416" s="13">
        <v>13919.21</v>
      </c>
      <c r="BV416" s="11">
        <v>4</v>
      </c>
      <c r="BW416" s="11"/>
      <c r="BX416" s="13"/>
      <c r="BY416" s="11"/>
      <c r="BZ416" s="12"/>
      <c r="CA416" s="12"/>
      <c r="CB416" s="11"/>
      <c r="CC416" s="13"/>
      <c r="CD416" s="11"/>
      <c r="CE416" s="11"/>
      <c r="CF416" s="13"/>
      <c r="CG416" s="11"/>
      <c r="CH416" s="12"/>
      <c r="CI416" s="12"/>
      <c r="CJ416" s="11"/>
      <c r="CK416" s="13"/>
      <c r="CL416" s="11">
        <v>4</v>
      </c>
      <c r="CM416" s="11"/>
      <c r="CN416" s="13"/>
      <c r="CO416" s="11"/>
      <c r="CP416" s="12"/>
      <c r="CQ416" s="12"/>
      <c r="CR416" s="11"/>
      <c r="CS416" s="13"/>
      <c r="CT416" s="11"/>
      <c r="CU416" s="11"/>
      <c r="CV416" s="13"/>
      <c r="CW416" s="11"/>
      <c r="CX416" s="12"/>
      <c r="CY416" s="12"/>
      <c r="CZ416" s="11">
        <v>18</v>
      </c>
      <c r="DA416" s="13">
        <v>3415.86</v>
      </c>
      <c r="DB416" s="11">
        <v>1</v>
      </c>
      <c r="DC416" s="11"/>
      <c r="DD416" s="13"/>
      <c r="DE416" s="11"/>
      <c r="DF416" s="12"/>
      <c r="DG416" s="12"/>
      <c r="DH416" s="11">
        <v>12</v>
      </c>
      <c r="DI416" s="13">
        <v>2576.59</v>
      </c>
      <c r="DJ416" s="11">
        <v>3</v>
      </c>
      <c r="DK416" s="11"/>
      <c r="DL416" s="13"/>
      <c r="DM416" s="11"/>
      <c r="DN416" s="12"/>
      <c r="DO416" s="12"/>
      <c r="DP416" s="11"/>
      <c r="DQ416" s="13"/>
      <c r="DR416" s="11">
        <v>4</v>
      </c>
      <c r="DS416" s="11"/>
      <c r="DT416" s="13"/>
      <c r="DU416" s="11"/>
      <c r="DV416" s="12"/>
      <c r="DW416" s="12"/>
      <c r="DX416" s="11"/>
      <c r="DY416" s="13"/>
      <c r="DZ416" s="11">
        <v>4</v>
      </c>
      <c r="EA416" s="11"/>
      <c r="EB416" s="13"/>
      <c r="EC416" s="11"/>
      <c r="ED416" s="12"/>
      <c r="EE416" s="12"/>
      <c r="EF416" s="11"/>
      <c r="EG416" s="13"/>
      <c r="EH416" s="11"/>
      <c r="EI416" s="11"/>
      <c r="EJ416" s="13"/>
      <c r="EK416" s="11"/>
      <c r="EL416" s="12"/>
      <c r="EM416" s="12"/>
      <c r="EN416" s="11"/>
      <c r="EO416" s="13"/>
      <c r="EP416" s="11">
        <v>4</v>
      </c>
      <c r="EQ416" s="11"/>
      <c r="ER416" s="13"/>
      <c r="ES416" s="11"/>
      <c r="ET416" s="12"/>
      <c r="EU416" s="12"/>
      <c r="EV416" s="11"/>
      <c r="EW416" s="13"/>
      <c r="EX416" s="11"/>
      <c r="EY416" s="11"/>
      <c r="EZ416" s="13"/>
      <c r="FA416" s="11"/>
      <c r="FB416" s="12"/>
      <c r="FC416" s="12"/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>
        <v>1</v>
      </c>
      <c r="FO416" s="11"/>
      <c r="FP416" s="13"/>
      <c r="FQ416" s="11"/>
      <c r="FR416" s="12"/>
      <c r="FS416" s="12"/>
      <c r="FT416" s="11">
        <v>16</v>
      </c>
      <c r="FU416" s="13">
        <v>3548.4</v>
      </c>
      <c r="FV416" s="11">
        <v>4</v>
      </c>
      <c r="FW416" s="11"/>
      <c r="FX416" s="13"/>
      <c r="FY416" s="11"/>
      <c r="FZ416" s="12"/>
      <c r="GA416" s="12"/>
      <c r="GB416" s="11">
        <v>7</v>
      </c>
      <c r="GC416" s="13">
        <v>2118.31</v>
      </c>
      <c r="GD416" s="11">
        <v>3</v>
      </c>
      <c r="GE416" s="11"/>
      <c r="GF416" s="13"/>
      <c r="GG416" s="11"/>
      <c r="GH416" s="12"/>
      <c r="GI416" s="12"/>
      <c r="GJ416" s="11">
        <v>1</v>
      </c>
      <c r="GK416" s="13">
        <v>195.53</v>
      </c>
      <c r="GL416" s="11">
        <v>2</v>
      </c>
      <c r="GM416" s="11"/>
      <c r="GN416" s="13"/>
      <c r="GO416" s="11"/>
      <c r="GP416" s="12"/>
      <c r="GQ416" s="12"/>
      <c r="GR416" s="11">
        <v>2</v>
      </c>
      <c r="GS416" s="13">
        <v>430.92</v>
      </c>
      <c r="GT416" s="11">
        <v>4</v>
      </c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>
        <v>2</v>
      </c>
      <c r="IA416" s="11"/>
      <c r="IB416" s="13"/>
      <c r="IC416" s="11"/>
      <c r="ID416" s="12"/>
      <c r="IE416" s="12"/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/>
      <c r="JO416" s="11"/>
      <c r="JP416" s="13"/>
      <c r="JQ416" s="11"/>
      <c r="JR416" s="12"/>
      <c r="JS416" s="12"/>
      <c r="JT416" s="11"/>
      <c r="JU416" s="13"/>
      <c r="JV416" s="11"/>
      <c r="JW416" s="11"/>
      <c r="JX416" s="13"/>
      <c r="JY416" s="11"/>
      <c r="JZ416" s="12"/>
      <c r="KA416" s="12"/>
      <c r="KB416" s="11"/>
      <c r="KC416" s="13"/>
      <c r="KD416" s="11"/>
      <c r="KE416" s="11"/>
      <c r="KF416" s="13"/>
      <c r="KG416" s="11"/>
      <c r="KH416" s="12"/>
      <c r="KI416" s="12"/>
      <c r="KJ416" s="11"/>
      <c r="KK416" s="13"/>
      <c r="KL416" s="11"/>
      <c r="KM416" s="11"/>
      <c r="KN416" s="13"/>
      <c r="KO416" s="11"/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  <c r="LH416" s="11"/>
      <c r="LI416" s="13"/>
      <c r="LJ416" s="11"/>
      <c r="LK416" s="11"/>
      <c r="LL416" s="13"/>
      <c r="LM416" s="11"/>
      <c r="LN416" s="12"/>
      <c r="LO416" s="12"/>
      <c r="LP416" s="11"/>
      <c r="LQ416" s="13"/>
      <c r="LR416" s="11"/>
      <c r="LS416" s="11"/>
      <c r="LT416" s="13"/>
      <c r="LU416" s="11"/>
      <c r="LV416" s="12"/>
      <c r="LW416" s="12"/>
    </row>
    <row r="417">
      <c r="A417" s="10" t="s">
        <v>227</v>
      </c>
      <c r="B417" s="10" t="s">
        <v>123</v>
      </c>
      <c r="C417" s="10" t="s">
        <v>77</v>
      </c>
      <c r="D417" s="11">
        <v>10226</v>
      </c>
      <c r="E417" s="11">
        <f>=ROUNDDOWN({0},0)</f>
      </c>
      <c r="F417" s="11">
        <v>8158</v>
      </c>
      <c r="G417" s="12"/>
      <c r="H417" s="11"/>
      <c r="I417" s="11">
        <f>=ROUNDDOWN({0},0)</f>
      </c>
      <c r="J417" s="11">
        <v>6134</v>
      </c>
      <c r="K417" s="12"/>
      <c r="L417" s="11">
        <v>8704</v>
      </c>
      <c r="M417" s="13">
        <v>1776876.44</v>
      </c>
      <c r="N417" s="11">
        <v>37</v>
      </c>
      <c r="O417" s="14">
        <v>48023.69</v>
      </c>
      <c r="P417" s="11"/>
      <c r="Q417" s="13"/>
      <c r="R417" s="11"/>
      <c r="S417" s="14"/>
      <c r="T417" s="12"/>
      <c r="U417" s="12"/>
      <c r="V417" s="12"/>
      <c r="W417" s="12"/>
      <c r="X417" s="11">
        <v>8</v>
      </c>
      <c r="Y417" s="13">
        <v>2123.72</v>
      </c>
      <c r="Z417" s="11">
        <v>2</v>
      </c>
      <c r="AA417" s="11"/>
      <c r="AB417" s="13"/>
      <c r="AC417" s="11"/>
      <c r="AD417" s="12"/>
      <c r="AE417" s="12"/>
      <c r="AF417" s="11">
        <v>6258</v>
      </c>
      <c r="AG417" s="13">
        <v>1176000.49</v>
      </c>
      <c r="AH417" s="11">
        <v>37</v>
      </c>
      <c r="AI417" s="11"/>
      <c r="AJ417" s="13"/>
      <c r="AK417" s="11"/>
      <c r="AL417" s="12"/>
      <c r="AM417" s="12"/>
      <c r="AN417" s="11">
        <v>134</v>
      </c>
      <c r="AO417" s="13">
        <v>27805.19</v>
      </c>
      <c r="AP417" s="11">
        <v>32</v>
      </c>
      <c r="AQ417" s="11"/>
      <c r="AR417" s="13"/>
      <c r="AS417" s="11"/>
      <c r="AT417" s="12"/>
      <c r="AU417" s="12"/>
      <c r="AV417" s="11">
        <v>88</v>
      </c>
      <c r="AW417" s="13">
        <v>14116.65</v>
      </c>
      <c r="AX417" s="11">
        <v>22</v>
      </c>
      <c r="AY417" s="11"/>
      <c r="AZ417" s="13"/>
      <c r="BA417" s="11"/>
      <c r="BB417" s="12"/>
      <c r="BC417" s="12"/>
      <c r="BD417" s="11">
        <v>193</v>
      </c>
      <c r="BE417" s="13">
        <v>34494.25</v>
      </c>
      <c r="BF417" s="11">
        <v>26</v>
      </c>
      <c r="BG417" s="11"/>
      <c r="BH417" s="13"/>
      <c r="BI417" s="11"/>
      <c r="BJ417" s="12"/>
      <c r="BK417" s="12"/>
      <c r="BL417" s="11">
        <v>674</v>
      </c>
      <c r="BM417" s="13">
        <v>142126.89</v>
      </c>
      <c r="BN417" s="11">
        <v>29</v>
      </c>
      <c r="BO417" s="11"/>
      <c r="BP417" s="13"/>
      <c r="BQ417" s="11"/>
      <c r="BR417" s="12"/>
      <c r="BS417" s="12"/>
      <c r="BT417" s="11">
        <v>903</v>
      </c>
      <c r="BU417" s="13">
        <v>273576.13</v>
      </c>
      <c r="BV417" s="11">
        <v>37</v>
      </c>
      <c r="BW417" s="11"/>
      <c r="BX417" s="13"/>
      <c r="BY417" s="11"/>
      <c r="BZ417" s="12"/>
      <c r="CA417" s="12"/>
      <c r="CB417" s="11">
        <v>13</v>
      </c>
      <c r="CC417" s="13">
        <v>2156.91</v>
      </c>
      <c r="CD417" s="11">
        <v>13</v>
      </c>
      <c r="CE417" s="11"/>
      <c r="CF417" s="13"/>
      <c r="CG417" s="11"/>
      <c r="CH417" s="12"/>
      <c r="CI417" s="12"/>
      <c r="CJ417" s="11">
        <v>1</v>
      </c>
      <c r="CK417" s="13">
        <v>459.99</v>
      </c>
      <c r="CL417" s="11">
        <v>31</v>
      </c>
      <c r="CM417" s="11"/>
      <c r="CN417" s="13"/>
      <c r="CO417" s="11"/>
      <c r="CP417" s="12"/>
      <c r="CQ417" s="12"/>
      <c r="CR417" s="11"/>
      <c r="CS417" s="13"/>
      <c r="CT417" s="11"/>
      <c r="CU417" s="11"/>
      <c r="CV417" s="13"/>
      <c r="CW417" s="11"/>
      <c r="CX417" s="12"/>
      <c r="CY417" s="12"/>
      <c r="CZ417" s="11">
        <v>327</v>
      </c>
      <c r="DA417" s="13">
        <v>82521.91</v>
      </c>
      <c r="DB417" s="11">
        <v>17</v>
      </c>
      <c r="DC417" s="11"/>
      <c r="DD417" s="13"/>
      <c r="DE417" s="11"/>
      <c r="DF417" s="12"/>
      <c r="DG417" s="12"/>
      <c r="DH417" s="11">
        <v>12</v>
      </c>
      <c r="DI417" s="13">
        <v>2576.59</v>
      </c>
      <c r="DJ417" s="11">
        <v>6</v>
      </c>
      <c r="DK417" s="11"/>
      <c r="DL417" s="13"/>
      <c r="DM417" s="11"/>
      <c r="DN417" s="12"/>
      <c r="DO417" s="12"/>
      <c r="DP417" s="11">
        <v>3</v>
      </c>
      <c r="DQ417" s="13">
        <v>668.76</v>
      </c>
      <c r="DR417" s="11">
        <v>21</v>
      </c>
      <c r="DS417" s="11"/>
      <c r="DT417" s="13"/>
      <c r="DU417" s="11"/>
      <c r="DV417" s="12"/>
      <c r="DW417" s="12"/>
      <c r="DX417" s="11">
        <v>9</v>
      </c>
      <c r="DY417" s="13">
        <v>1743.14</v>
      </c>
      <c r="DZ417" s="11">
        <v>25</v>
      </c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>
        <v>33</v>
      </c>
      <c r="EQ417" s="11"/>
      <c r="ER417" s="13"/>
      <c r="ES417" s="11"/>
      <c r="ET417" s="12"/>
      <c r="EU417" s="12"/>
      <c r="EV417" s="11"/>
      <c r="EW417" s="13"/>
      <c r="EX417" s="11"/>
      <c r="EY417" s="11"/>
      <c r="EZ417" s="13"/>
      <c r="FA417" s="11"/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>
        <v>2</v>
      </c>
      <c r="FM417" s="13">
        <v>323.2</v>
      </c>
      <c r="FN417" s="11">
        <v>5</v>
      </c>
      <c r="FO417" s="11"/>
      <c r="FP417" s="13"/>
      <c r="FQ417" s="11"/>
      <c r="FR417" s="12"/>
      <c r="FS417" s="12"/>
      <c r="FT417" s="11">
        <v>21</v>
      </c>
      <c r="FU417" s="13">
        <v>4376.32</v>
      </c>
      <c r="FV417" s="11">
        <v>21</v>
      </c>
      <c r="FW417" s="11"/>
      <c r="FX417" s="13"/>
      <c r="FY417" s="11"/>
      <c r="FZ417" s="12"/>
      <c r="GA417" s="12"/>
      <c r="GB417" s="11">
        <v>26</v>
      </c>
      <c r="GC417" s="13">
        <v>5364.55</v>
      </c>
      <c r="GD417" s="11">
        <v>21</v>
      </c>
      <c r="GE417" s="11"/>
      <c r="GF417" s="13"/>
      <c r="GG417" s="11"/>
      <c r="GH417" s="12"/>
      <c r="GI417" s="12"/>
      <c r="GJ417" s="11">
        <v>17</v>
      </c>
      <c r="GK417" s="13">
        <v>3423.4</v>
      </c>
      <c r="GL417" s="11">
        <v>22</v>
      </c>
      <c r="GM417" s="11"/>
      <c r="GN417" s="13"/>
      <c r="GO417" s="11"/>
      <c r="GP417" s="12"/>
      <c r="GQ417" s="12"/>
      <c r="GR417" s="11">
        <v>15</v>
      </c>
      <c r="GS417" s="13">
        <v>3018.35</v>
      </c>
      <c r="GT417" s="11">
        <v>27</v>
      </c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>
        <v>5</v>
      </c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/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/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  <c r="LH417" s="11"/>
      <c r="LI417" s="13"/>
      <c r="LJ417" s="11"/>
      <c r="LK417" s="11"/>
      <c r="LL417" s="13"/>
      <c r="LM417" s="11"/>
      <c r="LN417" s="12"/>
      <c r="LO417" s="12"/>
      <c r="LP417" s="11"/>
      <c r="LQ417" s="13"/>
      <c r="LR417" s="11"/>
      <c r="LS417" s="11"/>
      <c r="LT417" s="13"/>
      <c r="LU417" s="11"/>
      <c r="LV417" s="12"/>
      <c r="LW417" s="12"/>
    </row>
    <row r="418">
      <c r="A418" s="10" t="s">
        <v>227</v>
      </c>
      <c r="B418" s="10" t="s">
        <v>163</v>
      </c>
      <c r="C418" s="10" t="s">
        <v>228</v>
      </c>
      <c r="D418" s="11">
        <v>649</v>
      </c>
      <c r="E418" s="11">
        <f>=ROUNDDOWN(21.4191419141914,0)</f>
      </c>
      <c r="F418" s="11">
        <v>344</v>
      </c>
      <c r="G418" s="12">
        <v>0.8659</v>
      </c>
      <c r="H418" s="11"/>
      <c r="I418" s="11">
        <f>=ROUNDDOWN({0},0)</f>
      </c>
      <c r="J418" s="11"/>
      <c r="K418" s="12"/>
      <c r="L418" s="11">
        <v>363</v>
      </c>
      <c r="M418" s="13">
        <v>57375.64</v>
      </c>
      <c r="N418" s="11">
        <v>6</v>
      </c>
      <c r="O418" s="14">
        <v>9562.61</v>
      </c>
      <c r="P418" s="11"/>
      <c r="Q418" s="13"/>
      <c r="R418" s="11"/>
      <c r="S418" s="14"/>
      <c r="T418" s="12"/>
      <c r="U418" s="12"/>
      <c r="V418" s="12"/>
      <c r="W418" s="12"/>
      <c r="X418" s="11">
        <v>38</v>
      </c>
      <c r="Y418" s="13">
        <v>6789.83</v>
      </c>
      <c r="Z418" s="11">
        <v>6</v>
      </c>
      <c r="AA418" s="11"/>
      <c r="AB418" s="13"/>
      <c r="AC418" s="11"/>
      <c r="AD418" s="12"/>
      <c r="AE418" s="12"/>
      <c r="AF418" s="11">
        <v>178</v>
      </c>
      <c r="AG418" s="13">
        <v>27674.58</v>
      </c>
      <c r="AH418" s="11">
        <v>6</v>
      </c>
      <c r="AI418" s="11"/>
      <c r="AJ418" s="13"/>
      <c r="AK418" s="11"/>
      <c r="AL418" s="12"/>
      <c r="AM418" s="12"/>
      <c r="AN418" s="11">
        <v>4</v>
      </c>
      <c r="AO418" s="13">
        <v>553.16</v>
      </c>
      <c r="AP418" s="11">
        <v>6</v>
      </c>
      <c r="AQ418" s="11"/>
      <c r="AR418" s="13"/>
      <c r="AS418" s="11"/>
      <c r="AT418" s="12"/>
      <c r="AU418" s="12"/>
      <c r="AV418" s="11">
        <v>26</v>
      </c>
      <c r="AW418" s="13">
        <v>4302.82</v>
      </c>
      <c r="AX418" s="11">
        <v>6</v>
      </c>
      <c r="AY418" s="11"/>
      <c r="AZ418" s="13"/>
      <c r="BA418" s="11"/>
      <c r="BB418" s="12"/>
      <c r="BC418" s="12"/>
      <c r="BD418" s="11">
        <v>26</v>
      </c>
      <c r="BE418" s="13">
        <v>3838.8</v>
      </c>
      <c r="BF418" s="11">
        <v>5</v>
      </c>
      <c r="BG418" s="11"/>
      <c r="BH418" s="13"/>
      <c r="BI418" s="11"/>
      <c r="BJ418" s="12"/>
      <c r="BK418" s="12"/>
      <c r="BL418" s="11">
        <v>24</v>
      </c>
      <c r="BM418" s="13">
        <v>3817.21</v>
      </c>
      <c r="BN418" s="11">
        <v>6</v>
      </c>
      <c r="BO418" s="11"/>
      <c r="BP418" s="13"/>
      <c r="BQ418" s="11"/>
      <c r="BR418" s="12"/>
      <c r="BS418" s="12"/>
      <c r="BT418" s="11">
        <v>45</v>
      </c>
      <c r="BU418" s="13">
        <v>6981.97</v>
      </c>
      <c r="BV418" s="11">
        <v>6</v>
      </c>
      <c r="BW418" s="11"/>
      <c r="BX418" s="13"/>
      <c r="BY418" s="11"/>
      <c r="BZ418" s="12"/>
      <c r="CA418" s="12"/>
      <c r="CB418" s="11">
        <v>4</v>
      </c>
      <c r="CC418" s="13">
        <v>639.42</v>
      </c>
      <c r="CD418" s="11">
        <v>5</v>
      </c>
      <c r="CE418" s="11"/>
      <c r="CF418" s="13"/>
      <c r="CG418" s="11"/>
      <c r="CH418" s="12"/>
      <c r="CI418" s="12"/>
      <c r="CJ418" s="11"/>
      <c r="CK418" s="13"/>
      <c r="CL418" s="11"/>
      <c r="CM418" s="11"/>
      <c r="CN418" s="13"/>
      <c r="CO418" s="11"/>
      <c r="CP418" s="12"/>
      <c r="CQ418" s="12"/>
      <c r="CR418" s="11"/>
      <c r="CS418" s="13"/>
      <c r="CT418" s="11"/>
      <c r="CU418" s="11"/>
      <c r="CV418" s="13"/>
      <c r="CW418" s="11"/>
      <c r="CX418" s="12"/>
      <c r="CY418" s="12"/>
      <c r="CZ418" s="11">
        <v>5</v>
      </c>
      <c r="DA418" s="13">
        <v>773.15</v>
      </c>
      <c r="DB418" s="11">
        <v>2</v>
      </c>
      <c r="DC418" s="11"/>
      <c r="DD418" s="13"/>
      <c r="DE418" s="11"/>
      <c r="DF418" s="12"/>
      <c r="DG418" s="12"/>
      <c r="DH418" s="11">
        <v>6</v>
      </c>
      <c r="DI418" s="13">
        <v>883.56</v>
      </c>
      <c r="DJ418" s="11">
        <v>2</v>
      </c>
      <c r="DK418" s="11"/>
      <c r="DL418" s="13"/>
      <c r="DM418" s="11"/>
      <c r="DN418" s="12"/>
      <c r="DO418" s="12"/>
      <c r="DP418" s="11"/>
      <c r="DQ418" s="13"/>
      <c r="DR418" s="11">
        <v>1</v>
      </c>
      <c r="DS418" s="11"/>
      <c r="DT418" s="13"/>
      <c r="DU418" s="11"/>
      <c r="DV418" s="12"/>
      <c r="DW418" s="12"/>
      <c r="DX418" s="11"/>
      <c r="DY418" s="13"/>
      <c r="DZ418" s="11"/>
      <c r="EA418" s="11"/>
      <c r="EB418" s="13"/>
      <c r="EC418" s="11"/>
      <c r="ED418" s="12"/>
      <c r="EE418" s="12"/>
      <c r="EF418" s="11"/>
      <c r="EG418" s="13"/>
      <c r="EH418" s="11"/>
      <c r="EI418" s="11"/>
      <c r="EJ418" s="13"/>
      <c r="EK418" s="11"/>
      <c r="EL418" s="12"/>
      <c r="EM418" s="12"/>
      <c r="EN418" s="11"/>
      <c r="EO418" s="13"/>
      <c r="EP418" s="11">
        <v>6</v>
      </c>
      <c r="EQ418" s="11"/>
      <c r="ER418" s="13"/>
      <c r="ES418" s="11"/>
      <c r="ET418" s="12"/>
      <c r="EU418" s="12"/>
      <c r="EV418" s="11"/>
      <c r="EW418" s="13"/>
      <c r="EX418" s="11"/>
      <c r="EY418" s="11"/>
      <c r="EZ418" s="13"/>
      <c r="FA418" s="11"/>
      <c r="FB418" s="12"/>
      <c r="FC418" s="12"/>
      <c r="FD418" s="11"/>
      <c r="FE418" s="13"/>
      <c r="FF418" s="11">
        <v>1</v>
      </c>
      <c r="FG418" s="11"/>
      <c r="FH418" s="13"/>
      <c r="FI418" s="11"/>
      <c r="FJ418" s="12"/>
      <c r="FK418" s="12"/>
      <c r="FL418" s="11"/>
      <c r="FM418" s="13"/>
      <c r="FN418" s="11">
        <v>2</v>
      </c>
      <c r="FO418" s="11"/>
      <c r="FP418" s="13"/>
      <c r="FQ418" s="11"/>
      <c r="FR418" s="12"/>
      <c r="FS418" s="12"/>
      <c r="FT418" s="11">
        <v>1</v>
      </c>
      <c r="FU418" s="13">
        <v>147.26</v>
      </c>
      <c r="FV418" s="11">
        <v>1</v>
      </c>
      <c r="FW418" s="11"/>
      <c r="FX418" s="13"/>
      <c r="FY418" s="11"/>
      <c r="FZ418" s="12"/>
      <c r="GA418" s="12"/>
      <c r="GB418" s="11"/>
      <c r="GC418" s="13"/>
      <c r="GD418" s="11">
        <v>2</v>
      </c>
      <c r="GE418" s="11"/>
      <c r="GF418" s="13"/>
      <c r="GG418" s="11"/>
      <c r="GH418" s="12"/>
      <c r="GI418" s="12"/>
      <c r="GJ418" s="11">
        <v>3</v>
      </c>
      <c r="GK418" s="13">
        <v>407.22</v>
      </c>
      <c r="GL418" s="11">
        <v>5</v>
      </c>
      <c r="GM418" s="11"/>
      <c r="GN418" s="13"/>
      <c r="GO418" s="11"/>
      <c r="GP418" s="12"/>
      <c r="GQ418" s="12"/>
      <c r="GR418" s="11">
        <v>3</v>
      </c>
      <c r="GS418" s="13">
        <v>566.66</v>
      </c>
      <c r="GT418" s="11">
        <v>4</v>
      </c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/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/>
      <c r="KN418" s="13"/>
      <c r="KO418" s="11"/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  <c r="LH418" s="11"/>
      <c r="LI418" s="13"/>
      <c r="LJ418" s="11"/>
      <c r="LK418" s="11"/>
      <c r="LL418" s="13"/>
      <c r="LM418" s="11"/>
      <c r="LN418" s="12"/>
      <c r="LO418" s="12"/>
      <c r="LP418" s="11"/>
      <c r="LQ418" s="13"/>
      <c r="LR418" s="11"/>
      <c r="LS418" s="11"/>
      <c r="LT418" s="13"/>
      <c r="LU418" s="11"/>
      <c r="LV418" s="12"/>
      <c r="LW418" s="12"/>
    </row>
    <row r="419">
      <c r="A419" s="10" t="s">
        <v>227</v>
      </c>
      <c r="B419" s="10" t="s">
        <v>163</v>
      </c>
      <c r="C419" s="10" t="s">
        <v>213</v>
      </c>
      <c r="D419" s="11">
        <v>2232</v>
      </c>
      <c r="E419" s="11">
        <f>=ROUNDDOWN(24.4201312910284,0)</f>
      </c>
      <c r="F419" s="11">
        <v>1322</v>
      </c>
      <c r="G419" s="12">
        <v>0.8781</v>
      </c>
      <c r="H419" s="11"/>
      <c r="I419" s="11">
        <f>=ROUNDDOWN({0},0)</f>
      </c>
      <c r="J419" s="11"/>
      <c r="K419" s="12"/>
      <c r="L419" s="11">
        <v>1208</v>
      </c>
      <c r="M419" s="13">
        <v>280477.23</v>
      </c>
      <c r="N419" s="11">
        <v>17</v>
      </c>
      <c r="O419" s="14">
        <v>16498.66</v>
      </c>
      <c r="P419" s="11"/>
      <c r="Q419" s="13"/>
      <c r="R419" s="11"/>
      <c r="S419" s="14"/>
      <c r="T419" s="12"/>
      <c r="U419" s="12"/>
      <c r="V419" s="12"/>
      <c r="W419" s="12"/>
      <c r="X419" s="11">
        <v>117</v>
      </c>
      <c r="Y419" s="13">
        <v>31511.75</v>
      </c>
      <c r="Z419" s="11">
        <v>16</v>
      </c>
      <c r="AA419" s="11"/>
      <c r="AB419" s="13"/>
      <c r="AC419" s="11"/>
      <c r="AD419" s="12"/>
      <c r="AE419" s="12"/>
      <c r="AF419" s="11">
        <v>648</v>
      </c>
      <c r="AG419" s="13">
        <v>138305.54</v>
      </c>
      <c r="AH419" s="11">
        <v>17</v>
      </c>
      <c r="AI419" s="11"/>
      <c r="AJ419" s="13"/>
      <c r="AK419" s="11"/>
      <c r="AL419" s="12"/>
      <c r="AM419" s="12"/>
      <c r="AN419" s="11">
        <v>7</v>
      </c>
      <c r="AO419" s="13">
        <v>1592.32</v>
      </c>
      <c r="AP419" s="11">
        <v>14</v>
      </c>
      <c r="AQ419" s="11"/>
      <c r="AR419" s="13"/>
      <c r="AS419" s="11"/>
      <c r="AT419" s="12"/>
      <c r="AU419" s="12"/>
      <c r="AV419" s="11">
        <v>21</v>
      </c>
      <c r="AW419" s="13">
        <v>5191.96</v>
      </c>
      <c r="AX419" s="11">
        <v>9</v>
      </c>
      <c r="AY419" s="11"/>
      <c r="AZ419" s="13"/>
      <c r="BA419" s="11"/>
      <c r="BB419" s="12"/>
      <c r="BC419" s="12"/>
      <c r="BD419" s="11">
        <v>100</v>
      </c>
      <c r="BE419" s="13">
        <v>20222.92</v>
      </c>
      <c r="BF419" s="11">
        <v>13</v>
      </c>
      <c r="BG419" s="11"/>
      <c r="BH419" s="13"/>
      <c r="BI419" s="11"/>
      <c r="BJ419" s="12"/>
      <c r="BK419" s="12"/>
      <c r="BL419" s="11">
        <v>74</v>
      </c>
      <c r="BM419" s="13">
        <v>21419.58</v>
      </c>
      <c r="BN419" s="11">
        <v>17</v>
      </c>
      <c r="BO419" s="11"/>
      <c r="BP419" s="13"/>
      <c r="BQ419" s="11"/>
      <c r="BR419" s="12"/>
      <c r="BS419" s="12"/>
      <c r="BT419" s="11">
        <v>126</v>
      </c>
      <c r="BU419" s="13">
        <v>34589.96</v>
      </c>
      <c r="BV419" s="11">
        <v>17</v>
      </c>
      <c r="BW419" s="11"/>
      <c r="BX419" s="13"/>
      <c r="BY419" s="11"/>
      <c r="BZ419" s="12"/>
      <c r="CA419" s="12"/>
      <c r="CB419" s="11"/>
      <c r="CC419" s="13"/>
      <c r="CD419" s="11">
        <v>16</v>
      </c>
      <c r="CE419" s="11"/>
      <c r="CF419" s="13"/>
      <c r="CG419" s="11"/>
      <c r="CH419" s="12"/>
      <c r="CI419" s="12"/>
      <c r="CJ419" s="11"/>
      <c r="CK419" s="13"/>
      <c r="CL419" s="11">
        <v>2</v>
      </c>
      <c r="CM419" s="11"/>
      <c r="CN419" s="13"/>
      <c r="CO419" s="11"/>
      <c r="CP419" s="12"/>
      <c r="CQ419" s="12"/>
      <c r="CR419" s="11"/>
      <c r="CS419" s="13"/>
      <c r="CT419" s="11"/>
      <c r="CU419" s="11"/>
      <c r="CV419" s="13"/>
      <c r="CW419" s="11"/>
      <c r="CX419" s="12"/>
      <c r="CY419" s="12"/>
      <c r="CZ419" s="11">
        <v>71</v>
      </c>
      <c r="DA419" s="13">
        <v>19610.18</v>
      </c>
      <c r="DB419" s="11">
        <v>6</v>
      </c>
      <c r="DC419" s="11"/>
      <c r="DD419" s="13"/>
      <c r="DE419" s="11"/>
      <c r="DF419" s="12"/>
      <c r="DG419" s="12"/>
      <c r="DH419" s="11">
        <v>27</v>
      </c>
      <c r="DI419" s="13">
        <v>5158.12</v>
      </c>
      <c r="DJ419" s="11">
        <v>10</v>
      </c>
      <c r="DK419" s="11"/>
      <c r="DL419" s="13"/>
      <c r="DM419" s="11"/>
      <c r="DN419" s="12"/>
      <c r="DO419" s="12"/>
      <c r="DP419" s="11"/>
      <c r="DQ419" s="13"/>
      <c r="DR419" s="11">
        <v>1</v>
      </c>
      <c r="DS419" s="11"/>
      <c r="DT419" s="13"/>
      <c r="DU419" s="11"/>
      <c r="DV419" s="12"/>
      <c r="DW419" s="12"/>
      <c r="DX419" s="11"/>
      <c r="DY419" s="13"/>
      <c r="DZ419" s="11"/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>
        <v>17</v>
      </c>
      <c r="EQ419" s="11"/>
      <c r="ER419" s="13"/>
      <c r="ES419" s="11"/>
      <c r="ET419" s="12"/>
      <c r="EU419" s="12"/>
      <c r="EV419" s="11"/>
      <c r="EW419" s="13"/>
      <c r="EX419" s="11"/>
      <c r="EY419" s="11"/>
      <c r="EZ419" s="13"/>
      <c r="FA419" s="11"/>
      <c r="FB419" s="12"/>
      <c r="FC419" s="12"/>
      <c r="FD419" s="11"/>
      <c r="FE419" s="13"/>
      <c r="FF419" s="11"/>
      <c r="FG419" s="11"/>
      <c r="FH419" s="13"/>
      <c r="FI419" s="11"/>
      <c r="FJ419" s="12"/>
      <c r="FK419" s="12"/>
      <c r="FL419" s="11"/>
      <c r="FM419" s="13"/>
      <c r="FN419" s="11">
        <v>9</v>
      </c>
      <c r="FO419" s="11"/>
      <c r="FP419" s="13"/>
      <c r="FQ419" s="11"/>
      <c r="FR419" s="12"/>
      <c r="FS419" s="12"/>
      <c r="FT419" s="11">
        <v>9</v>
      </c>
      <c r="FU419" s="13">
        <v>1149.18</v>
      </c>
      <c r="FV419" s="11">
        <v>6</v>
      </c>
      <c r="FW419" s="11"/>
      <c r="FX419" s="13"/>
      <c r="FY419" s="11"/>
      <c r="FZ419" s="12"/>
      <c r="GA419" s="12"/>
      <c r="GB419" s="11">
        <v>2</v>
      </c>
      <c r="GC419" s="13">
        <v>581.74</v>
      </c>
      <c r="GD419" s="11">
        <v>1</v>
      </c>
      <c r="GE419" s="11"/>
      <c r="GF419" s="13"/>
      <c r="GG419" s="11"/>
      <c r="GH419" s="12"/>
      <c r="GI419" s="12"/>
      <c r="GJ419" s="11">
        <v>2</v>
      </c>
      <c r="GK419" s="13">
        <v>404.84</v>
      </c>
      <c r="GL419" s="11">
        <v>14</v>
      </c>
      <c r="GM419" s="11"/>
      <c r="GN419" s="13"/>
      <c r="GO419" s="11"/>
      <c r="GP419" s="12"/>
      <c r="GQ419" s="12"/>
      <c r="GR419" s="11">
        <v>4</v>
      </c>
      <c r="GS419" s="13">
        <v>739.14</v>
      </c>
      <c r="GT419" s="11">
        <v>12</v>
      </c>
      <c r="GU419" s="11"/>
      <c r="GV419" s="13"/>
      <c r="GW419" s="11"/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>
        <v>1</v>
      </c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/>
      <c r="JO419" s="11"/>
      <c r="JP419" s="13"/>
      <c r="JQ419" s="11"/>
      <c r="JR419" s="12"/>
      <c r="JS419" s="12"/>
      <c r="JT419" s="11"/>
      <c r="JU419" s="13"/>
      <c r="JV419" s="11"/>
      <c r="JW419" s="11"/>
      <c r="JX419" s="13"/>
      <c r="JY419" s="11"/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/>
      <c r="KN419" s="13"/>
      <c r="KO419" s="11"/>
      <c r="KP419" s="12"/>
      <c r="KQ419" s="12"/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  <c r="LH419" s="11"/>
      <c r="LI419" s="13"/>
      <c r="LJ419" s="11"/>
      <c r="LK419" s="11"/>
      <c r="LL419" s="13"/>
      <c r="LM419" s="11"/>
      <c r="LN419" s="12"/>
      <c r="LO419" s="12"/>
      <c r="LP419" s="11"/>
      <c r="LQ419" s="13"/>
      <c r="LR419" s="11"/>
      <c r="LS419" s="11"/>
      <c r="LT419" s="13"/>
      <c r="LU419" s="11"/>
      <c r="LV419" s="12"/>
      <c r="LW419" s="12"/>
    </row>
    <row r="420">
      <c r="A420" s="10" t="s">
        <v>227</v>
      </c>
      <c r="B420" s="10" t="s">
        <v>163</v>
      </c>
      <c r="C420" s="10" t="s">
        <v>214</v>
      </c>
      <c r="D420" s="11">
        <v>160</v>
      </c>
      <c r="E420" s="11">
        <f>=ROUNDDOWN(25.8064516129032,0)</f>
      </c>
      <c r="F420" s="11">
        <v>199</v>
      </c>
      <c r="G420" s="12">
        <v>1</v>
      </c>
      <c r="H420" s="11"/>
      <c r="I420" s="11">
        <f>=ROUNDDOWN({0},0)</f>
      </c>
      <c r="J420" s="11"/>
      <c r="K420" s="12"/>
      <c r="L420" s="11">
        <v>87</v>
      </c>
      <c r="M420" s="13">
        <v>22031.02</v>
      </c>
      <c r="N420" s="11">
        <v>3</v>
      </c>
      <c r="O420" s="14">
        <v>7343.67</v>
      </c>
      <c r="P420" s="11"/>
      <c r="Q420" s="13"/>
      <c r="R420" s="11"/>
      <c r="S420" s="14"/>
      <c r="T420" s="12"/>
      <c r="U420" s="12"/>
      <c r="V420" s="12"/>
      <c r="W420" s="12"/>
      <c r="X420" s="11">
        <v>2</v>
      </c>
      <c r="Y420" s="13">
        <v>540.92</v>
      </c>
      <c r="Z420" s="11">
        <v>3</v>
      </c>
      <c r="AA420" s="11"/>
      <c r="AB420" s="13"/>
      <c r="AC420" s="11"/>
      <c r="AD420" s="12"/>
      <c r="AE420" s="12"/>
      <c r="AF420" s="11">
        <v>52</v>
      </c>
      <c r="AG420" s="13">
        <v>12292.67</v>
      </c>
      <c r="AH420" s="11">
        <v>3</v>
      </c>
      <c r="AI420" s="11"/>
      <c r="AJ420" s="13"/>
      <c r="AK420" s="11"/>
      <c r="AL420" s="12"/>
      <c r="AM420" s="12"/>
      <c r="AN420" s="11">
        <v>1</v>
      </c>
      <c r="AO420" s="13">
        <v>317.52</v>
      </c>
      <c r="AP420" s="11">
        <v>2</v>
      </c>
      <c r="AQ420" s="11"/>
      <c r="AR420" s="13"/>
      <c r="AS420" s="11"/>
      <c r="AT420" s="12"/>
      <c r="AU420" s="12"/>
      <c r="AV420" s="11"/>
      <c r="AW420" s="13"/>
      <c r="AX420" s="11"/>
      <c r="AY420" s="11"/>
      <c r="AZ420" s="13"/>
      <c r="BA420" s="11"/>
      <c r="BB420" s="12"/>
      <c r="BC420" s="12"/>
      <c r="BD420" s="11"/>
      <c r="BE420" s="13"/>
      <c r="BF420" s="11"/>
      <c r="BG420" s="11"/>
      <c r="BH420" s="13"/>
      <c r="BI420" s="11"/>
      <c r="BJ420" s="12"/>
      <c r="BK420" s="12"/>
      <c r="BL420" s="11">
        <v>10</v>
      </c>
      <c r="BM420" s="13">
        <v>3088.27</v>
      </c>
      <c r="BN420" s="11">
        <v>3</v>
      </c>
      <c r="BO420" s="11"/>
      <c r="BP420" s="13"/>
      <c r="BQ420" s="11"/>
      <c r="BR420" s="12"/>
      <c r="BS420" s="12"/>
      <c r="BT420" s="11">
        <v>8</v>
      </c>
      <c r="BU420" s="13">
        <v>2285.62</v>
      </c>
      <c r="BV420" s="11">
        <v>3</v>
      </c>
      <c r="BW420" s="11"/>
      <c r="BX420" s="13"/>
      <c r="BY420" s="11"/>
      <c r="BZ420" s="12"/>
      <c r="CA420" s="12"/>
      <c r="CB420" s="11"/>
      <c r="CC420" s="13"/>
      <c r="CD420" s="11">
        <v>3</v>
      </c>
      <c r="CE420" s="11"/>
      <c r="CF420" s="13"/>
      <c r="CG420" s="11"/>
      <c r="CH420" s="12"/>
      <c r="CI420" s="12"/>
      <c r="CJ420" s="11"/>
      <c r="CK420" s="13"/>
      <c r="CL420" s="11">
        <v>2</v>
      </c>
      <c r="CM420" s="11"/>
      <c r="CN420" s="13"/>
      <c r="CO420" s="11"/>
      <c r="CP420" s="12"/>
      <c r="CQ420" s="12"/>
      <c r="CR420" s="11"/>
      <c r="CS420" s="13"/>
      <c r="CT420" s="11"/>
      <c r="CU420" s="11"/>
      <c r="CV420" s="13"/>
      <c r="CW420" s="11"/>
      <c r="CX420" s="12"/>
      <c r="CY420" s="12"/>
      <c r="CZ420" s="11"/>
      <c r="DA420" s="13"/>
      <c r="DB420" s="11">
        <v>1</v>
      </c>
      <c r="DC420" s="11"/>
      <c r="DD420" s="13"/>
      <c r="DE420" s="11"/>
      <c r="DF420" s="12"/>
      <c r="DG420" s="12"/>
      <c r="DH420" s="11">
        <v>14</v>
      </c>
      <c r="DI420" s="13">
        <v>3506.02</v>
      </c>
      <c r="DJ420" s="11">
        <v>1</v>
      </c>
      <c r="DK420" s="11"/>
      <c r="DL420" s="13"/>
      <c r="DM420" s="11"/>
      <c r="DN420" s="12"/>
      <c r="DO420" s="12"/>
      <c r="DP420" s="11"/>
      <c r="DQ420" s="13"/>
      <c r="DR420" s="11">
        <v>1</v>
      </c>
      <c r="DS420" s="11"/>
      <c r="DT420" s="13"/>
      <c r="DU420" s="11"/>
      <c r="DV420" s="12"/>
      <c r="DW420" s="12"/>
      <c r="DX420" s="11"/>
      <c r="DY420" s="13"/>
      <c r="DZ420" s="11"/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>
        <v>3</v>
      </c>
      <c r="EQ420" s="11"/>
      <c r="ER420" s="13"/>
      <c r="ES420" s="11"/>
      <c r="ET420" s="12"/>
      <c r="EU420" s="12"/>
      <c r="EV420" s="11"/>
      <c r="EW420" s="13"/>
      <c r="EX420" s="11"/>
      <c r="EY420" s="11"/>
      <c r="EZ420" s="13"/>
      <c r="FA420" s="11"/>
      <c r="FB420" s="12"/>
      <c r="FC420" s="12"/>
      <c r="FD420" s="11"/>
      <c r="FE420" s="13"/>
      <c r="FF420" s="11"/>
      <c r="FG420" s="11"/>
      <c r="FH420" s="13"/>
      <c r="FI420" s="11"/>
      <c r="FJ420" s="12"/>
      <c r="FK420" s="12"/>
      <c r="FL420" s="11"/>
      <c r="FM420" s="13"/>
      <c r="FN420" s="11"/>
      <c r="FO420" s="11"/>
      <c r="FP420" s="13"/>
      <c r="FQ420" s="11"/>
      <c r="FR420" s="12"/>
      <c r="FS420" s="12"/>
      <c r="FT420" s="11"/>
      <c r="FU420" s="13"/>
      <c r="FV420" s="11">
        <v>3</v>
      </c>
      <c r="FW420" s="11"/>
      <c r="FX420" s="13"/>
      <c r="FY420" s="11"/>
      <c r="FZ420" s="12"/>
      <c r="GA420" s="12"/>
      <c r="GB420" s="11"/>
      <c r="GC420" s="13"/>
      <c r="GD420" s="11">
        <v>1</v>
      </c>
      <c r="GE420" s="11"/>
      <c r="GF420" s="13"/>
      <c r="GG420" s="11"/>
      <c r="GH420" s="12"/>
      <c r="GI420" s="12"/>
      <c r="GJ420" s="11"/>
      <c r="GK420" s="13"/>
      <c r="GL420" s="11">
        <v>3</v>
      </c>
      <c r="GM420" s="11"/>
      <c r="GN420" s="13"/>
      <c r="GO420" s="11"/>
      <c r="GP420" s="12"/>
      <c r="GQ420" s="12"/>
      <c r="GR420" s="11"/>
      <c r="GS420" s="13"/>
      <c r="GT420" s="11">
        <v>1</v>
      </c>
      <c r="GU420" s="11"/>
      <c r="GV420" s="13"/>
      <c r="GW420" s="11"/>
      <c r="GX420" s="12"/>
      <c r="GY420" s="12"/>
      <c r="GZ420" s="11"/>
      <c r="HA420" s="13"/>
      <c r="HB420" s="11"/>
      <c r="HC420" s="11"/>
      <c r="HD420" s="13"/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/>
      <c r="JO420" s="11"/>
      <c r="JP420" s="13"/>
      <c r="JQ420" s="11"/>
      <c r="JR420" s="12"/>
      <c r="JS420" s="12"/>
      <c r="JT420" s="11"/>
      <c r="JU420" s="13"/>
      <c r="JV420" s="11"/>
      <c r="JW420" s="11"/>
      <c r="JX420" s="13"/>
      <c r="JY420" s="11"/>
      <c r="JZ420" s="12"/>
      <c r="KA420" s="12"/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/>
      <c r="KM420" s="11"/>
      <c r="KN420" s="13"/>
      <c r="KO420" s="11"/>
      <c r="KP420" s="12"/>
      <c r="KQ420" s="12"/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  <c r="LH420" s="11"/>
      <c r="LI420" s="13"/>
      <c r="LJ420" s="11"/>
      <c r="LK420" s="11"/>
      <c r="LL420" s="13"/>
      <c r="LM420" s="11"/>
      <c r="LN420" s="12"/>
      <c r="LO420" s="12"/>
      <c r="LP420" s="11"/>
      <c r="LQ420" s="13"/>
      <c r="LR420" s="11"/>
      <c r="LS420" s="11"/>
      <c r="LT420" s="13"/>
      <c r="LU420" s="11"/>
      <c r="LV420" s="12"/>
      <c r="LW420" s="12"/>
    </row>
    <row r="421">
      <c r="A421" s="10" t="s">
        <v>227</v>
      </c>
      <c r="B421" s="10" t="s">
        <v>163</v>
      </c>
      <c r="C421" s="10" t="s">
        <v>241</v>
      </c>
      <c r="D421" s="11">
        <v>19</v>
      </c>
      <c r="E421" s="11">
        <f>=ROUNDDOWN(9.5,0)</f>
      </c>
      <c r="F421" s="11"/>
      <c r="G421" s="12"/>
      <c r="H421" s="11"/>
      <c r="I421" s="11">
        <f>=ROUNDDOWN({0},0)</f>
      </c>
      <c r="J421" s="11"/>
      <c r="K421" s="12"/>
      <c r="L421" s="11">
        <v>15</v>
      </c>
      <c r="M421" s="13">
        <v>2613.65</v>
      </c>
      <c r="N421" s="11">
        <v>1</v>
      </c>
      <c r="O421" s="14">
        <v>2613.65</v>
      </c>
      <c r="P421" s="11"/>
      <c r="Q421" s="13"/>
      <c r="R421" s="11"/>
      <c r="S421" s="14"/>
      <c r="T421" s="12"/>
      <c r="U421" s="12"/>
      <c r="V421" s="12"/>
      <c r="W421" s="12"/>
      <c r="X421" s="11">
        <v>4</v>
      </c>
      <c r="Y421" s="13">
        <v>748.44</v>
      </c>
      <c r="Z421" s="11">
        <v>1</v>
      </c>
      <c r="AA421" s="11"/>
      <c r="AB421" s="13"/>
      <c r="AC421" s="11"/>
      <c r="AD421" s="12"/>
      <c r="AE421" s="12"/>
      <c r="AF421" s="11">
        <v>3</v>
      </c>
      <c r="AG421" s="13">
        <v>426.03</v>
      </c>
      <c r="AH421" s="11">
        <v>1</v>
      </c>
      <c r="AI421" s="11"/>
      <c r="AJ421" s="13"/>
      <c r="AK421" s="11"/>
      <c r="AL421" s="12"/>
      <c r="AM421" s="12"/>
      <c r="AN421" s="11"/>
      <c r="AO421" s="13"/>
      <c r="AP421" s="11">
        <v>1</v>
      </c>
      <c r="AQ421" s="11"/>
      <c r="AR421" s="13"/>
      <c r="AS421" s="11"/>
      <c r="AT421" s="12"/>
      <c r="AU421" s="12"/>
      <c r="AV421" s="11">
        <v>2</v>
      </c>
      <c r="AW421" s="13">
        <v>388.08</v>
      </c>
      <c r="AX421" s="11"/>
      <c r="AY421" s="11"/>
      <c r="AZ421" s="13"/>
      <c r="BA421" s="11"/>
      <c r="BB421" s="12"/>
      <c r="BC421" s="12"/>
      <c r="BD421" s="11">
        <v>2</v>
      </c>
      <c r="BE421" s="13">
        <v>295.16</v>
      </c>
      <c r="BF421" s="11">
        <v>1</v>
      </c>
      <c r="BG421" s="11"/>
      <c r="BH421" s="13"/>
      <c r="BI421" s="11"/>
      <c r="BJ421" s="12"/>
      <c r="BK421" s="12"/>
      <c r="BL421" s="11"/>
      <c r="BM421" s="13"/>
      <c r="BN421" s="11">
        <v>1</v>
      </c>
      <c r="BO421" s="11"/>
      <c r="BP421" s="13"/>
      <c r="BQ421" s="11"/>
      <c r="BR421" s="12"/>
      <c r="BS421" s="12"/>
      <c r="BT421" s="11">
        <v>2</v>
      </c>
      <c r="BU421" s="13">
        <v>386.92</v>
      </c>
      <c r="BV421" s="11">
        <v>1</v>
      </c>
      <c r="BW421" s="11"/>
      <c r="BX421" s="13"/>
      <c r="BY421" s="11"/>
      <c r="BZ421" s="12"/>
      <c r="CA421" s="12"/>
      <c r="CB421" s="11">
        <v>1</v>
      </c>
      <c r="CC421" s="13">
        <v>181.91</v>
      </c>
      <c r="CD421" s="11">
        <v>1</v>
      </c>
      <c r="CE421" s="11"/>
      <c r="CF421" s="13"/>
      <c r="CG421" s="11"/>
      <c r="CH421" s="12"/>
      <c r="CI421" s="12"/>
      <c r="CJ421" s="11"/>
      <c r="CK421" s="13"/>
      <c r="CL421" s="11"/>
      <c r="CM421" s="11"/>
      <c r="CN421" s="13"/>
      <c r="CO421" s="11"/>
      <c r="CP421" s="12"/>
      <c r="CQ421" s="12"/>
      <c r="CR421" s="11"/>
      <c r="CS421" s="13"/>
      <c r="CT421" s="11"/>
      <c r="CU421" s="11"/>
      <c r="CV421" s="13"/>
      <c r="CW421" s="11"/>
      <c r="CX421" s="12"/>
      <c r="CY421" s="12"/>
      <c r="CZ421" s="11"/>
      <c r="DA421" s="13"/>
      <c r="DB421" s="11"/>
      <c r="DC421" s="11"/>
      <c r="DD421" s="13"/>
      <c r="DE421" s="11"/>
      <c r="DF421" s="12"/>
      <c r="DG421" s="12"/>
      <c r="DH421" s="11"/>
      <c r="DI421" s="13"/>
      <c r="DJ421" s="11"/>
      <c r="DK421" s="11"/>
      <c r="DL421" s="13"/>
      <c r="DM421" s="11"/>
      <c r="DN421" s="12"/>
      <c r="DO421" s="12"/>
      <c r="DP421" s="11"/>
      <c r="DQ421" s="13"/>
      <c r="DR421" s="11">
        <v>1</v>
      </c>
      <c r="DS421" s="11"/>
      <c r="DT421" s="13"/>
      <c r="DU421" s="11"/>
      <c r="DV421" s="12"/>
      <c r="DW421" s="12"/>
      <c r="DX421" s="11"/>
      <c r="DY421" s="13"/>
      <c r="DZ421" s="11"/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>
        <v>1</v>
      </c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/>
      <c r="FM421" s="13"/>
      <c r="FN421" s="11">
        <v>1</v>
      </c>
      <c r="FO421" s="11"/>
      <c r="FP421" s="13"/>
      <c r="FQ421" s="11"/>
      <c r="FR421" s="12"/>
      <c r="FS421" s="12"/>
      <c r="FT421" s="11"/>
      <c r="FU421" s="13"/>
      <c r="FV421" s="11">
        <v>1</v>
      </c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>
        <v>1</v>
      </c>
      <c r="GM421" s="11"/>
      <c r="GN421" s="13"/>
      <c r="GO421" s="11"/>
      <c r="GP421" s="12"/>
      <c r="GQ421" s="12"/>
      <c r="GR421" s="11">
        <v>1</v>
      </c>
      <c r="GS421" s="13">
        <v>187.11</v>
      </c>
      <c r="GT421" s="11">
        <v>1</v>
      </c>
      <c r="GU421" s="11"/>
      <c r="GV421" s="13"/>
      <c r="GW421" s="11"/>
      <c r="GX421" s="12"/>
      <c r="GY421" s="12"/>
      <c r="GZ421" s="11"/>
      <c r="HA421" s="13"/>
      <c r="HB421" s="11"/>
      <c r="HC421" s="11"/>
      <c r="HD421" s="13"/>
      <c r="HE421" s="11"/>
      <c r="HF421" s="12"/>
      <c r="HG421" s="12"/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  <c r="LH421" s="11"/>
      <c r="LI421" s="13"/>
      <c r="LJ421" s="11"/>
      <c r="LK421" s="11"/>
      <c r="LL421" s="13"/>
      <c r="LM421" s="11"/>
      <c r="LN421" s="12"/>
      <c r="LO421" s="12"/>
      <c r="LP421" s="11"/>
      <c r="LQ421" s="13"/>
      <c r="LR421" s="11"/>
      <c r="LS421" s="11"/>
      <c r="LT421" s="13"/>
      <c r="LU421" s="11"/>
      <c r="LV421" s="12"/>
      <c r="LW421" s="12"/>
    </row>
    <row r="422">
      <c r="A422" s="10" t="s">
        <v>227</v>
      </c>
      <c r="B422" s="10" t="s">
        <v>163</v>
      </c>
      <c r="C422" s="10" t="s">
        <v>216</v>
      </c>
      <c r="D422" s="11">
        <v>1438</v>
      </c>
      <c r="E422" s="11">
        <f>=ROUNDDOWN(27.7071290944123,0)</f>
      </c>
      <c r="F422" s="11">
        <v>707</v>
      </c>
      <c r="G422" s="12">
        <v>0.8723</v>
      </c>
      <c r="H422" s="11"/>
      <c r="I422" s="11">
        <f>=ROUNDDOWN({0},0)</f>
      </c>
      <c r="J422" s="11"/>
      <c r="K422" s="12"/>
      <c r="L422" s="11">
        <v>681</v>
      </c>
      <c r="M422" s="13">
        <v>131243.29</v>
      </c>
      <c r="N422" s="11">
        <v>6</v>
      </c>
      <c r="O422" s="14">
        <v>21873.88</v>
      </c>
      <c r="P422" s="11"/>
      <c r="Q422" s="13"/>
      <c r="R422" s="11"/>
      <c r="S422" s="14"/>
      <c r="T422" s="12"/>
      <c r="U422" s="12"/>
      <c r="V422" s="12"/>
      <c r="W422" s="12"/>
      <c r="X422" s="11">
        <v>73</v>
      </c>
      <c r="Y422" s="13">
        <v>15991.69</v>
      </c>
      <c r="Z422" s="11">
        <v>6</v>
      </c>
      <c r="AA422" s="11"/>
      <c r="AB422" s="13"/>
      <c r="AC422" s="11"/>
      <c r="AD422" s="12"/>
      <c r="AE422" s="12"/>
      <c r="AF422" s="11">
        <v>218</v>
      </c>
      <c r="AG422" s="13">
        <v>31843.11</v>
      </c>
      <c r="AH422" s="11">
        <v>6</v>
      </c>
      <c r="AI422" s="11"/>
      <c r="AJ422" s="13"/>
      <c r="AK422" s="11"/>
      <c r="AL422" s="12"/>
      <c r="AM422" s="12"/>
      <c r="AN422" s="11">
        <v>35</v>
      </c>
      <c r="AO422" s="13">
        <v>6385.16</v>
      </c>
      <c r="AP422" s="11">
        <v>6</v>
      </c>
      <c r="AQ422" s="11"/>
      <c r="AR422" s="13"/>
      <c r="AS422" s="11"/>
      <c r="AT422" s="12"/>
      <c r="AU422" s="12"/>
      <c r="AV422" s="11">
        <v>31</v>
      </c>
      <c r="AW422" s="13">
        <v>4686.93</v>
      </c>
      <c r="AX422" s="11">
        <v>5</v>
      </c>
      <c r="AY422" s="11"/>
      <c r="AZ422" s="13"/>
      <c r="BA422" s="11"/>
      <c r="BB422" s="12"/>
      <c r="BC422" s="12"/>
      <c r="BD422" s="11">
        <v>17</v>
      </c>
      <c r="BE422" s="13">
        <v>3328.35</v>
      </c>
      <c r="BF422" s="11">
        <v>6</v>
      </c>
      <c r="BG422" s="11"/>
      <c r="BH422" s="13"/>
      <c r="BI422" s="11"/>
      <c r="BJ422" s="12"/>
      <c r="BK422" s="12"/>
      <c r="BL422" s="11">
        <v>206</v>
      </c>
      <c r="BM422" s="13">
        <v>50598.6</v>
      </c>
      <c r="BN422" s="11">
        <v>6</v>
      </c>
      <c r="BO422" s="11"/>
      <c r="BP422" s="13"/>
      <c r="BQ422" s="11"/>
      <c r="BR422" s="12"/>
      <c r="BS422" s="12"/>
      <c r="BT422" s="11">
        <v>82</v>
      </c>
      <c r="BU422" s="13">
        <v>15999.7</v>
      </c>
      <c r="BV422" s="11">
        <v>6</v>
      </c>
      <c r="BW422" s="11"/>
      <c r="BX422" s="13"/>
      <c r="BY422" s="11"/>
      <c r="BZ422" s="12"/>
      <c r="CA422" s="12"/>
      <c r="CB422" s="11">
        <v>5</v>
      </c>
      <c r="CC422" s="13">
        <v>1096.97</v>
      </c>
      <c r="CD422" s="11">
        <v>6</v>
      </c>
      <c r="CE422" s="11"/>
      <c r="CF422" s="13"/>
      <c r="CG422" s="11"/>
      <c r="CH422" s="12"/>
      <c r="CI422" s="12"/>
      <c r="CJ422" s="11"/>
      <c r="CK422" s="13"/>
      <c r="CL422" s="11"/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>
        <v>14</v>
      </c>
      <c r="DA422" s="13">
        <v>1312.78</v>
      </c>
      <c r="DB422" s="11">
        <v>2</v>
      </c>
      <c r="DC422" s="11"/>
      <c r="DD422" s="13"/>
      <c r="DE422" s="11"/>
      <c r="DF422" s="12"/>
      <c r="DG422" s="12"/>
      <c r="DH422" s="11"/>
      <c r="DI422" s="13"/>
      <c r="DJ422" s="11"/>
      <c r="DK422" s="11"/>
      <c r="DL422" s="13"/>
      <c r="DM422" s="11"/>
      <c r="DN422" s="12"/>
      <c r="DO422" s="12"/>
      <c r="DP422" s="11"/>
      <c r="DQ422" s="13"/>
      <c r="DR422" s="11">
        <v>1</v>
      </c>
      <c r="DS422" s="11"/>
      <c r="DT422" s="13"/>
      <c r="DU422" s="11"/>
      <c r="DV422" s="12"/>
      <c r="DW422" s="12"/>
      <c r="DX422" s="11"/>
      <c r="DY422" s="13"/>
      <c r="DZ422" s="11"/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>
        <v>6</v>
      </c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>
        <v>4</v>
      </c>
      <c r="FO422" s="11"/>
      <c r="FP422" s="13"/>
      <c r="FQ422" s="11"/>
      <c r="FR422" s="12"/>
      <c r="FS422" s="12"/>
      <c r="FT422" s="11"/>
      <c r="FU422" s="13"/>
      <c r="FV422" s="11">
        <v>1</v>
      </c>
      <c r="FW422" s="11"/>
      <c r="FX422" s="13"/>
      <c r="FY422" s="11"/>
      <c r="FZ422" s="12"/>
      <c r="GA422" s="12"/>
      <c r="GB422" s="11"/>
      <c r="GC422" s="13"/>
      <c r="GD422" s="11">
        <v>1</v>
      </c>
      <c r="GE422" s="11"/>
      <c r="GF422" s="13"/>
      <c r="GG422" s="11"/>
      <c r="GH422" s="12"/>
      <c r="GI422" s="12"/>
      <c r="GJ422" s="11"/>
      <c r="GK422" s="13"/>
      <c r="GL422" s="11">
        <v>6</v>
      </c>
      <c r="GM422" s="11"/>
      <c r="GN422" s="13"/>
      <c r="GO422" s="11"/>
      <c r="GP422" s="12"/>
      <c r="GQ422" s="12"/>
      <c r="GR422" s="11"/>
      <c r="GS422" s="13"/>
      <c r="GT422" s="11">
        <v>6</v>
      </c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  <c r="LH422" s="11"/>
      <c r="LI422" s="13"/>
      <c r="LJ422" s="11"/>
      <c r="LK422" s="11"/>
      <c r="LL422" s="13"/>
      <c r="LM422" s="11"/>
      <c r="LN422" s="12"/>
      <c r="LO422" s="12"/>
      <c r="LP422" s="11"/>
      <c r="LQ422" s="13"/>
      <c r="LR422" s="11"/>
      <c r="LS422" s="11"/>
      <c r="LT422" s="13"/>
      <c r="LU422" s="11"/>
      <c r="LV422" s="12"/>
      <c r="LW422" s="12"/>
    </row>
    <row r="423">
      <c r="A423" s="10" t="s">
        <v>227</v>
      </c>
      <c r="B423" s="10" t="s">
        <v>163</v>
      </c>
      <c r="C423" s="10" t="s">
        <v>229</v>
      </c>
      <c r="D423" s="11">
        <v>132</v>
      </c>
      <c r="E423" s="11">
        <f>=ROUNDDOWN(44,0)</f>
      </c>
      <c r="F423" s="11">
        <v>70</v>
      </c>
      <c r="G423" s="12"/>
      <c r="H423" s="11"/>
      <c r="I423" s="11">
        <f>=ROUNDDOWN({0},0)</f>
      </c>
      <c r="J423" s="11"/>
      <c r="K423" s="12"/>
      <c r="L423" s="11">
        <v>36</v>
      </c>
      <c r="M423" s="13">
        <v>19772.48</v>
      </c>
      <c r="N423" s="11">
        <v>2</v>
      </c>
      <c r="O423" s="14">
        <v>9886.24</v>
      </c>
      <c r="P423" s="11"/>
      <c r="Q423" s="13"/>
      <c r="R423" s="11"/>
      <c r="S423" s="14"/>
      <c r="T423" s="12"/>
      <c r="U423" s="12"/>
      <c r="V423" s="12"/>
      <c r="W423" s="12"/>
      <c r="X423" s="11">
        <v>2</v>
      </c>
      <c r="Y423" s="13">
        <v>1202.04</v>
      </c>
      <c r="Z423" s="11">
        <v>2</v>
      </c>
      <c r="AA423" s="11"/>
      <c r="AB423" s="13"/>
      <c r="AC423" s="11"/>
      <c r="AD423" s="12"/>
      <c r="AE423" s="12"/>
      <c r="AF423" s="11">
        <v>16</v>
      </c>
      <c r="AG423" s="13">
        <v>7751.03</v>
      </c>
      <c r="AH423" s="11">
        <v>2</v>
      </c>
      <c r="AI423" s="11"/>
      <c r="AJ423" s="13"/>
      <c r="AK423" s="11"/>
      <c r="AL423" s="12"/>
      <c r="AM423" s="12"/>
      <c r="AN423" s="11"/>
      <c r="AO423" s="13"/>
      <c r="AP423" s="11">
        <v>1</v>
      </c>
      <c r="AQ423" s="11"/>
      <c r="AR423" s="13"/>
      <c r="AS423" s="11"/>
      <c r="AT423" s="12"/>
      <c r="AU423" s="12"/>
      <c r="AV423" s="11"/>
      <c r="AW423" s="13"/>
      <c r="AX423" s="11"/>
      <c r="AY423" s="11"/>
      <c r="AZ423" s="13"/>
      <c r="BA423" s="11"/>
      <c r="BB423" s="12"/>
      <c r="BC423" s="12"/>
      <c r="BD423" s="11"/>
      <c r="BE423" s="13"/>
      <c r="BF423" s="11"/>
      <c r="BG423" s="11"/>
      <c r="BH423" s="13"/>
      <c r="BI423" s="11"/>
      <c r="BJ423" s="12"/>
      <c r="BK423" s="12"/>
      <c r="BL423" s="11">
        <v>14</v>
      </c>
      <c r="BM423" s="13">
        <v>8537.76</v>
      </c>
      <c r="BN423" s="11">
        <v>2</v>
      </c>
      <c r="BO423" s="11"/>
      <c r="BP423" s="13"/>
      <c r="BQ423" s="11"/>
      <c r="BR423" s="12"/>
      <c r="BS423" s="12"/>
      <c r="BT423" s="11">
        <v>4</v>
      </c>
      <c r="BU423" s="13">
        <v>2281.65</v>
      </c>
      <c r="BV423" s="11">
        <v>2</v>
      </c>
      <c r="BW423" s="11"/>
      <c r="BX423" s="13"/>
      <c r="BY423" s="11"/>
      <c r="BZ423" s="12"/>
      <c r="CA423" s="12"/>
      <c r="CB423" s="11"/>
      <c r="CC423" s="13"/>
      <c r="CD423" s="11"/>
      <c r="CE423" s="11"/>
      <c r="CF423" s="13"/>
      <c r="CG423" s="11"/>
      <c r="CH423" s="12"/>
      <c r="CI423" s="12"/>
      <c r="CJ423" s="11"/>
      <c r="CK423" s="13"/>
      <c r="CL423" s="11">
        <v>2</v>
      </c>
      <c r="CM423" s="11"/>
      <c r="CN423" s="13"/>
      <c r="CO423" s="11"/>
      <c r="CP423" s="12"/>
      <c r="CQ423" s="12"/>
      <c r="CR423" s="11"/>
      <c r="CS423" s="13"/>
      <c r="CT423" s="11"/>
      <c r="CU423" s="11"/>
      <c r="CV423" s="13"/>
      <c r="CW423" s="11"/>
      <c r="CX423" s="12"/>
      <c r="CY423" s="12"/>
      <c r="CZ423" s="11"/>
      <c r="DA423" s="13"/>
      <c r="DB423" s="11"/>
      <c r="DC423" s="11"/>
      <c r="DD423" s="13"/>
      <c r="DE423" s="11"/>
      <c r="DF423" s="12"/>
      <c r="DG423" s="12"/>
      <c r="DH423" s="11"/>
      <c r="DI423" s="13"/>
      <c r="DJ423" s="11"/>
      <c r="DK423" s="11"/>
      <c r="DL423" s="13"/>
      <c r="DM423" s="11"/>
      <c r="DN423" s="12"/>
      <c r="DO423" s="12"/>
      <c r="DP423" s="11"/>
      <c r="DQ423" s="13"/>
      <c r="DR423" s="11"/>
      <c r="DS423" s="11"/>
      <c r="DT423" s="13"/>
      <c r="DU423" s="11"/>
      <c r="DV423" s="12"/>
      <c r="DW423" s="12"/>
      <c r="DX423" s="11"/>
      <c r="DY423" s="13"/>
      <c r="DZ423" s="11"/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>
        <v>2</v>
      </c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/>
      <c r="FM423" s="13"/>
      <c r="FN423" s="11"/>
      <c r="FO423" s="11"/>
      <c r="FP423" s="13"/>
      <c r="FQ423" s="11"/>
      <c r="FR423" s="12"/>
      <c r="FS423" s="12"/>
      <c r="FT423" s="11"/>
      <c r="FU423" s="13"/>
      <c r="FV423" s="11">
        <v>2</v>
      </c>
      <c r="FW423" s="11"/>
      <c r="FX423" s="13"/>
      <c r="FY423" s="11"/>
      <c r="FZ423" s="12"/>
      <c r="GA423" s="12"/>
      <c r="GB423" s="11"/>
      <c r="GC423" s="13"/>
      <c r="GD423" s="11"/>
      <c r="GE423" s="11"/>
      <c r="GF423" s="13"/>
      <c r="GG423" s="11"/>
      <c r="GH423" s="12"/>
      <c r="GI423" s="12"/>
      <c r="GJ423" s="11"/>
      <c r="GK423" s="13"/>
      <c r="GL423" s="11">
        <v>2</v>
      </c>
      <c r="GM423" s="11"/>
      <c r="GN423" s="13"/>
      <c r="GO423" s="11"/>
      <c r="GP423" s="12"/>
      <c r="GQ423" s="12"/>
      <c r="GR423" s="11"/>
      <c r="GS423" s="13"/>
      <c r="GT423" s="11">
        <v>1</v>
      </c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  <c r="LH423" s="11"/>
      <c r="LI423" s="13"/>
      <c r="LJ423" s="11"/>
      <c r="LK423" s="11"/>
      <c r="LL423" s="13"/>
      <c r="LM423" s="11"/>
      <c r="LN423" s="12"/>
      <c r="LO423" s="12"/>
      <c r="LP423" s="11"/>
      <c r="LQ423" s="13"/>
      <c r="LR423" s="11"/>
      <c r="LS423" s="11"/>
      <c r="LT423" s="13"/>
      <c r="LU423" s="11"/>
      <c r="LV423" s="12"/>
      <c r="LW423" s="12"/>
    </row>
    <row r="424">
      <c r="A424" s="10" t="s">
        <v>227</v>
      </c>
      <c r="B424" s="10" t="s">
        <v>163</v>
      </c>
      <c r="C424" s="10" t="s">
        <v>230</v>
      </c>
      <c r="D424" s="11">
        <v>217</v>
      </c>
      <c r="E424" s="11">
        <f>=ROUNDDOWN(31,0)</f>
      </c>
      <c r="F424" s="11"/>
      <c r="G424" s="12">
        <v>0.2935</v>
      </c>
      <c r="H424" s="11"/>
      <c r="I424" s="11">
        <f>=ROUNDDOWN({0},0)</f>
      </c>
      <c r="J424" s="11"/>
      <c r="K424" s="12"/>
      <c r="L424" s="11">
        <v>30</v>
      </c>
      <c r="M424" s="13">
        <v>5781.58</v>
      </c>
      <c r="N424" s="11">
        <v>1</v>
      </c>
      <c r="O424" s="14">
        <v>5781.58</v>
      </c>
      <c r="P424" s="11"/>
      <c r="Q424" s="13"/>
      <c r="R424" s="11"/>
      <c r="S424" s="14"/>
      <c r="T424" s="12"/>
      <c r="U424" s="12"/>
      <c r="V424" s="12"/>
      <c r="W424" s="12"/>
      <c r="X424" s="11">
        <v>2</v>
      </c>
      <c r="Y424" s="13">
        <v>443.11</v>
      </c>
      <c r="Z424" s="11">
        <v>1</v>
      </c>
      <c r="AA424" s="11"/>
      <c r="AB424" s="13"/>
      <c r="AC424" s="11"/>
      <c r="AD424" s="12"/>
      <c r="AE424" s="12"/>
      <c r="AF424" s="11">
        <v>10</v>
      </c>
      <c r="AG424" s="13">
        <v>1927.7</v>
      </c>
      <c r="AH424" s="11">
        <v>1</v>
      </c>
      <c r="AI424" s="11"/>
      <c r="AJ424" s="13"/>
      <c r="AK424" s="11"/>
      <c r="AL424" s="12"/>
      <c r="AM424" s="12"/>
      <c r="AN424" s="11">
        <v>1</v>
      </c>
      <c r="AO424" s="13">
        <v>158.53</v>
      </c>
      <c r="AP424" s="11">
        <v>1</v>
      </c>
      <c r="AQ424" s="11"/>
      <c r="AR424" s="13"/>
      <c r="AS424" s="11"/>
      <c r="AT424" s="12"/>
      <c r="AU424" s="12"/>
      <c r="AV424" s="11">
        <v>7</v>
      </c>
      <c r="AW424" s="13">
        <v>1222.48</v>
      </c>
      <c r="AX424" s="11">
        <v>1</v>
      </c>
      <c r="AY424" s="11"/>
      <c r="AZ424" s="13"/>
      <c r="BA424" s="11"/>
      <c r="BB424" s="12"/>
      <c r="BC424" s="12"/>
      <c r="BD424" s="11"/>
      <c r="BE424" s="13"/>
      <c r="BF424" s="11">
        <v>1</v>
      </c>
      <c r="BG424" s="11"/>
      <c r="BH424" s="13"/>
      <c r="BI424" s="11"/>
      <c r="BJ424" s="12"/>
      <c r="BK424" s="12"/>
      <c r="BL424" s="11">
        <v>3</v>
      </c>
      <c r="BM424" s="13">
        <v>601.98</v>
      </c>
      <c r="BN424" s="11">
        <v>1</v>
      </c>
      <c r="BO424" s="11"/>
      <c r="BP424" s="13"/>
      <c r="BQ424" s="11"/>
      <c r="BR424" s="12"/>
      <c r="BS424" s="12"/>
      <c r="BT424" s="11">
        <v>5</v>
      </c>
      <c r="BU424" s="13">
        <v>1095.66</v>
      </c>
      <c r="BV424" s="11">
        <v>1</v>
      </c>
      <c r="BW424" s="11"/>
      <c r="BX424" s="13"/>
      <c r="BY424" s="11"/>
      <c r="BZ424" s="12"/>
      <c r="CA424" s="12"/>
      <c r="CB424" s="11"/>
      <c r="CC424" s="13"/>
      <c r="CD424" s="11">
        <v>1</v>
      </c>
      <c r="CE424" s="11"/>
      <c r="CF424" s="13"/>
      <c r="CG424" s="11"/>
      <c r="CH424" s="12"/>
      <c r="CI424" s="12"/>
      <c r="CJ424" s="11"/>
      <c r="CK424" s="13"/>
      <c r="CL424" s="11"/>
      <c r="CM424" s="11"/>
      <c r="CN424" s="13"/>
      <c r="CO424" s="11"/>
      <c r="CP424" s="12"/>
      <c r="CQ424" s="12"/>
      <c r="CR424" s="11"/>
      <c r="CS424" s="13"/>
      <c r="CT424" s="11"/>
      <c r="CU424" s="11"/>
      <c r="CV424" s="13"/>
      <c r="CW424" s="11"/>
      <c r="CX424" s="12"/>
      <c r="CY424" s="12"/>
      <c r="CZ424" s="11">
        <v>1</v>
      </c>
      <c r="DA424" s="13">
        <v>163.72</v>
      </c>
      <c r="DB424" s="11">
        <v>1</v>
      </c>
      <c r="DC424" s="11"/>
      <c r="DD424" s="13"/>
      <c r="DE424" s="11"/>
      <c r="DF424" s="12"/>
      <c r="DG424" s="12"/>
      <c r="DH424" s="11"/>
      <c r="DI424" s="13"/>
      <c r="DJ424" s="11"/>
      <c r="DK424" s="11"/>
      <c r="DL424" s="13"/>
      <c r="DM424" s="11"/>
      <c r="DN424" s="12"/>
      <c r="DO424" s="12"/>
      <c r="DP424" s="11"/>
      <c r="DQ424" s="13"/>
      <c r="DR424" s="11"/>
      <c r="DS424" s="11"/>
      <c r="DT424" s="13"/>
      <c r="DU424" s="11"/>
      <c r="DV424" s="12"/>
      <c r="DW424" s="12"/>
      <c r="DX424" s="11"/>
      <c r="DY424" s="13"/>
      <c r="DZ424" s="11"/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>
        <v>1</v>
      </c>
      <c r="EQ424" s="11"/>
      <c r="ER424" s="13"/>
      <c r="ES424" s="11"/>
      <c r="ET424" s="12"/>
      <c r="EU424" s="12"/>
      <c r="EV424" s="11"/>
      <c r="EW424" s="13"/>
      <c r="EX424" s="11"/>
      <c r="EY424" s="11"/>
      <c r="EZ424" s="13"/>
      <c r="FA424" s="11"/>
      <c r="FB424" s="12"/>
      <c r="FC424" s="12"/>
      <c r="FD424" s="11"/>
      <c r="FE424" s="13"/>
      <c r="FF424" s="11"/>
      <c r="FG424" s="11"/>
      <c r="FH424" s="13"/>
      <c r="FI424" s="11"/>
      <c r="FJ424" s="12"/>
      <c r="FK424" s="12"/>
      <c r="FL424" s="11"/>
      <c r="FM424" s="13"/>
      <c r="FN424" s="11"/>
      <c r="FO424" s="11"/>
      <c r="FP424" s="13"/>
      <c r="FQ424" s="11"/>
      <c r="FR424" s="12"/>
      <c r="FS424" s="12"/>
      <c r="FT424" s="11"/>
      <c r="FU424" s="13"/>
      <c r="FV424" s="11"/>
      <c r="FW424" s="11"/>
      <c r="FX424" s="13"/>
      <c r="FY424" s="11"/>
      <c r="FZ424" s="12"/>
      <c r="GA424" s="12"/>
      <c r="GB424" s="11"/>
      <c r="GC424" s="13"/>
      <c r="GD424" s="11">
        <v>1</v>
      </c>
      <c r="GE424" s="11"/>
      <c r="GF424" s="13"/>
      <c r="GG424" s="11"/>
      <c r="GH424" s="12"/>
      <c r="GI424" s="12"/>
      <c r="GJ424" s="11">
        <v>1</v>
      </c>
      <c r="GK424" s="13">
        <v>168.4</v>
      </c>
      <c r="GL424" s="11">
        <v>1</v>
      </c>
      <c r="GM424" s="11"/>
      <c r="GN424" s="13"/>
      <c r="GO424" s="11"/>
      <c r="GP424" s="12"/>
      <c r="GQ424" s="12"/>
      <c r="GR424" s="11"/>
      <c r="GS424" s="13"/>
      <c r="GT424" s="11">
        <v>1</v>
      </c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/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  <c r="LH424" s="11"/>
      <c r="LI424" s="13"/>
      <c r="LJ424" s="11"/>
      <c r="LK424" s="11"/>
      <c r="LL424" s="13"/>
      <c r="LM424" s="11"/>
      <c r="LN424" s="12"/>
      <c r="LO424" s="12"/>
      <c r="LP424" s="11"/>
      <c r="LQ424" s="13"/>
      <c r="LR424" s="11"/>
      <c r="LS424" s="11"/>
      <c r="LT424" s="13"/>
      <c r="LU424" s="11"/>
      <c r="LV424" s="12"/>
      <c r="LW424" s="12"/>
    </row>
    <row r="425">
      <c r="A425" s="10" t="s">
        <v>227</v>
      </c>
      <c r="B425" s="10" t="s">
        <v>163</v>
      </c>
      <c r="C425" s="10" t="s">
        <v>218</v>
      </c>
      <c r="D425" s="11">
        <v>887</v>
      </c>
      <c r="E425" s="11">
        <f>=ROUNDDOWN(8.69607843137255,0)</f>
      </c>
      <c r="F425" s="11">
        <v>2269</v>
      </c>
      <c r="G425" s="12">
        <v>0.9614</v>
      </c>
      <c r="H425" s="11"/>
      <c r="I425" s="11">
        <f>=ROUNDDOWN({0},0)</f>
      </c>
      <c r="J425" s="11"/>
      <c r="K425" s="12"/>
      <c r="L425" s="11">
        <v>1187</v>
      </c>
      <c r="M425" s="13">
        <v>257341.89</v>
      </c>
      <c r="N425" s="11">
        <v>8</v>
      </c>
      <c r="O425" s="14">
        <v>32167.74</v>
      </c>
      <c r="P425" s="11"/>
      <c r="Q425" s="13"/>
      <c r="R425" s="11"/>
      <c r="S425" s="14"/>
      <c r="T425" s="12"/>
      <c r="U425" s="12"/>
      <c r="V425" s="12"/>
      <c r="W425" s="12"/>
      <c r="X425" s="11">
        <v>87</v>
      </c>
      <c r="Y425" s="13">
        <v>20945.85</v>
      </c>
      <c r="Z425" s="11">
        <v>8</v>
      </c>
      <c r="AA425" s="11"/>
      <c r="AB425" s="13"/>
      <c r="AC425" s="11"/>
      <c r="AD425" s="12"/>
      <c r="AE425" s="12"/>
      <c r="AF425" s="11">
        <v>669</v>
      </c>
      <c r="AG425" s="13">
        <v>136338.11</v>
      </c>
      <c r="AH425" s="11">
        <v>8</v>
      </c>
      <c r="AI425" s="11"/>
      <c r="AJ425" s="13"/>
      <c r="AK425" s="11"/>
      <c r="AL425" s="12"/>
      <c r="AM425" s="12"/>
      <c r="AN425" s="11">
        <v>32</v>
      </c>
      <c r="AO425" s="13">
        <v>7780.21</v>
      </c>
      <c r="AP425" s="11">
        <v>7</v>
      </c>
      <c r="AQ425" s="11"/>
      <c r="AR425" s="13"/>
      <c r="AS425" s="11"/>
      <c r="AT425" s="12"/>
      <c r="AU425" s="12"/>
      <c r="AV425" s="11"/>
      <c r="AW425" s="13"/>
      <c r="AX425" s="11">
        <v>5</v>
      </c>
      <c r="AY425" s="11"/>
      <c r="AZ425" s="13"/>
      <c r="BA425" s="11"/>
      <c r="BB425" s="12"/>
      <c r="BC425" s="12"/>
      <c r="BD425" s="11">
        <v>174</v>
      </c>
      <c r="BE425" s="13">
        <v>33129.93</v>
      </c>
      <c r="BF425" s="11">
        <v>7</v>
      </c>
      <c r="BG425" s="11"/>
      <c r="BH425" s="13"/>
      <c r="BI425" s="11"/>
      <c r="BJ425" s="12"/>
      <c r="BK425" s="12"/>
      <c r="BL425" s="11">
        <v>147</v>
      </c>
      <c r="BM425" s="13">
        <v>40189.16</v>
      </c>
      <c r="BN425" s="11">
        <v>8</v>
      </c>
      <c r="BO425" s="11"/>
      <c r="BP425" s="13"/>
      <c r="BQ425" s="11"/>
      <c r="BR425" s="12"/>
      <c r="BS425" s="12"/>
      <c r="BT425" s="11">
        <v>35</v>
      </c>
      <c r="BU425" s="13">
        <v>9768.8</v>
      </c>
      <c r="BV425" s="11">
        <v>8</v>
      </c>
      <c r="BW425" s="11"/>
      <c r="BX425" s="13"/>
      <c r="BY425" s="11"/>
      <c r="BZ425" s="12"/>
      <c r="CA425" s="12"/>
      <c r="CB425" s="11"/>
      <c r="CC425" s="13"/>
      <c r="CD425" s="11">
        <v>8</v>
      </c>
      <c r="CE425" s="11"/>
      <c r="CF425" s="13"/>
      <c r="CG425" s="11"/>
      <c r="CH425" s="12"/>
      <c r="CI425" s="12"/>
      <c r="CJ425" s="11"/>
      <c r="CK425" s="13"/>
      <c r="CL425" s="11"/>
      <c r="CM425" s="11"/>
      <c r="CN425" s="13"/>
      <c r="CO425" s="11"/>
      <c r="CP425" s="12"/>
      <c r="CQ425" s="12"/>
      <c r="CR425" s="11"/>
      <c r="CS425" s="13"/>
      <c r="CT425" s="11"/>
      <c r="CU425" s="11"/>
      <c r="CV425" s="13"/>
      <c r="CW425" s="11"/>
      <c r="CX425" s="12"/>
      <c r="CY425" s="12"/>
      <c r="CZ425" s="11">
        <v>43</v>
      </c>
      <c r="DA425" s="13">
        <v>9189.83</v>
      </c>
      <c r="DB425" s="11">
        <v>4</v>
      </c>
      <c r="DC425" s="11"/>
      <c r="DD425" s="13"/>
      <c r="DE425" s="11"/>
      <c r="DF425" s="12"/>
      <c r="DG425" s="12"/>
      <c r="DH425" s="11"/>
      <c r="DI425" s="13"/>
      <c r="DJ425" s="11"/>
      <c r="DK425" s="11"/>
      <c r="DL425" s="13"/>
      <c r="DM425" s="11"/>
      <c r="DN425" s="12"/>
      <c r="DO425" s="12"/>
      <c r="DP425" s="11"/>
      <c r="DQ425" s="13"/>
      <c r="DR425" s="11">
        <v>1</v>
      </c>
      <c r="DS425" s="11"/>
      <c r="DT425" s="13"/>
      <c r="DU425" s="11"/>
      <c r="DV425" s="12"/>
      <c r="DW425" s="12"/>
      <c r="DX425" s="11"/>
      <c r="DY425" s="13"/>
      <c r="DZ425" s="11"/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>
        <v>8</v>
      </c>
      <c r="EQ425" s="11"/>
      <c r="ER425" s="13"/>
      <c r="ES425" s="11"/>
      <c r="ET425" s="12"/>
      <c r="EU425" s="12"/>
      <c r="EV425" s="11"/>
      <c r="EW425" s="13"/>
      <c r="EX425" s="11"/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>
        <v>5</v>
      </c>
      <c r="FO425" s="11"/>
      <c r="FP425" s="13"/>
      <c r="FQ425" s="11"/>
      <c r="FR425" s="12"/>
      <c r="FS425" s="12"/>
      <c r="FT425" s="11"/>
      <c r="FU425" s="13"/>
      <c r="FV425" s="11">
        <v>2</v>
      </c>
      <c r="FW425" s="11"/>
      <c r="FX425" s="13"/>
      <c r="FY425" s="11"/>
      <c r="FZ425" s="12"/>
      <c r="GA425" s="12"/>
      <c r="GB425" s="11"/>
      <c r="GC425" s="13"/>
      <c r="GD425" s="11">
        <v>1</v>
      </c>
      <c r="GE425" s="11"/>
      <c r="GF425" s="13"/>
      <c r="GG425" s="11"/>
      <c r="GH425" s="12"/>
      <c r="GI425" s="12"/>
      <c r="GJ425" s="11"/>
      <c r="GK425" s="13"/>
      <c r="GL425" s="11">
        <v>8</v>
      </c>
      <c r="GM425" s="11"/>
      <c r="GN425" s="13"/>
      <c r="GO425" s="11"/>
      <c r="GP425" s="12"/>
      <c r="GQ425" s="12"/>
      <c r="GR425" s="11"/>
      <c r="GS425" s="13"/>
      <c r="GT425" s="11">
        <v>6</v>
      </c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/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/>
      <c r="JW425" s="11"/>
      <c r="JX425" s="13"/>
      <c r="JY425" s="11"/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/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  <c r="LH425" s="11"/>
      <c r="LI425" s="13"/>
      <c r="LJ425" s="11"/>
      <c r="LK425" s="11"/>
      <c r="LL425" s="13"/>
      <c r="LM425" s="11"/>
      <c r="LN425" s="12"/>
      <c r="LO425" s="12"/>
      <c r="LP425" s="11"/>
      <c r="LQ425" s="13"/>
      <c r="LR425" s="11"/>
      <c r="LS425" s="11"/>
      <c r="LT425" s="13"/>
      <c r="LU425" s="11"/>
      <c r="LV425" s="12"/>
      <c r="LW425" s="12"/>
    </row>
    <row r="426">
      <c r="A426" s="10" t="s">
        <v>227</v>
      </c>
      <c r="B426" s="10" t="s">
        <v>163</v>
      </c>
      <c r="C426" s="10" t="s">
        <v>219</v>
      </c>
      <c r="D426" s="11">
        <v>57</v>
      </c>
      <c r="E426" s="11">
        <f>=ROUNDDOWN(14.25,0)</f>
      </c>
      <c r="F426" s="11"/>
      <c r="G426" s="12"/>
      <c r="H426" s="11"/>
      <c r="I426" s="11">
        <f>=ROUNDDOWN({0},0)</f>
      </c>
      <c r="J426" s="11"/>
      <c r="K426" s="12"/>
      <c r="L426" s="11">
        <v>56</v>
      </c>
      <c r="M426" s="13">
        <v>11658.95</v>
      </c>
      <c r="N426" s="11">
        <v>1</v>
      </c>
      <c r="O426" s="14">
        <v>11658.95</v>
      </c>
      <c r="P426" s="11"/>
      <c r="Q426" s="13"/>
      <c r="R426" s="11"/>
      <c r="S426" s="14"/>
      <c r="T426" s="12"/>
      <c r="U426" s="12"/>
      <c r="V426" s="12"/>
      <c r="W426" s="12"/>
      <c r="X426" s="11"/>
      <c r="Y426" s="13"/>
      <c r="Z426" s="11">
        <v>1</v>
      </c>
      <c r="AA426" s="11"/>
      <c r="AB426" s="13"/>
      <c r="AC426" s="11"/>
      <c r="AD426" s="12"/>
      <c r="AE426" s="12"/>
      <c r="AF426" s="11">
        <v>17</v>
      </c>
      <c r="AG426" s="13">
        <v>3495.42</v>
      </c>
      <c r="AH426" s="11">
        <v>1</v>
      </c>
      <c r="AI426" s="11"/>
      <c r="AJ426" s="13"/>
      <c r="AK426" s="11"/>
      <c r="AL426" s="12"/>
      <c r="AM426" s="12"/>
      <c r="AN426" s="11"/>
      <c r="AO426" s="13"/>
      <c r="AP426" s="11">
        <v>1</v>
      </c>
      <c r="AQ426" s="11"/>
      <c r="AR426" s="13"/>
      <c r="AS426" s="11"/>
      <c r="AT426" s="12"/>
      <c r="AU426" s="12"/>
      <c r="AV426" s="11">
        <v>2</v>
      </c>
      <c r="AW426" s="13">
        <v>564.48</v>
      </c>
      <c r="AX426" s="11">
        <v>1</v>
      </c>
      <c r="AY426" s="11"/>
      <c r="AZ426" s="13"/>
      <c r="BA426" s="11"/>
      <c r="BB426" s="12"/>
      <c r="BC426" s="12"/>
      <c r="BD426" s="11"/>
      <c r="BE426" s="13"/>
      <c r="BF426" s="11"/>
      <c r="BG426" s="11"/>
      <c r="BH426" s="13"/>
      <c r="BI426" s="11"/>
      <c r="BJ426" s="12"/>
      <c r="BK426" s="12"/>
      <c r="BL426" s="11">
        <v>4</v>
      </c>
      <c r="BM426" s="13">
        <v>1072.41</v>
      </c>
      <c r="BN426" s="11">
        <v>1</v>
      </c>
      <c r="BO426" s="11"/>
      <c r="BP426" s="13"/>
      <c r="BQ426" s="11"/>
      <c r="BR426" s="12"/>
      <c r="BS426" s="12"/>
      <c r="BT426" s="11">
        <v>8</v>
      </c>
      <c r="BU426" s="13">
        <v>2015.75</v>
      </c>
      <c r="BV426" s="11">
        <v>1</v>
      </c>
      <c r="BW426" s="11"/>
      <c r="BX426" s="13"/>
      <c r="BY426" s="11"/>
      <c r="BZ426" s="12"/>
      <c r="CA426" s="12"/>
      <c r="CB426" s="11"/>
      <c r="CC426" s="13"/>
      <c r="CD426" s="11">
        <v>1</v>
      </c>
      <c r="CE426" s="11"/>
      <c r="CF426" s="13"/>
      <c r="CG426" s="11"/>
      <c r="CH426" s="12"/>
      <c r="CI426" s="12"/>
      <c r="CJ426" s="11"/>
      <c r="CK426" s="13"/>
      <c r="CL426" s="11">
        <v>1</v>
      </c>
      <c r="CM426" s="11"/>
      <c r="CN426" s="13"/>
      <c r="CO426" s="11"/>
      <c r="CP426" s="12"/>
      <c r="CQ426" s="12"/>
      <c r="CR426" s="11"/>
      <c r="CS426" s="13"/>
      <c r="CT426" s="11"/>
      <c r="CU426" s="11"/>
      <c r="CV426" s="13"/>
      <c r="CW426" s="11"/>
      <c r="CX426" s="12"/>
      <c r="CY426" s="12"/>
      <c r="CZ426" s="11">
        <v>24</v>
      </c>
      <c r="DA426" s="13">
        <v>4250.64</v>
      </c>
      <c r="DB426" s="11"/>
      <c r="DC426" s="11"/>
      <c r="DD426" s="13"/>
      <c r="DE426" s="11"/>
      <c r="DF426" s="12"/>
      <c r="DG426" s="12"/>
      <c r="DH426" s="11"/>
      <c r="DI426" s="13"/>
      <c r="DJ426" s="11"/>
      <c r="DK426" s="11"/>
      <c r="DL426" s="13"/>
      <c r="DM426" s="11"/>
      <c r="DN426" s="12"/>
      <c r="DO426" s="12"/>
      <c r="DP426" s="11"/>
      <c r="DQ426" s="13"/>
      <c r="DR426" s="11"/>
      <c r="DS426" s="11"/>
      <c r="DT426" s="13"/>
      <c r="DU426" s="11"/>
      <c r="DV426" s="12"/>
      <c r="DW426" s="12"/>
      <c r="DX426" s="11"/>
      <c r="DY426" s="13"/>
      <c r="DZ426" s="11"/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>
        <v>1</v>
      </c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/>
      <c r="FM426" s="13"/>
      <c r="FN426" s="11"/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/>
      <c r="GC426" s="13"/>
      <c r="GD426" s="11"/>
      <c r="GE426" s="11"/>
      <c r="GF426" s="13"/>
      <c r="GG426" s="11"/>
      <c r="GH426" s="12"/>
      <c r="GI426" s="12"/>
      <c r="GJ426" s="11">
        <v>1</v>
      </c>
      <c r="GK426" s="13">
        <v>260.25</v>
      </c>
      <c r="GL426" s="11">
        <v>1</v>
      </c>
      <c r="GM426" s="11"/>
      <c r="GN426" s="13"/>
      <c r="GO426" s="11"/>
      <c r="GP426" s="12"/>
      <c r="GQ426" s="12"/>
      <c r="GR426" s="11"/>
      <c r="GS426" s="13"/>
      <c r="GT426" s="11">
        <v>1</v>
      </c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/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  <c r="LH426" s="11"/>
      <c r="LI426" s="13"/>
      <c r="LJ426" s="11"/>
      <c r="LK426" s="11"/>
      <c r="LL426" s="13"/>
      <c r="LM426" s="11"/>
      <c r="LN426" s="12"/>
      <c r="LO426" s="12"/>
      <c r="LP426" s="11"/>
      <c r="LQ426" s="13"/>
      <c r="LR426" s="11"/>
      <c r="LS426" s="11"/>
      <c r="LT426" s="13"/>
      <c r="LU426" s="11"/>
      <c r="LV426" s="12"/>
      <c r="LW426" s="12"/>
    </row>
    <row r="427">
      <c r="A427" s="10" t="s">
        <v>227</v>
      </c>
      <c r="B427" s="10" t="s">
        <v>163</v>
      </c>
      <c r="C427" s="10" t="s">
        <v>221</v>
      </c>
      <c r="D427" s="11">
        <v>51</v>
      </c>
      <c r="E427" s="11">
        <f>=ROUNDDOWN(17.5862068965517,0)</f>
      </c>
      <c r="F427" s="11"/>
      <c r="G427" s="12"/>
      <c r="H427" s="11"/>
      <c r="I427" s="11">
        <f>=ROUNDDOWN({0},0)</f>
      </c>
      <c r="J427" s="11"/>
      <c r="K427" s="12"/>
      <c r="L427" s="11">
        <v>15</v>
      </c>
      <c r="M427" s="13">
        <v>4609.08</v>
      </c>
      <c r="N427" s="11">
        <v>1</v>
      </c>
      <c r="O427" s="14">
        <v>4609.08</v>
      </c>
      <c r="P427" s="11"/>
      <c r="Q427" s="13"/>
      <c r="R427" s="11"/>
      <c r="S427" s="14"/>
      <c r="T427" s="12"/>
      <c r="U427" s="12"/>
      <c r="V427" s="12"/>
      <c r="W427" s="12"/>
      <c r="X427" s="11">
        <v>11</v>
      </c>
      <c r="Y427" s="13">
        <v>3467.75</v>
      </c>
      <c r="Z427" s="11">
        <v>1</v>
      </c>
      <c r="AA427" s="11"/>
      <c r="AB427" s="13"/>
      <c r="AC427" s="11"/>
      <c r="AD427" s="12"/>
      <c r="AE427" s="12"/>
      <c r="AF427" s="11">
        <v>2</v>
      </c>
      <c r="AG427" s="13">
        <v>601.32</v>
      </c>
      <c r="AH427" s="11">
        <v>1</v>
      </c>
      <c r="AI427" s="11"/>
      <c r="AJ427" s="13"/>
      <c r="AK427" s="11"/>
      <c r="AL427" s="12"/>
      <c r="AM427" s="12"/>
      <c r="AN427" s="11"/>
      <c r="AO427" s="13"/>
      <c r="AP427" s="11"/>
      <c r="AQ427" s="11"/>
      <c r="AR427" s="13"/>
      <c r="AS427" s="11"/>
      <c r="AT427" s="12"/>
      <c r="AU427" s="12"/>
      <c r="AV427" s="11"/>
      <c r="AW427" s="13"/>
      <c r="AX427" s="11"/>
      <c r="AY427" s="11"/>
      <c r="AZ427" s="13"/>
      <c r="BA427" s="11"/>
      <c r="BB427" s="12"/>
      <c r="BC427" s="12"/>
      <c r="BD427" s="11"/>
      <c r="BE427" s="13"/>
      <c r="BF427" s="11"/>
      <c r="BG427" s="11"/>
      <c r="BH427" s="13"/>
      <c r="BI427" s="11"/>
      <c r="BJ427" s="12"/>
      <c r="BK427" s="12"/>
      <c r="BL427" s="11"/>
      <c r="BM427" s="13"/>
      <c r="BN427" s="11">
        <v>1</v>
      </c>
      <c r="BO427" s="11"/>
      <c r="BP427" s="13"/>
      <c r="BQ427" s="11"/>
      <c r="BR427" s="12"/>
      <c r="BS427" s="12"/>
      <c r="BT427" s="11">
        <v>2</v>
      </c>
      <c r="BU427" s="13">
        <v>540.01</v>
      </c>
      <c r="BV427" s="11">
        <v>1</v>
      </c>
      <c r="BW427" s="11"/>
      <c r="BX427" s="13"/>
      <c r="BY427" s="11"/>
      <c r="BZ427" s="12"/>
      <c r="CA427" s="12"/>
      <c r="CB427" s="11"/>
      <c r="CC427" s="13"/>
      <c r="CD427" s="11">
        <v>1</v>
      </c>
      <c r="CE427" s="11"/>
      <c r="CF427" s="13"/>
      <c r="CG427" s="11"/>
      <c r="CH427" s="12"/>
      <c r="CI427" s="12"/>
      <c r="CJ427" s="11"/>
      <c r="CK427" s="13"/>
      <c r="CL427" s="11">
        <v>1</v>
      </c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/>
      <c r="DC427" s="11"/>
      <c r="DD427" s="13"/>
      <c r="DE427" s="11"/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/>
      <c r="DQ427" s="13"/>
      <c r="DR427" s="11"/>
      <c r="DS427" s="11"/>
      <c r="DT427" s="13"/>
      <c r="DU427" s="11"/>
      <c r="DV427" s="12"/>
      <c r="DW427" s="12"/>
      <c r="DX427" s="11"/>
      <c r="DY427" s="13"/>
      <c r="DZ427" s="11"/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>
        <v>1</v>
      </c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/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>
        <v>1</v>
      </c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/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/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/>
      <c r="JW427" s="11"/>
      <c r="JX427" s="13"/>
      <c r="JY427" s="11"/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  <c r="LH427" s="11"/>
      <c r="LI427" s="13"/>
      <c r="LJ427" s="11"/>
      <c r="LK427" s="11"/>
      <c r="LL427" s="13"/>
      <c r="LM427" s="11"/>
      <c r="LN427" s="12"/>
      <c r="LO427" s="12"/>
      <c r="LP427" s="11"/>
      <c r="LQ427" s="13"/>
      <c r="LR427" s="11"/>
      <c r="LS427" s="11"/>
      <c r="LT427" s="13"/>
      <c r="LU427" s="11"/>
      <c r="LV427" s="12"/>
      <c r="LW427" s="12"/>
    </row>
    <row r="428">
      <c r="A428" s="10" t="s">
        <v>227</v>
      </c>
      <c r="B428" s="10" t="s">
        <v>163</v>
      </c>
      <c r="C428" s="10" t="s">
        <v>222</v>
      </c>
      <c r="D428" s="11">
        <v>1753</v>
      </c>
      <c r="E428" s="11">
        <f>=ROUNDDOWN(16.5689981096408,0)</f>
      </c>
      <c r="F428" s="11">
        <v>2944</v>
      </c>
      <c r="G428" s="12">
        <v>0.9969</v>
      </c>
      <c r="H428" s="11"/>
      <c r="I428" s="11">
        <f>=ROUNDDOWN({0},0)</f>
      </c>
      <c r="J428" s="11">
        <v>562</v>
      </c>
      <c r="K428" s="12">
        <v>0.5109</v>
      </c>
      <c r="L428" s="11">
        <v>1585</v>
      </c>
      <c r="M428" s="13">
        <v>440130.54</v>
      </c>
      <c r="N428" s="11">
        <v>9</v>
      </c>
      <c r="O428" s="14">
        <v>48903.39</v>
      </c>
      <c r="P428" s="11"/>
      <c r="Q428" s="13"/>
      <c r="R428" s="11"/>
      <c r="S428" s="14"/>
      <c r="T428" s="12"/>
      <c r="U428" s="12"/>
      <c r="V428" s="12"/>
      <c r="W428" s="12"/>
      <c r="X428" s="11">
        <v>60</v>
      </c>
      <c r="Y428" s="13">
        <v>19342.74</v>
      </c>
      <c r="Z428" s="11">
        <v>8</v>
      </c>
      <c r="AA428" s="11"/>
      <c r="AB428" s="13"/>
      <c r="AC428" s="11"/>
      <c r="AD428" s="12"/>
      <c r="AE428" s="12"/>
      <c r="AF428" s="11">
        <v>852</v>
      </c>
      <c r="AG428" s="13">
        <v>203779.82</v>
      </c>
      <c r="AH428" s="11">
        <v>9</v>
      </c>
      <c r="AI428" s="11"/>
      <c r="AJ428" s="13"/>
      <c r="AK428" s="11"/>
      <c r="AL428" s="12"/>
      <c r="AM428" s="12"/>
      <c r="AN428" s="11">
        <v>2</v>
      </c>
      <c r="AO428" s="13">
        <v>656.36</v>
      </c>
      <c r="AP428" s="11">
        <v>7</v>
      </c>
      <c r="AQ428" s="11"/>
      <c r="AR428" s="13"/>
      <c r="AS428" s="11"/>
      <c r="AT428" s="12"/>
      <c r="AU428" s="12"/>
      <c r="AV428" s="11">
        <v>28</v>
      </c>
      <c r="AW428" s="13">
        <v>9526.2</v>
      </c>
      <c r="AX428" s="11">
        <v>8</v>
      </c>
      <c r="AY428" s="11"/>
      <c r="AZ428" s="13"/>
      <c r="BA428" s="11"/>
      <c r="BB428" s="12"/>
      <c r="BC428" s="12"/>
      <c r="BD428" s="11">
        <v>26</v>
      </c>
      <c r="BE428" s="13">
        <v>6600.54</v>
      </c>
      <c r="BF428" s="11">
        <v>5</v>
      </c>
      <c r="BG428" s="11"/>
      <c r="BH428" s="13"/>
      <c r="BI428" s="11"/>
      <c r="BJ428" s="12"/>
      <c r="BK428" s="12"/>
      <c r="BL428" s="11">
        <v>526</v>
      </c>
      <c r="BM428" s="13">
        <v>171919.92</v>
      </c>
      <c r="BN428" s="11">
        <v>9</v>
      </c>
      <c r="BO428" s="11"/>
      <c r="BP428" s="13"/>
      <c r="BQ428" s="11"/>
      <c r="BR428" s="12"/>
      <c r="BS428" s="12"/>
      <c r="BT428" s="11">
        <v>88</v>
      </c>
      <c r="BU428" s="13">
        <v>27337.22</v>
      </c>
      <c r="BV428" s="11">
        <v>9</v>
      </c>
      <c r="BW428" s="11"/>
      <c r="BX428" s="13"/>
      <c r="BY428" s="11"/>
      <c r="BZ428" s="12"/>
      <c r="CA428" s="12"/>
      <c r="CB428" s="11"/>
      <c r="CC428" s="13"/>
      <c r="CD428" s="11">
        <v>8</v>
      </c>
      <c r="CE428" s="11"/>
      <c r="CF428" s="13"/>
      <c r="CG428" s="11"/>
      <c r="CH428" s="12"/>
      <c r="CI428" s="12"/>
      <c r="CJ428" s="11"/>
      <c r="CK428" s="13"/>
      <c r="CL428" s="11">
        <v>1</v>
      </c>
      <c r="CM428" s="11"/>
      <c r="CN428" s="13"/>
      <c r="CO428" s="11"/>
      <c r="CP428" s="12"/>
      <c r="CQ428" s="12"/>
      <c r="CR428" s="11"/>
      <c r="CS428" s="13"/>
      <c r="CT428" s="11"/>
      <c r="CU428" s="11"/>
      <c r="CV428" s="13"/>
      <c r="CW428" s="11"/>
      <c r="CX428" s="12"/>
      <c r="CY428" s="12"/>
      <c r="CZ428" s="11">
        <v>2</v>
      </c>
      <c r="DA428" s="13">
        <v>643.98</v>
      </c>
      <c r="DB428" s="11">
        <v>1</v>
      </c>
      <c r="DC428" s="11"/>
      <c r="DD428" s="13"/>
      <c r="DE428" s="11"/>
      <c r="DF428" s="12"/>
      <c r="DG428" s="12"/>
      <c r="DH428" s="11"/>
      <c r="DI428" s="13"/>
      <c r="DJ428" s="11"/>
      <c r="DK428" s="11"/>
      <c r="DL428" s="13"/>
      <c r="DM428" s="11"/>
      <c r="DN428" s="12"/>
      <c r="DO428" s="12"/>
      <c r="DP428" s="11"/>
      <c r="DQ428" s="13"/>
      <c r="DR428" s="11"/>
      <c r="DS428" s="11"/>
      <c r="DT428" s="13"/>
      <c r="DU428" s="11"/>
      <c r="DV428" s="12"/>
      <c r="DW428" s="12"/>
      <c r="DX428" s="11"/>
      <c r="DY428" s="13"/>
      <c r="DZ428" s="11"/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>
        <v>6</v>
      </c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/>
      <c r="FE428" s="13"/>
      <c r="FF428" s="11"/>
      <c r="FG428" s="11"/>
      <c r="FH428" s="13"/>
      <c r="FI428" s="11"/>
      <c r="FJ428" s="12"/>
      <c r="FK428" s="12"/>
      <c r="FL428" s="11">
        <v>1</v>
      </c>
      <c r="FM428" s="13">
        <v>323.76</v>
      </c>
      <c r="FN428" s="11">
        <v>3</v>
      </c>
      <c r="FO428" s="11"/>
      <c r="FP428" s="13"/>
      <c r="FQ428" s="11"/>
      <c r="FR428" s="12"/>
      <c r="FS428" s="12"/>
      <c r="FT428" s="11"/>
      <c r="FU428" s="13"/>
      <c r="FV428" s="11">
        <v>2</v>
      </c>
      <c r="FW428" s="11"/>
      <c r="FX428" s="13"/>
      <c r="FY428" s="11"/>
      <c r="FZ428" s="12"/>
      <c r="GA428" s="12"/>
      <c r="GB428" s="11"/>
      <c r="GC428" s="13"/>
      <c r="GD428" s="11">
        <v>2</v>
      </c>
      <c r="GE428" s="11"/>
      <c r="GF428" s="13"/>
      <c r="GG428" s="11"/>
      <c r="GH428" s="12"/>
      <c r="GI428" s="12"/>
      <c r="GJ428" s="11"/>
      <c r="GK428" s="13"/>
      <c r="GL428" s="11">
        <v>3</v>
      </c>
      <c r="GM428" s="11"/>
      <c r="GN428" s="13"/>
      <c r="GO428" s="11"/>
      <c r="GP428" s="12"/>
      <c r="GQ428" s="12"/>
      <c r="GR428" s="11"/>
      <c r="GS428" s="13"/>
      <c r="GT428" s="11">
        <v>7</v>
      </c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/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/>
      <c r="JR428" s="12"/>
      <c r="JS428" s="12"/>
      <c r="JT428" s="11"/>
      <c r="JU428" s="13"/>
      <c r="JV428" s="11"/>
      <c r="JW428" s="11"/>
      <c r="JX428" s="13"/>
      <c r="JY428" s="11"/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  <c r="LH428" s="11"/>
      <c r="LI428" s="13"/>
      <c r="LJ428" s="11"/>
      <c r="LK428" s="11"/>
      <c r="LL428" s="13"/>
      <c r="LM428" s="11"/>
      <c r="LN428" s="12"/>
      <c r="LO428" s="12"/>
      <c r="LP428" s="11"/>
      <c r="LQ428" s="13"/>
      <c r="LR428" s="11"/>
      <c r="LS428" s="11"/>
      <c r="LT428" s="13"/>
      <c r="LU428" s="11"/>
      <c r="LV428" s="12"/>
      <c r="LW428" s="12"/>
    </row>
    <row r="429">
      <c r="A429" s="10" t="s">
        <v>227</v>
      </c>
      <c r="B429" s="10" t="s">
        <v>163</v>
      </c>
      <c r="C429" s="10" t="s">
        <v>223</v>
      </c>
      <c r="D429" s="11">
        <v>152</v>
      </c>
      <c r="E429" s="11">
        <f>=ROUNDDOWN(13.8181818181818,0)</f>
      </c>
      <c r="F429" s="11">
        <v>150</v>
      </c>
      <c r="G429" s="12">
        <v>1</v>
      </c>
      <c r="H429" s="11"/>
      <c r="I429" s="11">
        <f>=ROUNDDOWN({0},0)</f>
      </c>
      <c r="J429" s="11"/>
      <c r="K429" s="12"/>
      <c r="L429" s="11">
        <v>103</v>
      </c>
      <c r="M429" s="13">
        <v>14219.14</v>
      </c>
      <c r="N429" s="11">
        <v>2</v>
      </c>
      <c r="O429" s="14">
        <v>7109.57</v>
      </c>
      <c r="P429" s="11"/>
      <c r="Q429" s="13"/>
      <c r="R429" s="11"/>
      <c r="S429" s="14"/>
      <c r="T429" s="12"/>
      <c r="U429" s="12"/>
      <c r="V429" s="12"/>
      <c r="W429" s="12"/>
      <c r="X429" s="11">
        <v>9</v>
      </c>
      <c r="Y429" s="13">
        <v>1287.1</v>
      </c>
      <c r="Z429" s="11">
        <v>2</v>
      </c>
      <c r="AA429" s="11"/>
      <c r="AB429" s="13"/>
      <c r="AC429" s="11"/>
      <c r="AD429" s="12"/>
      <c r="AE429" s="12"/>
      <c r="AF429" s="11">
        <v>46</v>
      </c>
      <c r="AG429" s="13">
        <v>6020.58</v>
      </c>
      <c r="AH429" s="11">
        <v>2</v>
      </c>
      <c r="AI429" s="11"/>
      <c r="AJ429" s="13"/>
      <c r="AK429" s="11"/>
      <c r="AL429" s="12"/>
      <c r="AM429" s="12"/>
      <c r="AN429" s="11"/>
      <c r="AO429" s="13"/>
      <c r="AP429" s="11">
        <v>2</v>
      </c>
      <c r="AQ429" s="11"/>
      <c r="AR429" s="13"/>
      <c r="AS429" s="11"/>
      <c r="AT429" s="12"/>
      <c r="AU429" s="12"/>
      <c r="AV429" s="11"/>
      <c r="AW429" s="13"/>
      <c r="AX429" s="11"/>
      <c r="AY429" s="11"/>
      <c r="AZ429" s="13"/>
      <c r="BA429" s="11"/>
      <c r="BB429" s="12"/>
      <c r="BC429" s="12"/>
      <c r="BD429" s="11"/>
      <c r="BE429" s="13"/>
      <c r="BF429" s="11"/>
      <c r="BG429" s="11"/>
      <c r="BH429" s="13"/>
      <c r="BI429" s="11"/>
      <c r="BJ429" s="12"/>
      <c r="BK429" s="12"/>
      <c r="BL429" s="11">
        <v>28</v>
      </c>
      <c r="BM429" s="13">
        <v>4061.04</v>
      </c>
      <c r="BN429" s="11">
        <v>2</v>
      </c>
      <c r="BO429" s="11"/>
      <c r="BP429" s="13"/>
      <c r="BQ429" s="11"/>
      <c r="BR429" s="12"/>
      <c r="BS429" s="12"/>
      <c r="BT429" s="11">
        <v>20</v>
      </c>
      <c r="BU429" s="13">
        <v>2850.42</v>
      </c>
      <c r="BV429" s="11">
        <v>2</v>
      </c>
      <c r="BW429" s="11"/>
      <c r="BX429" s="13"/>
      <c r="BY429" s="11"/>
      <c r="BZ429" s="12"/>
      <c r="CA429" s="12"/>
      <c r="CB429" s="11"/>
      <c r="CC429" s="13"/>
      <c r="CD429" s="11">
        <v>2</v>
      </c>
      <c r="CE429" s="11"/>
      <c r="CF429" s="13"/>
      <c r="CG429" s="11"/>
      <c r="CH429" s="12"/>
      <c r="CI429" s="12"/>
      <c r="CJ429" s="11"/>
      <c r="CK429" s="13"/>
      <c r="CL429" s="11">
        <v>2</v>
      </c>
      <c r="CM429" s="11"/>
      <c r="CN429" s="13"/>
      <c r="CO429" s="11"/>
      <c r="CP429" s="12"/>
      <c r="CQ429" s="12"/>
      <c r="CR429" s="11"/>
      <c r="CS429" s="13"/>
      <c r="CT429" s="11"/>
      <c r="CU429" s="11"/>
      <c r="CV429" s="13"/>
      <c r="CW429" s="11"/>
      <c r="CX429" s="12"/>
      <c r="CY429" s="12"/>
      <c r="CZ429" s="11"/>
      <c r="DA429" s="13"/>
      <c r="DB429" s="11"/>
      <c r="DC429" s="11"/>
      <c r="DD429" s="13"/>
      <c r="DE429" s="11"/>
      <c r="DF429" s="12"/>
      <c r="DG429" s="12"/>
      <c r="DH429" s="11"/>
      <c r="DI429" s="13"/>
      <c r="DJ429" s="11"/>
      <c r="DK429" s="11"/>
      <c r="DL429" s="13"/>
      <c r="DM429" s="11"/>
      <c r="DN429" s="12"/>
      <c r="DO429" s="12"/>
      <c r="DP429" s="11"/>
      <c r="DQ429" s="13"/>
      <c r="DR429" s="11"/>
      <c r="DS429" s="11"/>
      <c r="DT429" s="13"/>
      <c r="DU429" s="11"/>
      <c r="DV429" s="12"/>
      <c r="DW429" s="12"/>
      <c r="DX429" s="11"/>
      <c r="DY429" s="13"/>
      <c r="DZ429" s="11"/>
      <c r="EA429" s="11"/>
      <c r="EB429" s="13"/>
      <c r="EC429" s="11"/>
      <c r="ED429" s="12"/>
      <c r="EE429" s="12"/>
      <c r="EF429" s="11"/>
      <c r="EG429" s="13"/>
      <c r="EH429" s="11"/>
      <c r="EI429" s="11"/>
      <c r="EJ429" s="13"/>
      <c r="EK429" s="11"/>
      <c r="EL429" s="12"/>
      <c r="EM429" s="12"/>
      <c r="EN429" s="11"/>
      <c r="EO429" s="13"/>
      <c r="EP429" s="11">
        <v>2</v>
      </c>
      <c r="EQ429" s="11"/>
      <c r="ER429" s="13"/>
      <c r="ES429" s="11"/>
      <c r="ET429" s="12"/>
      <c r="EU429" s="12"/>
      <c r="EV429" s="11"/>
      <c r="EW429" s="13"/>
      <c r="EX429" s="11"/>
      <c r="EY429" s="11"/>
      <c r="EZ429" s="13"/>
      <c r="FA429" s="11"/>
      <c r="FB429" s="12"/>
      <c r="FC429" s="12"/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/>
      <c r="FO429" s="11"/>
      <c r="FP429" s="13"/>
      <c r="FQ429" s="11"/>
      <c r="FR429" s="12"/>
      <c r="FS429" s="12"/>
      <c r="FT429" s="11"/>
      <c r="FU429" s="13"/>
      <c r="FV429" s="11">
        <v>2</v>
      </c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>
        <v>2</v>
      </c>
      <c r="GM429" s="11"/>
      <c r="GN429" s="13"/>
      <c r="GO429" s="11"/>
      <c r="GP429" s="12"/>
      <c r="GQ429" s="12"/>
      <c r="GR429" s="11"/>
      <c r="GS429" s="13"/>
      <c r="GT429" s="11">
        <v>2</v>
      </c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/>
      <c r="JP429" s="13"/>
      <c r="JQ429" s="11"/>
      <c r="JR429" s="12"/>
      <c r="JS429" s="12"/>
      <c r="JT429" s="11"/>
      <c r="JU429" s="13"/>
      <c r="JV429" s="11"/>
      <c r="JW429" s="11"/>
      <c r="JX429" s="13"/>
      <c r="JY429" s="11"/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  <c r="LH429" s="11"/>
      <c r="LI429" s="13"/>
      <c r="LJ429" s="11"/>
      <c r="LK429" s="11"/>
      <c r="LL429" s="13"/>
      <c r="LM429" s="11"/>
      <c r="LN429" s="12"/>
      <c r="LO429" s="12"/>
      <c r="LP429" s="11"/>
      <c r="LQ429" s="13"/>
      <c r="LR429" s="11"/>
      <c r="LS429" s="11"/>
      <c r="LT429" s="13"/>
      <c r="LU429" s="11"/>
      <c r="LV429" s="12"/>
      <c r="LW429" s="12"/>
    </row>
    <row r="430">
      <c r="A430" s="10" t="s">
        <v>227</v>
      </c>
      <c r="B430" s="10" t="s">
        <v>163</v>
      </c>
      <c r="C430" s="10" t="s">
        <v>224</v>
      </c>
      <c r="D430" s="11">
        <v>1599</v>
      </c>
      <c r="E430" s="11">
        <f>=ROUNDDOWN(17.9662921348315,0)</f>
      </c>
      <c r="F430" s="11">
        <v>1909</v>
      </c>
      <c r="G430" s="12">
        <v>0.9447</v>
      </c>
      <c r="H430" s="11"/>
      <c r="I430" s="11">
        <f>=ROUNDDOWN({0},0)</f>
      </c>
      <c r="J430" s="11"/>
      <c r="K430" s="12"/>
      <c r="L430" s="11">
        <v>1079</v>
      </c>
      <c r="M430" s="13">
        <v>169695.25</v>
      </c>
      <c r="N430" s="11">
        <v>14</v>
      </c>
      <c r="O430" s="14">
        <v>12121.09</v>
      </c>
      <c r="P430" s="11"/>
      <c r="Q430" s="13"/>
      <c r="R430" s="11"/>
      <c r="S430" s="14"/>
      <c r="T430" s="12"/>
      <c r="U430" s="12"/>
      <c r="V430" s="12"/>
      <c r="W430" s="12"/>
      <c r="X430" s="11">
        <v>132</v>
      </c>
      <c r="Y430" s="13">
        <v>20056.59</v>
      </c>
      <c r="Z430" s="11">
        <v>14</v>
      </c>
      <c r="AA430" s="11"/>
      <c r="AB430" s="13"/>
      <c r="AC430" s="11"/>
      <c r="AD430" s="12"/>
      <c r="AE430" s="12"/>
      <c r="AF430" s="11">
        <v>537</v>
      </c>
      <c r="AG430" s="13">
        <v>76303.21</v>
      </c>
      <c r="AH430" s="11">
        <v>14</v>
      </c>
      <c r="AI430" s="11"/>
      <c r="AJ430" s="13"/>
      <c r="AK430" s="11"/>
      <c r="AL430" s="12"/>
      <c r="AM430" s="12"/>
      <c r="AN430" s="11">
        <v>5</v>
      </c>
      <c r="AO430" s="13">
        <v>1024.65</v>
      </c>
      <c r="AP430" s="11">
        <v>14</v>
      </c>
      <c r="AQ430" s="11"/>
      <c r="AR430" s="13"/>
      <c r="AS430" s="11"/>
      <c r="AT430" s="12"/>
      <c r="AU430" s="12"/>
      <c r="AV430" s="11">
        <v>52</v>
      </c>
      <c r="AW430" s="13">
        <v>9458.33</v>
      </c>
      <c r="AX430" s="11">
        <v>9</v>
      </c>
      <c r="AY430" s="11"/>
      <c r="AZ430" s="13"/>
      <c r="BA430" s="11"/>
      <c r="BB430" s="12"/>
      <c r="BC430" s="12"/>
      <c r="BD430" s="11">
        <v>32</v>
      </c>
      <c r="BE430" s="13">
        <v>4682.04</v>
      </c>
      <c r="BF430" s="11">
        <v>10</v>
      </c>
      <c r="BG430" s="11"/>
      <c r="BH430" s="13"/>
      <c r="BI430" s="11"/>
      <c r="BJ430" s="12"/>
      <c r="BK430" s="12"/>
      <c r="BL430" s="11">
        <v>152</v>
      </c>
      <c r="BM430" s="13">
        <v>28786.25</v>
      </c>
      <c r="BN430" s="11">
        <v>14</v>
      </c>
      <c r="BO430" s="11"/>
      <c r="BP430" s="13"/>
      <c r="BQ430" s="11"/>
      <c r="BR430" s="12"/>
      <c r="BS430" s="12"/>
      <c r="BT430" s="11">
        <v>88</v>
      </c>
      <c r="BU430" s="13">
        <v>15321.28</v>
      </c>
      <c r="BV430" s="11">
        <v>14</v>
      </c>
      <c r="BW430" s="11"/>
      <c r="BX430" s="13"/>
      <c r="BY430" s="11"/>
      <c r="BZ430" s="12"/>
      <c r="CA430" s="12"/>
      <c r="CB430" s="11">
        <v>1</v>
      </c>
      <c r="CC430" s="13">
        <v>192.94</v>
      </c>
      <c r="CD430" s="11">
        <v>11</v>
      </c>
      <c r="CE430" s="11"/>
      <c r="CF430" s="13"/>
      <c r="CG430" s="11"/>
      <c r="CH430" s="12"/>
      <c r="CI430" s="12"/>
      <c r="CJ430" s="11"/>
      <c r="CK430" s="13"/>
      <c r="CL430" s="11">
        <v>3</v>
      </c>
      <c r="CM430" s="11"/>
      <c r="CN430" s="13"/>
      <c r="CO430" s="11"/>
      <c r="CP430" s="12"/>
      <c r="CQ430" s="12"/>
      <c r="CR430" s="11"/>
      <c r="CS430" s="13"/>
      <c r="CT430" s="11"/>
      <c r="CU430" s="11"/>
      <c r="CV430" s="13"/>
      <c r="CW430" s="11"/>
      <c r="CX430" s="12"/>
      <c r="CY430" s="12"/>
      <c r="CZ430" s="11">
        <v>59</v>
      </c>
      <c r="DA430" s="13">
        <v>11070.3</v>
      </c>
      <c r="DB430" s="11">
        <v>8</v>
      </c>
      <c r="DC430" s="11"/>
      <c r="DD430" s="13"/>
      <c r="DE430" s="11"/>
      <c r="DF430" s="12"/>
      <c r="DG430" s="12"/>
      <c r="DH430" s="11"/>
      <c r="DI430" s="13"/>
      <c r="DJ430" s="11"/>
      <c r="DK430" s="11"/>
      <c r="DL430" s="13"/>
      <c r="DM430" s="11"/>
      <c r="DN430" s="12"/>
      <c r="DO430" s="12"/>
      <c r="DP430" s="11">
        <v>1</v>
      </c>
      <c r="DQ430" s="13">
        <v>104.74</v>
      </c>
      <c r="DR430" s="11">
        <v>4</v>
      </c>
      <c r="DS430" s="11"/>
      <c r="DT430" s="13"/>
      <c r="DU430" s="11"/>
      <c r="DV430" s="12"/>
      <c r="DW430" s="12"/>
      <c r="DX430" s="11"/>
      <c r="DY430" s="13"/>
      <c r="DZ430" s="11"/>
      <c r="EA430" s="11"/>
      <c r="EB430" s="13"/>
      <c r="EC430" s="11"/>
      <c r="ED430" s="12"/>
      <c r="EE430" s="12"/>
      <c r="EF430" s="11"/>
      <c r="EG430" s="13"/>
      <c r="EH430" s="11"/>
      <c r="EI430" s="11"/>
      <c r="EJ430" s="13"/>
      <c r="EK430" s="11"/>
      <c r="EL430" s="12"/>
      <c r="EM430" s="12"/>
      <c r="EN430" s="11"/>
      <c r="EO430" s="13"/>
      <c r="EP430" s="11">
        <v>14</v>
      </c>
      <c r="EQ430" s="11"/>
      <c r="ER430" s="13"/>
      <c r="ES430" s="11"/>
      <c r="ET430" s="12"/>
      <c r="EU430" s="12"/>
      <c r="EV430" s="11"/>
      <c r="EW430" s="13"/>
      <c r="EX430" s="11"/>
      <c r="EY430" s="11"/>
      <c r="EZ430" s="13"/>
      <c r="FA430" s="11"/>
      <c r="FB430" s="12"/>
      <c r="FC430" s="12"/>
      <c r="FD430" s="11"/>
      <c r="FE430" s="13"/>
      <c r="FF430" s="11"/>
      <c r="FG430" s="11"/>
      <c r="FH430" s="13"/>
      <c r="FI430" s="11"/>
      <c r="FJ430" s="12"/>
      <c r="FK430" s="12"/>
      <c r="FL430" s="11">
        <v>2</v>
      </c>
      <c r="FM430" s="13">
        <v>377.62</v>
      </c>
      <c r="FN430" s="11">
        <v>10</v>
      </c>
      <c r="FO430" s="11"/>
      <c r="FP430" s="13"/>
      <c r="FQ430" s="11"/>
      <c r="FR430" s="12"/>
      <c r="FS430" s="12"/>
      <c r="FT430" s="11">
        <v>6</v>
      </c>
      <c r="FU430" s="13">
        <v>538.94</v>
      </c>
      <c r="FV430" s="11">
        <v>7</v>
      </c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>
        <v>11</v>
      </c>
      <c r="GK430" s="13">
        <v>1587.85</v>
      </c>
      <c r="GL430" s="11">
        <v>13</v>
      </c>
      <c r="GM430" s="11"/>
      <c r="GN430" s="13"/>
      <c r="GO430" s="11"/>
      <c r="GP430" s="12"/>
      <c r="GQ430" s="12"/>
      <c r="GR430" s="11">
        <v>1</v>
      </c>
      <c r="GS430" s="13">
        <v>190.51</v>
      </c>
      <c r="GT430" s="11">
        <v>13</v>
      </c>
      <c r="GU430" s="11"/>
      <c r="GV430" s="13"/>
      <c r="GW430" s="11"/>
      <c r="GX430" s="12"/>
      <c r="GY430" s="12"/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/>
      <c r="HS430" s="11"/>
      <c r="HT430" s="13"/>
      <c r="HU430" s="11"/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/>
      <c r="JP430" s="13"/>
      <c r="JQ430" s="11"/>
      <c r="JR430" s="12"/>
      <c r="JS430" s="12"/>
      <c r="JT430" s="11"/>
      <c r="JU430" s="13"/>
      <c r="JV430" s="11"/>
      <c r="JW430" s="11"/>
      <c r="JX430" s="13"/>
      <c r="JY430" s="11"/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  <c r="LH430" s="11"/>
      <c r="LI430" s="13"/>
      <c r="LJ430" s="11"/>
      <c r="LK430" s="11"/>
      <c r="LL430" s="13"/>
      <c r="LM430" s="11"/>
      <c r="LN430" s="12"/>
      <c r="LO430" s="12"/>
      <c r="LP430" s="11"/>
      <c r="LQ430" s="13"/>
      <c r="LR430" s="11"/>
      <c r="LS430" s="11"/>
      <c r="LT430" s="13"/>
      <c r="LU430" s="11"/>
      <c r="LV430" s="12"/>
      <c r="LW430" s="12"/>
    </row>
    <row r="431">
      <c r="A431" s="10" t="s">
        <v>227</v>
      </c>
      <c r="B431" s="10" t="s">
        <v>163</v>
      </c>
      <c r="C431" s="10" t="s">
        <v>225</v>
      </c>
      <c r="D431" s="11">
        <v>632</v>
      </c>
      <c r="E431" s="11">
        <f>=ROUNDDOWN(13.7391304347826,0)</f>
      </c>
      <c r="F431" s="11">
        <v>725</v>
      </c>
      <c r="G431" s="12">
        <v>1</v>
      </c>
      <c r="H431" s="11"/>
      <c r="I431" s="11">
        <f>=ROUNDDOWN({0},0)</f>
      </c>
      <c r="J431" s="11"/>
      <c r="K431" s="12"/>
      <c r="L431" s="11">
        <v>482</v>
      </c>
      <c r="M431" s="13">
        <v>57747.04</v>
      </c>
      <c r="N431" s="11">
        <v>5</v>
      </c>
      <c r="O431" s="14">
        <v>11549.41</v>
      </c>
      <c r="P431" s="11"/>
      <c r="Q431" s="13"/>
      <c r="R431" s="11"/>
      <c r="S431" s="14"/>
      <c r="T431" s="12"/>
      <c r="U431" s="12"/>
      <c r="V431" s="12"/>
      <c r="W431" s="12"/>
      <c r="X431" s="11">
        <v>128</v>
      </c>
      <c r="Y431" s="13">
        <v>16439.98</v>
      </c>
      <c r="Z431" s="11">
        <v>4</v>
      </c>
      <c r="AA431" s="11"/>
      <c r="AB431" s="13"/>
      <c r="AC431" s="11"/>
      <c r="AD431" s="12"/>
      <c r="AE431" s="12"/>
      <c r="AF431" s="11">
        <v>267</v>
      </c>
      <c r="AG431" s="13">
        <v>29554.31</v>
      </c>
      <c r="AH431" s="11">
        <v>5</v>
      </c>
      <c r="AI431" s="11"/>
      <c r="AJ431" s="13"/>
      <c r="AK431" s="11"/>
      <c r="AL431" s="12"/>
      <c r="AM431" s="12"/>
      <c r="AN431" s="11">
        <v>4</v>
      </c>
      <c r="AO431" s="13">
        <v>466.73</v>
      </c>
      <c r="AP431" s="11">
        <v>5</v>
      </c>
      <c r="AQ431" s="11"/>
      <c r="AR431" s="13"/>
      <c r="AS431" s="11"/>
      <c r="AT431" s="12"/>
      <c r="AU431" s="12"/>
      <c r="AV431" s="11">
        <v>24</v>
      </c>
      <c r="AW431" s="13">
        <v>3386.24</v>
      </c>
      <c r="AX431" s="11">
        <v>2</v>
      </c>
      <c r="AY431" s="11"/>
      <c r="AZ431" s="13"/>
      <c r="BA431" s="11"/>
      <c r="BB431" s="12"/>
      <c r="BC431" s="12"/>
      <c r="BD431" s="11">
        <v>11</v>
      </c>
      <c r="BE431" s="13">
        <v>1642.65</v>
      </c>
      <c r="BF431" s="11">
        <v>5</v>
      </c>
      <c r="BG431" s="11"/>
      <c r="BH431" s="13"/>
      <c r="BI431" s="11"/>
      <c r="BJ431" s="12"/>
      <c r="BK431" s="12"/>
      <c r="BL431" s="11">
        <v>13</v>
      </c>
      <c r="BM431" s="13">
        <v>2051.47</v>
      </c>
      <c r="BN431" s="11">
        <v>5</v>
      </c>
      <c r="BO431" s="11"/>
      <c r="BP431" s="13"/>
      <c r="BQ431" s="11"/>
      <c r="BR431" s="12"/>
      <c r="BS431" s="12"/>
      <c r="BT431" s="11">
        <v>22</v>
      </c>
      <c r="BU431" s="13">
        <v>2263.8</v>
      </c>
      <c r="BV431" s="11">
        <v>5</v>
      </c>
      <c r="BW431" s="11"/>
      <c r="BX431" s="13"/>
      <c r="BY431" s="11"/>
      <c r="BZ431" s="12"/>
      <c r="CA431" s="12"/>
      <c r="CB431" s="11">
        <v>2</v>
      </c>
      <c r="CC431" s="13">
        <v>226.97</v>
      </c>
      <c r="CD431" s="11">
        <v>5</v>
      </c>
      <c r="CE431" s="11"/>
      <c r="CF431" s="13"/>
      <c r="CG431" s="11"/>
      <c r="CH431" s="12"/>
      <c r="CI431" s="12"/>
      <c r="CJ431" s="11"/>
      <c r="CK431" s="13"/>
      <c r="CL431" s="11"/>
      <c r="CM431" s="11"/>
      <c r="CN431" s="13"/>
      <c r="CO431" s="11"/>
      <c r="CP431" s="12"/>
      <c r="CQ431" s="12"/>
      <c r="CR431" s="11"/>
      <c r="CS431" s="13"/>
      <c r="CT431" s="11"/>
      <c r="CU431" s="11"/>
      <c r="CV431" s="13"/>
      <c r="CW431" s="11"/>
      <c r="CX431" s="12"/>
      <c r="CY431" s="12"/>
      <c r="CZ431" s="11">
        <v>5</v>
      </c>
      <c r="DA431" s="13">
        <v>1066.65</v>
      </c>
      <c r="DB431" s="11">
        <v>3</v>
      </c>
      <c r="DC431" s="11"/>
      <c r="DD431" s="13"/>
      <c r="DE431" s="11"/>
      <c r="DF431" s="12"/>
      <c r="DG431" s="12"/>
      <c r="DH431" s="11"/>
      <c r="DI431" s="13"/>
      <c r="DJ431" s="11">
        <v>1</v>
      </c>
      <c r="DK431" s="11"/>
      <c r="DL431" s="13"/>
      <c r="DM431" s="11"/>
      <c r="DN431" s="12"/>
      <c r="DO431" s="12"/>
      <c r="DP431" s="11"/>
      <c r="DQ431" s="13"/>
      <c r="DR431" s="11">
        <v>4</v>
      </c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>
        <v>5</v>
      </c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>
        <v>5</v>
      </c>
      <c r="FM431" s="13">
        <v>516.99</v>
      </c>
      <c r="FN431" s="11">
        <v>3</v>
      </c>
      <c r="FO431" s="11"/>
      <c r="FP431" s="13"/>
      <c r="FQ431" s="11"/>
      <c r="FR431" s="12"/>
      <c r="FS431" s="12"/>
      <c r="FT431" s="11">
        <v>1</v>
      </c>
      <c r="FU431" s="13">
        <v>131.25</v>
      </c>
      <c r="FV431" s="11">
        <v>3</v>
      </c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>
        <v>4</v>
      </c>
      <c r="GM431" s="11"/>
      <c r="GN431" s="13"/>
      <c r="GO431" s="11"/>
      <c r="GP431" s="12"/>
      <c r="GQ431" s="12"/>
      <c r="GR431" s="11"/>
      <c r="GS431" s="13"/>
      <c r="GT431" s="11">
        <v>3</v>
      </c>
      <c r="GU431" s="11"/>
      <c r="GV431" s="13"/>
      <c r="GW431" s="11"/>
      <c r="GX431" s="12"/>
      <c r="GY431" s="12"/>
      <c r="GZ431" s="11"/>
      <c r="HA431" s="13"/>
      <c r="HB431" s="11"/>
      <c r="HC431" s="11"/>
      <c r="HD431" s="13"/>
      <c r="HE431" s="11"/>
      <c r="HF431" s="12"/>
      <c r="HG431" s="12"/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/>
      <c r="JP431" s="13"/>
      <c r="JQ431" s="11"/>
      <c r="JR431" s="12"/>
      <c r="JS431" s="12"/>
      <c r="JT431" s="11"/>
      <c r="JU431" s="13"/>
      <c r="JV431" s="11"/>
      <c r="JW431" s="11"/>
      <c r="JX431" s="13"/>
      <c r="JY431" s="11"/>
      <c r="JZ431" s="12"/>
      <c r="KA431" s="12"/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  <c r="LH431" s="11"/>
      <c r="LI431" s="13"/>
      <c r="LJ431" s="11"/>
      <c r="LK431" s="11"/>
      <c r="LL431" s="13"/>
      <c r="LM431" s="11"/>
      <c r="LN431" s="12"/>
      <c r="LO431" s="12"/>
      <c r="LP431" s="11"/>
      <c r="LQ431" s="13"/>
      <c r="LR431" s="11"/>
      <c r="LS431" s="11"/>
      <c r="LT431" s="13"/>
      <c r="LU431" s="11"/>
      <c r="LV431" s="12"/>
      <c r="LW431" s="12"/>
    </row>
    <row r="432">
      <c r="A432" s="10" t="s">
        <v>227</v>
      </c>
      <c r="B432" s="10" t="s">
        <v>164</v>
      </c>
      <c r="C432" s="10" t="s">
        <v>77</v>
      </c>
      <c r="D432" s="11">
        <v>9978</v>
      </c>
      <c r="E432" s="11">
        <f>=ROUNDDOWN({0},0)</f>
      </c>
      <c r="F432" s="11">
        <v>10639</v>
      </c>
      <c r="G432" s="12"/>
      <c r="H432" s="11"/>
      <c r="I432" s="11">
        <f>=ROUNDDOWN({0},0)</f>
      </c>
      <c r="J432" s="11">
        <v>562</v>
      </c>
      <c r="K432" s="12"/>
      <c r="L432" s="11">
        <v>6927</v>
      </c>
      <c r="M432" s="13">
        <v>1474696.78</v>
      </c>
      <c r="N432" s="11">
        <v>76</v>
      </c>
      <c r="O432" s="14">
        <v>19403.9</v>
      </c>
      <c r="P432" s="11"/>
      <c r="Q432" s="13"/>
      <c r="R432" s="11"/>
      <c r="S432" s="14"/>
      <c r="T432" s="12"/>
      <c r="U432" s="12"/>
      <c r="V432" s="12"/>
      <c r="W432" s="12"/>
      <c r="X432" s="11">
        <v>665</v>
      </c>
      <c r="Y432" s="13">
        <v>138767.79</v>
      </c>
      <c r="Z432" s="11">
        <v>73</v>
      </c>
      <c r="AA432" s="11"/>
      <c r="AB432" s="13"/>
      <c r="AC432" s="11"/>
      <c r="AD432" s="12"/>
      <c r="AE432" s="12"/>
      <c r="AF432" s="11">
        <v>3515</v>
      </c>
      <c r="AG432" s="13">
        <v>676313.43</v>
      </c>
      <c r="AH432" s="11">
        <v>76</v>
      </c>
      <c r="AI432" s="11"/>
      <c r="AJ432" s="13"/>
      <c r="AK432" s="11"/>
      <c r="AL432" s="12"/>
      <c r="AM432" s="12"/>
      <c r="AN432" s="11">
        <v>91</v>
      </c>
      <c r="AO432" s="13">
        <v>18934.64</v>
      </c>
      <c r="AP432" s="11">
        <v>67</v>
      </c>
      <c r="AQ432" s="11"/>
      <c r="AR432" s="13"/>
      <c r="AS432" s="11"/>
      <c r="AT432" s="12"/>
      <c r="AU432" s="12"/>
      <c r="AV432" s="11">
        <v>193</v>
      </c>
      <c r="AW432" s="13">
        <v>38727.52</v>
      </c>
      <c r="AX432" s="11">
        <v>46</v>
      </c>
      <c r="AY432" s="11"/>
      <c r="AZ432" s="13"/>
      <c r="BA432" s="11"/>
      <c r="BB432" s="12"/>
      <c r="BC432" s="12"/>
      <c r="BD432" s="11">
        <v>388</v>
      </c>
      <c r="BE432" s="13">
        <v>73740.39</v>
      </c>
      <c r="BF432" s="11">
        <v>53</v>
      </c>
      <c r="BG432" s="11"/>
      <c r="BH432" s="13"/>
      <c r="BI432" s="11"/>
      <c r="BJ432" s="12"/>
      <c r="BK432" s="12"/>
      <c r="BL432" s="11">
        <v>1201</v>
      </c>
      <c r="BM432" s="13">
        <v>336143.65</v>
      </c>
      <c r="BN432" s="11">
        <v>76</v>
      </c>
      <c r="BO432" s="11"/>
      <c r="BP432" s="13"/>
      <c r="BQ432" s="11"/>
      <c r="BR432" s="12"/>
      <c r="BS432" s="12"/>
      <c r="BT432" s="11">
        <v>535</v>
      </c>
      <c r="BU432" s="13">
        <v>123718.76</v>
      </c>
      <c r="BV432" s="11">
        <v>76</v>
      </c>
      <c r="BW432" s="11"/>
      <c r="BX432" s="13"/>
      <c r="BY432" s="11"/>
      <c r="BZ432" s="12"/>
      <c r="CA432" s="12"/>
      <c r="CB432" s="11">
        <v>13</v>
      </c>
      <c r="CC432" s="13">
        <v>2338.21</v>
      </c>
      <c r="CD432" s="11">
        <v>68</v>
      </c>
      <c r="CE432" s="11"/>
      <c r="CF432" s="13"/>
      <c r="CG432" s="11"/>
      <c r="CH432" s="12"/>
      <c r="CI432" s="12"/>
      <c r="CJ432" s="11"/>
      <c r="CK432" s="13"/>
      <c r="CL432" s="11">
        <v>14</v>
      </c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>
        <v>224</v>
      </c>
      <c r="DA432" s="13">
        <v>48081.23</v>
      </c>
      <c r="DB432" s="11">
        <v>28</v>
      </c>
      <c r="DC432" s="11"/>
      <c r="DD432" s="13"/>
      <c r="DE432" s="11"/>
      <c r="DF432" s="12"/>
      <c r="DG432" s="12"/>
      <c r="DH432" s="11">
        <v>47</v>
      </c>
      <c r="DI432" s="13">
        <v>9547.7</v>
      </c>
      <c r="DJ432" s="11">
        <v>14</v>
      </c>
      <c r="DK432" s="11"/>
      <c r="DL432" s="13"/>
      <c r="DM432" s="11"/>
      <c r="DN432" s="12"/>
      <c r="DO432" s="12"/>
      <c r="DP432" s="11">
        <v>1</v>
      </c>
      <c r="DQ432" s="13">
        <v>104.74</v>
      </c>
      <c r="DR432" s="11">
        <v>14</v>
      </c>
      <c r="DS432" s="11"/>
      <c r="DT432" s="13"/>
      <c r="DU432" s="11"/>
      <c r="DV432" s="12"/>
      <c r="DW432" s="12"/>
      <c r="DX432" s="11"/>
      <c r="DY432" s="13"/>
      <c r="DZ432" s="11"/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>
        <v>73</v>
      </c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/>
      <c r="FB432" s="12"/>
      <c r="FC432" s="12"/>
      <c r="FD432" s="11"/>
      <c r="FE432" s="13"/>
      <c r="FF432" s="11">
        <v>1</v>
      </c>
      <c r="FG432" s="11"/>
      <c r="FH432" s="13"/>
      <c r="FI432" s="11"/>
      <c r="FJ432" s="12"/>
      <c r="FK432" s="12"/>
      <c r="FL432" s="11">
        <v>8</v>
      </c>
      <c r="FM432" s="13">
        <v>1218.37</v>
      </c>
      <c r="FN432" s="11">
        <v>37</v>
      </c>
      <c r="FO432" s="11"/>
      <c r="FP432" s="13"/>
      <c r="FQ432" s="11"/>
      <c r="FR432" s="12"/>
      <c r="FS432" s="12"/>
      <c r="FT432" s="11">
        <v>17</v>
      </c>
      <c r="FU432" s="13">
        <v>1966.63</v>
      </c>
      <c r="FV432" s="11">
        <v>31</v>
      </c>
      <c r="FW432" s="11"/>
      <c r="FX432" s="13"/>
      <c r="FY432" s="11"/>
      <c r="FZ432" s="12"/>
      <c r="GA432" s="12"/>
      <c r="GB432" s="11">
        <v>2</v>
      </c>
      <c r="GC432" s="13">
        <v>581.74</v>
      </c>
      <c r="GD432" s="11">
        <v>9</v>
      </c>
      <c r="GE432" s="11"/>
      <c r="GF432" s="13"/>
      <c r="GG432" s="11"/>
      <c r="GH432" s="12"/>
      <c r="GI432" s="12"/>
      <c r="GJ432" s="11">
        <v>18</v>
      </c>
      <c r="GK432" s="13">
        <v>2828.56</v>
      </c>
      <c r="GL432" s="11">
        <v>63</v>
      </c>
      <c r="GM432" s="11"/>
      <c r="GN432" s="13"/>
      <c r="GO432" s="11"/>
      <c r="GP432" s="12"/>
      <c r="GQ432" s="12"/>
      <c r="GR432" s="11">
        <v>9</v>
      </c>
      <c r="GS432" s="13">
        <v>1683.42</v>
      </c>
      <c r="GT432" s="11">
        <v>58</v>
      </c>
      <c r="GU432" s="11"/>
      <c r="GV432" s="13"/>
      <c r="GW432" s="11"/>
      <c r="GX432" s="12"/>
      <c r="GY432" s="12"/>
      <c r="GZ432" s="11"/>
      <c r="HA432" s="13"/>
      <c r="HB432" s="11"/>
      <c r="HC432" s="11"/>
      <c r="HD432" s="13"/>
      <c r="HE432" s="11"/>
      <c r="HF432" s="12"/>
      <c r="HG432" s="12"/>
      <c r="HH432" s="11"/>
      <c r="HI432" s="13"/>
      <c r="HJ432" s="11"/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>
        <v>1</v>
      </c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/>
      <c r="JO432" s="11"/>
      <c r="JP432" s="13"/>
      <c r="JQ432" s="11"/>
      <c r="JR432" s="12"/>
      <c r="JS432" s="12"/>
      <c r="JT432" s="11"/>
      <c r="JU432" s="13"/>
      <c r="JV432" s="11"/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  <c r="LH432" s="11"/>
      <c r="LI432" s="13"/>
      <c r="LJ432" s="11"/>
      <c r="LK432" s="11"/>
      <c r="LL432" s="13"/>
      <c r="LM432" s="11"/>
      <c r="LN432" s="12"/>
      <c r="LO432" s="12"/>
      <c r="LP432" s="11"/>
      <c r="LQ432" s="13"/>
      <c r="LR432" s="11"/>
      <c r="LS432" s="11"/>
      <c r="LT432" s="13"/>
      <c r="LU432" s="11"/>
      <c r="LV432" s="12"/>
      <c r="LW432" s="12"/>
    </row>
    <row r="433">
      <c r="A433" s="10" t="s">
        <v>227</v>
      </c>
      <c r="B433" s="10" t="s">
        <v>128</v>
      </c>
      <c r="C433" s="10" t="s">
        <v>228</v>
      </c>
      <c r="D433" s="11"/>
      <c r="E433" s="11">
        <f>=ROUNDDOWN({0},0)</f>
      </c>
      <c r="F433" s="11"/>
      <c r="G433" s="12"/>
      <c r="H433" s="11"/>
      <c r="I433" s="11">
        <f>=ROUNDDOWN({0},0)</f>
      </c>
      <c r="J433" s="11"/>
      <c r="K433" s="12"/>
      <c r="L433" s="11"/>
      <c r="M433" s="13"/>
      <c r="N433" s="11"/>
      <c r="O433" s="14"/>
      <c r="P433" s="11"/>
      <c r="Q433" s="13"/>
      <c r="R433" s="11"/>
      <c r="S433" s="14"/>
      <c r="T433" s="12"/>
      <c r="U433" s="12"/>
      <c r="V433" s="12"/>
      <c r="W433" s="12"/>
      <c r="X433" s="11"/>
      <c r="Y433" s="13"/>
      <c r="Z433" s="11"/>
      <c r="AA433" s="11"/>
      <c r="AB433" s="13"/>
      <c r="AC433" s="11"/>
      <c r="AD433" s="12"/>
      <c r="AE433" s="12"/>
      <c r="AF433" s="11"/>
      <c r="AG433" s="13"/>
      <c r="AH433" s="11"/>
      <c r="AI433" s="11"/>
      <c r="AJ433" s="13"/>
      <c r="AK433" s="11"/>
      <c r="AL433" s="12"/>
      <c r="AM433" s="12"/>
      <c r="AN433" s="11"/>
      <c r="AO433" s="13"/>
      <c r="AP433" s="11"/>
      <c r="AQ433" s="11"/>
      <c r="AR433" s="13"/>
      <c r="AS433" s="11"/>
      <c r="AT433" s="12"/>
      <c r="AU433" s="12"/>
      <c r="AV433" s="11"/>
      <c r="AW433" s="13"/>
      <c r="AX433" s="11"/>
      <c r="AY433" s="11"/>
      <c r="AZ433" s="13"/>
      <c r="BA433" s="11"/>
      <c r="BB433" s="12"/>
      <c r="BC433" s="12"/>
      <c r="BD433" s="11"/>
      <c r="BE433" s="13"/>
      <c r="BF433" s="11"/>
      <c r="BG433" s="11"/>
      <c r="BH433" s="13"/>
      <c r="BI433" s="11"/>
      <c r="BJ433" s="12"/>
      <c r="BK433" s="12"/>
      <c r="BL433" s="11"/>
      <c r="BM433" s="13"/>
      <c r="BN433" s="11"/>
      <c r="BO433" s="11"/>
      <c r="BP433" s="13"/>
      <c r="BQ433" s="11"/>
      <c r="BR433" s="12"/>
      <c r="BS433" s="12"/>
      <c r="BT433" s="11"/>
      <c r="BU433" s="13"/>
      <c r="BV433" s="11"/>
      <c r="BW433" s="11"/>
      <c r="BX433" s="13"/>
      <c r="BY433" s="11"/>
      <c r="BZ433" s="12"/>
      <c r="CA433" s="12"/>
      <c r="CB433" s="11"/>
      <c r="CC433" s="13"/>
      <c r="CD433" s="11"/>
      <c r="CE433" s="11"/>
      <c r="CF433" s="13"/>
      <c r="CG433" s="11"/>
      <c r="CH433" s="12"/>
      <c r="CI433" s="12"/>
      <c r="CJ433" s="11"/>
      <c r="CK433" s="13"/>
      <c r="CL433" s="11"/>
      <c r="CM433" s="11"/>
      <c r="CN433" s="13"/>
      <c r="CO433" s="11"/>
      <c r="CP433" s="12"/>
      <c r="CQ433" s="12"/>
      <c r="CR433" s="11"/>
      <c r="CS433" s="13"/>
      <c r="CT433" s="11"/>
      <c r="CU433" s="11"/>
      <c r="CV433" s="13"/>
      <c r="CW433" s="11"/>
      <c r="CX433" s="12"/>
      <c r="CY433" s="12"/>
      <c r="CZ433" s="11"/>
      <c r="DA433" s="13"/>
      <c r="DB433" s="11"/>
      <c r="DC433" s="11"/>
      <c r="DD433" s="13"/>
      <c r="DE433" s="11"/>
      <c r="DF433" s="12"/>
      <c r="DG433" s="12"/>
      <c r="DH433" s="11"/>
      <c r="DI433" s="13"/>
      <c r="DJ433" s="11"/>
      <c r="DK433" s="11"/>
      <c r="DL433" s="13"/>
      <c r="DM433" s="11"/>
      <c r="DN433" s="12"/>
      <c r="DO433" s="12"/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/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/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/>
      <c r="FU433" s="13"/>
      <c r="FV433" s="11"/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/>
      <c r="GU433" s="11"/>
      <c r="GV433" s="13"/>
      <c r="GW433" s="11"/>
      <c r="GX433" s="12"/>
      <c r="GY433" s="12"/>
      <c r="GZ433" s="11"/>
      <c r="HA433" s="13"/>
      <c r="HB433" s="11"/>
      <c r="HC433" s="11"/>
      <c r="HD433" s="13"/>
      <c r="HE433" s="11"/>
      <c r="HF433" s="12"/>
      <c r="HG433" s="12"/>
      <c r="HH433" s="11"/>
      <c r="HI433" s="13"/>
      <c r="HJ433" s="11"/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/>
      <c r="JO433" s="11"/>
      <c r="JP433" s="13"/>
      <c r="JQ433" s="11"/>
      <c r="JR433" s="12"/>
      <c r="JS433" s="12"/>
      <c r="JT433" s="11"/>
      <c r="JU433" s="13"/>
      <c r="JV433" s="11"/>
      <c r="JW433" s="11"/>
      <c r="JX433" s="13"/>
      <c r="JY433" s="11"/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  <c r="LH433" s="11"/>
      <c r="LI433" s="13"/>
      <c r="LJ433" s="11"/>
      <c r="LK433" s="11"/>
      <c r="LL433" s="13"/>
      <c r="LM433" s="11"/>
      <c r="LN433" s="12"/>
      <c r="LO433" s="12"/>
      <c r="LP433" s="11"/>
      <c r="LQ433" s="13"/>
      <c r="LR433" s="11"/>
      <c r="LS433" s="11"/>
      <c r="LT433" s="13"/>
      <c r="LU433" s="11"/>
      <c r="LV433" s="12"/>
      <c r="LW433" s="12"/>
    </row>
    <row r="434">
      <c r="A434" s="10" t="s">
        <v>227</v>
      </c>
      <c r="B434" s="10" t="s">
        <v>128</v>
      </c>
      <c r="C434" s="10" t="s">
        <v>213</v>
      </c>
      <c r="D434" s="11"/>
      <c r="E434" s="11">
        <f>=ROUNDDOWN({0},0)</f>
      </c>
      <c r="F434" s="11"/>
      <c r="G434" s="12"/>
      <c r="H434" s="11"/>
      <c r="I434" s="11">
        <f>=ROUNDDOWN({0},0)</f>
      </c>
      <c r="J434" s="11"/>
      <c r="K434" s="12"/>
      <c r="L434" s="11"/>
      <c r="M434" s="13"/>
      <c r="N434" s="11"/>
      <c r="O434" s="14"/>
      <c r="P434" s="11"/>
      <c r="Q434" s="13"/>
      <c r="R434" s="11"/>
      <c r="S434" s="14"/>
      <c r="T434" s="12"/>
      <c r="U434" s="12"/>
      <c r="V434" s="12"/>
      <c r="W434" s="12"/>
      <c r="X434" s="11"/>
      <c r="Y434" s="13"/>
      <c r="Z434" s="11"/>
      <c r="AA434" s="11"/>
      <c r="AB434" s="13"/>
      <c r="AC434" s="11"/>
      <c r="AD434" s="12"/>
      <c r="AE434" s="12"/>
      <c r="AF434" s="11"/>
      <c r="AG434" s="13"/>
      <c r="AH434" s="11"/>
      <c r="AI434" s="11"/>
      <c r="AJ434" s="13"/>
      <c r="AK434" s="11"/>
      <c r="AL434" s="12"/>
      <c r="AM434" s="12"/>
      <c r="AN434" s="11"/>
      <c r="AO434" s="13"/>
      <c r="AP434" s="11"/>
      <c r="AQ434" s="11"/>
      <c r="AR434" s="13"/>
      <c r="AS434" s="11"/>
      <c r="AT434" s="12"/>
      <c r="AU434" s="12"/>
      <c r="AV434" s="11"/>
      <c r="AW434" s="13"/>
      <c r="AX434" s="11"/>
      <c r="AY434" s="11"/>
      <c r="AZ434" s="13"/>
      <c r="BA434" s="11"/>
      <c r="BB434" s="12"/>
      <c r="BC434" s="12"/>
      <c r="BD434" s="11"/>
      <c r="BE434" s="13"/>
      <c r="BF434" s="11"/>
      <c r="BG434" s="11"/>
      <c r="BH434" s="13"/>
      <c r="BI434" s="11"/>
      <c r="BJ434" s="12"/>
      <c r="BK434" s="12"/>
      <c r="BL434" s="11"/>
      <c r="BM434" s="13"/>
      <c r="BN434" s="11"/>
      <c r="BO434" s="11"/>
      <c r="BP434" s="13"/>
      <c r="BQ434" s="11"/>
      <c r="BR434" s="12"/>
      <c r="BS434" s="12"/>
      <c r="BT434" s="11"/>
      <c r="BU434" s="13"/>
      <c r="BV434" s="11"/>
      <c r="BW434" s="11"/>
      <c r="BX434" s="13"/>
      <c r="BY434" s="11"/>
      <c r="BZ434" s="12"/>
      <c r="CA434" s="12"/>
      <c r="CB434" s="11"/>
      <c r="CC434" s="13"/>
      <c r="CD434" s="11"/>
      <c r="CE434" s="11"/>
      <c r="CF434" s="13"/>
      <c r="CG434" s="11"/>
      <c r="CH434" s="12"/>
      <c r="CI434" s="12"/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/>
      <c r="DI434" s="13"/>
      <c r="DJ434" s="11"/>
      <c r="DK434" s="11"/>
      <c r="DL434" s="13"/>
      <c r="DM434" s="11"/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/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/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/>
      <c r="JO434" s="11"/>
      <c r="JP434" s="13"/>
      <c r="JQ434" s="11"/>
      <c r="JR434" s="12"/>
      <c r="JS434" s="12"/>
      <c r="JT434" s="11"/>
      <c r="JU434" s="13"/>
      <c r="JV434" s="11"/>
      <c r="JW434" s="11"/>
      <c r="JX434" s="13"/>
      <c r="JY434" s="11"/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  <c r="LH434" s="11"/>
      <c r="LI434" s="13"/>
      <c r="LJ434" s="11"/>
      <c r="LK434" s="11"/>
      <c r="LL434" s="13"/>
      <c r="LM434" s="11"/>
      <c r="LN434" s="12"/>
      <c r="LO434" s="12"/>
      <c r="LP434" s="11"/>
      <c r="LQ434" s="13"/>
      <c r="LR434" s="11"/>
      <c r="LS434" s="11"/>
      <c r="LT434" s="13"/>
      <c r="LU434" s="11"/>
      <c r="LV434" s="12"/>
      <c r="LW434" s="12"/>
    </row>
    <row r="435">
      <c r="A435" s="10" t="s">
        <v>227</v>
      </c>
      <c r="B435" s="10" t="s">
        <v>128</v>
      </c>
      <c r="C435" s="10" t="s">
        <v>216</v>
      </c>
      <c r="D435" s="11">
        <v>5</v>
      </c>
      <c r="E435" s="11">
        <f>=ROUNDDOWN({0},0)</f>
      </c>
      <c r="F435" s="11"/>
      <c r="G435" s="12">
        <v>1</v>
      </c>
      <c r="H435" s="11"/>
      <c r="I435" s="11">
        <f>=ROUNDDOWN({0},0)</f>
      </c>
      <c r="J435" s="11"/>
      <c r="K435" s="12"/>
      <c r="L435" s="11"/>
      <c r="M435" s="13"/>
      <c r="N435" s="11"/>
      <c r="O435" s="14"/>
      <c r="P435" s="11"/>
      <c r="Q435" s="13"/>
      <c r="R435" s="11"/>
      <c r="S435" s="14"/>
      <c r="T435" s="12"/>
      <c r="U435" s="12"/>
      <c r="V435" s="12"/>
      <c r="W435" s="12"/>
      <c r="X435" s="11"/>
      <c r="Y435" s="13"/>
      <c r="Z435" s="11"/>
      <c r="AA435" s="11"/>
      <c r="AB435" s="13"/>
      <c r="AC435" s="11"/>
      <c r="AD435" s="12"/>
      <c r="AE435" s="12"/>
      <c r="AF435" s="11"/>
      <c r="AG435" s="13"/>
      <c r="AH435" s="11"/>
      <c r="AI435" s="11"/>
      <c r="AJ435" s="13"/>
      <c r="AK435" s="11"/>
      <c r="AL435" s="12"/>
      <c r="AM435" s="12"/>
      <c r="AN435" s="11"/>
      <c r="AO435" s="13"/>
      <c r="AP435" s="11"/>
      <c r="AQ435" s="11"/>
      <c r="AR435" s="13"/>
      <c r="AS435" s="11"/>
      <c r="AT435" s="12"/>
      <c r="AU435" s="12"/>
      <c r="AV435" s="11"/>
      <c r="AW435" s="13"/>
      <c r="AX435" s="11"/>
      <c r="AY435" s="11"/>
      <c r="AZ435" s="13"/>
      <c r="BA435" s="11"/>
      <c r="BB435" s="12"/>
      <c r="BC435" s="12"/>
      <c r="BD435" s="11"/>
      <c r="BE435" s="13"/>
      <c r="BF435" s="11"/>
      <c r="BG435" s="11"/>
      <c r="BH435" s="13"/>
      <c r="BI435" s="11"/>
      <c r="BJ435" s="12"/>
      <c r="BK435" s="12"/>
      <c r="BL435" s="11"/>
      <c r="BM435" s="13"/>
      <c r="BN435" s="11"/>
      <c r="BO435" s="11"/>
      <c r="BP435" s="13"/>
      <c r="BQ435" s="11"/>
      <c r="BR435" s="12"/>
      <c r="BS435" s="12"/>
      <c r="BT435" s="11"/>
      <c r="BU435" s="13"/>
      <c r="BV435" s="11"/>
      <c r="BW435" s="11"/>
      <c r="BX435" s="13"/>
      <c r="BY435" s="11"/>
      <c r="BZ435" s="12"/>
      <c r="CA435" s="12"/>
      <c r="CB435" s="11"/>
      <c r="CC435" s="13"/>
      <c r="CD435" s="11"/>
      <c r="CE435" s="11"/>
      <c r="CF435" s="13"/>
      <c r="CG435" s="11"/>
      <c r="CH435" s="12"/>
      <c r="CI435" s="12"/>
      <c r="CJ435" s="11"/>
      <c r="CK435" s="13"/>
      <c r="CL435" s="11"/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/>
      <c r="DI435" s="13"/>
      <c r="DJ435" s="11"/>
      <c r="DK435" s="11"/>
      <c r="DL435" s="13"/>
      <c r="DM435" s="11"/>
      <c r="DN435" s="12"/>
      <c r="DO435" s="12"/>
      <c r="DP435" s="11"/>
      <c r="DQ435" s="13"/>
      <c r="DR435" s="11"/>
      <c r="DS435" s="11"/>
      <c r="DT435" s="13"/>
      <c r="DU435" s="11"/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/>
      <c r="ER435" s="13"/>
      <c r="ES435" s="11"/>
      <c r="ET435" s="12"/>
      <c r="EU435" s="12"/>
      <c r="EV435" s="11"/>
      <c r="EW435" s="13"/>
      <c r="EX435" s="11"/>
      <c r="EY435" s="11"/>
      <c r="EZ435" s="13"/>
      <c r="FA435" s="11"/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/>
      <c r="GM435" s="11"/>
      <c r="GN435" s="13"/>
      <c r="GO435" s="11"/>
      <c r="GP435" s="12"/>
      <c r="GQ435" s="12"/>
      <c r="GR435" s="11"/>
      <c r="GS435" s="13"/>
      <c r="GT435" s="11"/>
      <c r="GU435" s="11"/>
      <c r="GV435" s="13"/>
      <c r="GW435" s="11"/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/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/>
      <c r="JO435" s="11"/>
      <c r="JP435" s="13"/>
      <c r="JQ435" s="11"/>
      <c r="JR435" s="12"/>
      <c r="JS435" s="12"/>
      <c r="JT435" s="11"/>
      <c r="JU435" s="13"/>
      <c r="JV435" s="11"/>
      <c r="JW435" s="11"/>
      <c r="JX435" s="13"/>
      <c r="JY435" s="11"/>
      <c r="JZ435" s="12"/>
      <c r="KA435" s="12"/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  <c r="LH435" s="11"/>
      <c r="LI435" s="13"/>
      <c r="LJ435" s="11"/>
      <c r="LK435" s="11"/>
      <c r="LL435" s="13"/>
      <c r="LM435" s="11"/>
      <c r="LN435" s="12"/>
      <c r="LO435" s="12"/>
      <c r="LP435" s="11"/>
      <c r="LQ435" s="13"/>
      <c r="LR435" s="11"/>
      <c r="LS435" s="11"/>
      <c r="LT435" s="13"/>
      <c r="LU435" s="11"/>
      <c r="LV435" s="12"/>
      <c r="LW435" s="12"/>
    </row>
    <row r="436">
      <c r="A436" s="10" t="s">
        <v>227</v>
      </c>
      <c r="B436" s="10" t="s">
        <v>128</v>
      </c>
      <c r="C436" s="10" t="s">
        <v>218</v>
      </c>
      <c r="D436" s="11"/>
      <c r="E436" s="11">
        <f>=ROUNDDOWN({0},0)</f>
      </c>
      <c r="F436" s="11"/>
      <c r="G436" s="12"/>
      <c r="H436" s="11"/>
      <c r="I436" s="11">
        <f>=ROUNDDOWN({0},0)</f>
      </c>
      <c r="J436" s="11"/>
      <c r="K436" s="12"/>
      <c r="L436" s="11"/>
      <c r="M436" s="13"/>
      <c r="N436" s="11"/>
      <c r="O436" s="14"/>
      <c r="P436" s="11"/>
      <c r="Q436" s="13"/>
      <c r="R436" s="11"/>
      <c r="S436" s="14"/>
      <c r="T436" s="12"/>
      <c r="U436" s="12"/>
      <c r="V436" s="12"/>
      <c r="W436" s="12"/>
      <c r="X436" s="11"/>
      <c r="Y436" s="13"/>
      <c r="Z436" s="11"/>
      <c r="AA436" s="11"/>
      <c r="AB436" s="13"/>
      <c r="AC436" s="11"/>
      <c r="AD436" s="12"/>
      <c r="AE436" s="12"/>
      <c r="AF436" s="11"/>
      <c r="AG436" s="13"/>
      <c r="AH436" s="11"/>
      <c r="AI436" s="11"/>
      <c r="AJ436" s="13"/>
      <c r="AK436" s="11"/>
      <c r="AL436" s="12"/>
      <c r="AM436" s="12"/>
      <c r="AN436" s="11"/>
      <c r="AO436" s="13"/>
      <c r="AP436" s="11"/>
      <c r="AQ436" s="11"/>
      <c r="AR436" s="13"/>
      <c r="AS436" s="11"/>
      <c r="AT436" s="12"/>
      <c r="AU436" s="12"/>
      <c r="AV436" s="11"/>
      <c r="AW436" s="13"/>
      <c r="AX436" s="11"/>
      <c r="AY436" s="11"/>
      <c r="AZ436" s="13"/>
      <c r="BA436" s="11"/>
      <c r="BB436" s="12"/>
      <c r="BC436" s="12"/>
      <c r="BD436" s="11"/>
      <c r="BE436" s="13"/>
      <c r="BF436" s="11"/>
      <c r="BG436" s="11"/>
      <c r="BH436" s="13"/>
      <c r="BI436" s="11"/>
      <c r="BJ436" s="12"/>
      <c r="BK436" s="12"/>
      <c r="BL436" s="11"/>
      <c r="BM436" s="13"/>
      <c r="BN436" s="11"/>
      <c r="BO436" s="11"/>
      <c r="BP436" s="13"/>
      <c r="BQ436" s="11"/>
      <c r="BR436" s="12"/>
      <c r="BS436" s="12"/>
      <c r="BT436" s="11"/>
      <c r="BU436" s="13"/>
      <c r="BV436" s="11"/>
      <c r="BW436" s="11"/>
      <c r="BX436" s="13"/>
      <c r="BY436" s="11"/>
      <c r="BZ436" s="12"/>
      <c r="CA436" s="12"/>
      <c r="CB436" s="11"/>
      <c r="CC436" s="13"/>
      <c r="CD436" s="11"/>
      <c r="CE436" s="11"/>
      <c r="CF436" s="13"/>
      <c r="CG436" s="11"/>
      <c r="CH436" s="12"/>
      <c r="CI436" s="12"/>
      <c r="CJ436" s="11"/>
      <c r="CK436" s="13"/>
      <c r="CL436" s="11"/>
      <c r="CM436" s="11"/>
      <c r="CN436" s="13"/>
      <c r="CO436" s="11"/>
      <c r="CP436" s="12"/>
      <c r="CQ436" s="12"/>
      <c r="CR436" s="11"/>
      <c r="CS436" s="13"/>
      <c r="CT436" s="11"/>
      <c r="CU436" s="11"/>
      <c r="CV436" s="13"/>
      <c r="CW436" s="11"/>
      <c r="CX436" s="12"/>
      <c r="CY436" s="12"/>
      <c r="CZ436" s="11"/>
      <c r="DA436" s="13"/>
      <c r="DB436" s="11"/>
      <c r="DC436" s="11"/>
      <c r="DD436" s="13"/>
      <c r="DE436" s="11"/>
      <c r="DF436" s="12"/>
      <c r="DG436" s="12"/>
      <c r="DH436" s="11"/>
      <c r="DI436" s="13"/>
      <c r="DJ436" s="11"/>
      <c r="DK436" s="11"/>
      <c r="DL436" s="13"/>
      <c r="DM436" s="11"/>
      <c r="DN436" s="12"/>
      <c r="DO436" s="12"/>
      <c r="DP436" s="11"/>
      <c r="DQ436" s="13"/>
      <c r="DR436" s="11"/>
      <c r="DS436" s="11"/>
      <c r="DT436" s="13"/>
      <c r="DU436" s="11"/>
      <c r="DV436" s="12"/>
      <c r="DW436" s="12"/>
      <c r="DX436" s="11"/>
      <c r="DY436" s="13"/>
      <c r="DZ436" s="11"/>
      <c r="EA436" s="11"/>
      <c r="EB436" s="13"/>
      <c r="EC436" s="11"/>
      <c r="ED436" s="12"/>
      <c r="EE436" s="12"/>
      <c r="EF436" s="11"/>
      <c r="EG436" s="13"/>
      <c r="EH436" s="11"/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/>
      <c r="EW436" s="13"/>
      <c r="EX436" s="11"/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/>
      <c r="GM436" s="11"/>
      <c r="GN436" s="13"/>
      <c r="GO436" s="11"/>
      <c r="GP436" s="12"/>
      <c r="GQ436" s="12"/>
      <c r="GR436" s="11"/>
      <c r="GS436" s="13"/>
      <c r="GT436" s="11"/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/>
      <c r="HK436" s="11"/>
      <c r="HL436" s="13"/>
      <c r="HM436" s="11"/>
      <c r="HN436" s="12"/>
      <c r="HO436" s="12"/>
      <c r="HP436" s="11"/>
      <c r="HQ436" s="13"/>
      <c r="HR436" s="11"/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/>
      <c r="JR436" s="12"/>
      <c r="JS436" s="12"/>
      <c r="JT436" s="11"/>
      <c r="JU436" s="13"/>
      <c r="JV436" s="11"/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/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  <c r="LH436" s="11"/>
      <c r="LI436" s="13"/>
      <c r="LJ436" s="11"/>
      <c r="LK436" s="11"/>
      <c r="LL436" s="13"/>
      <c r="LM436" s="11"/>
      <c r="LN436" s="12"/>
      <c r="LO436" s="12"/>
      <c r="LP436" s="11"/>
      <c r="LQ436" s="13"/>
      <c r="LR436" s="11"/>
      <c r="LS436" s="11"/>
      <c r="LT436" s="13"/>
      <c r="LU436" s="11"/>
      <c r="LV436" s="12"/>
      <c r="LW436" s="12"/>
    </row>
    <row r="437">
      <c r="A437" s="10" t="s">
        <v>227</v>
      </c>
      <c r="B437" s="10" t="s">
        <v>128</v>
      </c>
      <c r="C437" s="10" t="s">
        <v>240</v>
      </c>
      <c r="D437" s="11"/>
      <c r="E437" s="11">
        <f>=ROUNDDOWN({0},0)</f>
      </c>
      <c r="F437" s="11"/>
      <c r="G437" s="12"/>
      <c r="H437" s="11"/>
      <c r="I437" s="11">
        <f>=ROUNDDOWN({0},0)</f>
      </c>
      <c r="J437" s="11"/>
      <c r="K437" s="12"/>
      <c r="L437" s="11"/>
      <c r="M437" s="13"/>
      <c r="N437" s="11"/>
      <c r="O437" s="14"/>
      <c r="P437" s="11"/>
      <c r="Q437" s="13"/>
      <c r="R437" s="11"/>
      <c r="S437" s="14"/>
      <c r="T437" s="12"/>
      <c r="U437" s="12"/>
      <c r="V437" s="12"/>
      <c r="W437" s="12"/>
      <c r="X437" s="11"/>
      <c r="Y437" s="13"/>
      <c r="Z437" s="11"/>
      <c r="AA437" s="11"/>
      <c r="AB437" s="13"/>
      <c r="AC437" s="11"/>
      <c r="AD437" s="12"/>
      <c r="AE437" s="12"/>
      <c r="AF437" s="11"/>
      <c r="AG437" s="13"/>
      <c r="AH437" s="11"/>
      <c r="AI437" s="11"/>
      <c r="AJ437" s="13"/>
      <c r="AK437" s="11"/>
      <c r="AL437" s="12"/>
      <c r="AM437" s="12"/>
      <c r="AN437" s="11"/>
      <c r="AO437" s="13"/>
      <c r="AP437" s="11"/>
      <c r="AQ437" s="11"/>
      <c r="AR437" s="13"/>
      <c r="AS437" s="11"/>
      <c r="AT437" s="12"/>
      <c r="AU437" s="12"/>
      <c r="AV437" s="11"/>
      <c r="AW437" s="13"/>
      <c r="AX437" s="11"/>
      <c r="AY437" s="11"/>
      <c r="AZ437" s="13"/>
      <c r="BA437" s="11"/>
      <c r="BB437" s="12"/>
      <c r="BC437" s="12"/>
      <c r="BD437" s="11"/>
      <c r="BE437" s="13"/>
      <c r="BF437" s="11"/>
      <c r="BG437" s="11"/>
      <c r="BH437" s="13"/>
      <c r="BI437" s="11"/>
      <c r="BJ437" s="12"/>
      <c r="BK437" s="12"/>
      <c r="BL437" s="11"/>
      <c r="BM437" s="13"/>
      <c r="BN437" s="11"/>
      <c r="BO437" s="11"/>
      <c r="BP437" s="13"/>
      <c r="BQ437" s="11"/>
      <c r="BR437" s="12"/>
      <c r="BS437" s="12"/>
      <c r="BT437" s="11"/>
      <c r="BU437" s="13"/>
      <c r="BV437" s="11"/>
      <c r="BW437" s="11"/>
      <c r="BX437" s="13"/>
      <c r="BY437" s="11"/>
      <c r="BZ437" s="12"/>
      <c r="CA437" s="12"/>
      <c r="CB437" s="11"/>
      <c r="CC437" s="13"/>
      <c r="CD437" s="11"/>
      <c r="CE437" s="11"/>
      <c r="CF437" s="13"/>
      <c r="CG437" s="11"/>
      <c r="CH437" s="12"/>
      <c r="CI437" s="12"/>
      <c r="CJ437" s="11"/>
      <c r="CK437" s="13"/>
      <c r="CL437" s="11"/>
      <c r="CM437" s="11"/>
      <c r="CN437" s="13"/>
      <c r="CO437" s="11"/>
      <c r="CP437" s="12"/>
      <c r="CQ437" s="12"/>
      <c r="CR437" s="11"/>
      <c r="CS437" s="13"/>
      <c r="CT437" s="11"/>
      <c r="CU437" s="11"/>
      <c r="CV437" s="13"/>
      <c r="CW437" s="11"/>
      <c r="CX437" s="12"/>
      <c r="CY437" s="12"/>
      <c r="CZ437" s="11"/>
      <c r="DA437" s="13"/>
      <c r="DB437" s="11"/>
      <c r="DC437" s="11"/>
      <c r="DD437" s="13"/>
      <c r="DE437" s="11"/>
      <c r="DF437" s="12"/>
      <c r="DG437" s="12"/>
      <c r="DH437" s="11"/>
      <c r="DI437" s="13"/>
      <c r="DJ437" s="11"/>
      <c r="DK437" s="11"/>
      <c r="DL437" s="13"/>
      <c r="DM437" s="11"/>
      <c r="DN437" s="12"/>
      <c r="DO437" s="12"/>
      <c r="DP437" s="11"/>
      <c r="DQ437" s="13"/>
      <c r="DR437" s="11"/>
      <c r="DS437" s="11"/>
      <c r="DT437" s="13"/>
      <c r="DU437" s="11"/>
      <c r="DV437" s="12"/>
      <c r="DW437" s="12"/>
      <c r="DX437" s="11"/>
      <c r="DY437" s="13"/>
      <c r="DZ437" s="11"/>
      <c r="EA437" s="11"/>
      <c r="EB437" s="13"/>
      <c r="EC437" s="11"/>
      <c r="ED437" s="12"/>
      <c r="EE437" s="12"/>
      <c r="EF437" s="11"/>
      <c r="EG437" s="13"/>
      <c r="EH437" s="11"/>
      <c r="EI437" s="11"/>
      <c r="EJ437" s="13"/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/>
      <c r="EW437" s="13"/>
      <c r="EX437" s="11"/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/>
      <c r="GC437" s="13"/>
      <c r="GD437" s="11"/>
      <c r="GE437" s="11"/>
      <c r="GF437" s="13"/>
      <c r="GG437" s="11"/>
      <c r="GH437" s="12"/>
      <c r="GI437" s="12"/>
      <c r="GJ437" s="11"/>
      <c r="GK437" s="13"/>
      <c r="GL437" s="11"/>
      <c r="GM437" s="11"/>
      <c r="GN437" s="13"/>
      <c r="GO437" s="11"/>
      <c r="GP437" s="12"/>
      <c r="GQ437" s="12"/>
      <c r="GR437" s="11"/>
      <c r="GS437" s="13"/>
      <c r="GT437" s="11"/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/>
      <c r="HK437" s="11"/>
      <c r="HL437" s="13"/>
      <c r="HM437" s="11"/>
      <c r="HN437" s="12"/>
      <c r="HO437" s="12"/>
      <c r="HP437" s="11"/>
      <c r="HQ437" s="13"/>
      <c r="HR437" s="11"/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/>
      <c r="JP437" s="13"/>
      <c r="JQ437" s="11"/>
      <c r="JR437" s="12"/>
      <c r="JS437" s="12"/>
      <c r="JT437" s="11"/>
      <c r="JU437" s="13"/>
      <c r="JV437" s="11"/>
      <c r="JW437" s="11"/>
      <c r="JX437" s="13"/>
      <c r="JY437" s="11"/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/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  <c r="LH437" s="11"/>
      <c r="LI437" s="13"/>
      <c r="LJ437" s="11"/>
      <c r="LK437" s="11"/>
      <c r="LL437" s="13"/>
      <c r="LM437" s="11"/>
      <c r="LN437" s="12"/>
      <c r="LO437" s="12"/>
      <c r="LP437" s="11"/>
      <c r="LQ437" s="13"/>
      <c r="LR437" s="11"/>
      <c r="LS437" s="11"/>
      <c r="LT437" s="13"/>
      <c r="LU437" s="11"/>
      <c r="LV437" s="12"/>
      <c r="LW437" s="12"/>
    </row>
    <row r="438">
      <c r="A438" s="10" t="s">
        <v>227</v>
      </c>
      <c r="B438" s="10" t="s">
        <v>128</v>
      </c>
      <c r="C438" s="10" t="s">
        <v>225</v>
      </c>
      <c r="D438" s="11"/>
      <c r="E438" s="11">
        <f>=ROUNDDOWN({0},0)</f>
      </c>
      <c r="F438" s="11"/>
      <c r="G438" s="12"/>
      <c r="H438" s="11"/>
      <c r="I438" s="11">
        <f>=ROUNDDOWN({0},0)</f>
      </c>
      <c r="J438" s="11"/>
      <c r="K438" s="12"/>
      <c r="L438" s="11"/>
      <c r="M438" s="13"/>
      <c r="N438" s="11"/>
      <c r="O438" s="14"/>
      <c r="P438" s="11"/>
      <c r="Q438" s="13"/>
      <c r="R438" s="11"/>
      <c r="S438" s="14"/>
      <c r="T438" s="12"/>
      <c r="U438" s="12"/>
      <c r="V438" s="12"/>
      <c r="W438" s="12"/>
      <c r="X438" s="11"/>
      <c r="Y438" s="13"/>
      <c r="Z438" s="11"/>
      <c r="AA438" s="11"/>
      <c r="AB438" s="13"/>
      <c r="AC438" s="11"/>
      <c r="AD438" s="12"/>
      <c r="AE438" s="12"/>
      <c r="AF438" s="11"/>
      <c r="AG438" s="13"/>
      <c r="AH438" s="11"/>
      <c r="AI438" s="11"/>
      <c r="AJ438" s="13"/>
      <c r="AK438" s="11"/>
      <c r="AL438" s="12"/>
      <c r="AM438" s="12"/>
      <c r="AN438" s="11"/>
      <c r="AO438" s="13"/>
      <c r="AP438" s="11"/>
      <c r="AQ438" s="11"/>
      <c r="AR438" s="13"/>
      <c r="AS438" s="11"/>
      <c r="AT438" s="12"/>
      <c r="AU438" s="12"/>
      <c r="AV438" s="11"/>
      <c r="AW438" s="13"/>
      <c r="AX438" s="11"/>
      <c r="AY438" s="11"/>
      <c r="AZ438" s="13"/>
      <c r="BA438" s="11"/>
      <c r="BB438" s="12"/>
      <c r="BC438" s="12"/>
      <c r="BD438" s="11"/>
      <c r="BE438" s="13"/>
      <c r="BF438" s="11"/>
      <c r="BG438" s="11"/>
      <c r="BH438" s="13"/>
      <c r="BI438" s="11"/>
      <c r="BJ438" s="12"/>
      <c r="BK438" s="12"/>
      <c r="BL438" s="11"/>
      <c r="BM438" s="13"/>
      <c r="BN438" s="11"/>
      <c r="BO438" s="11"/>
      <c r="BP438" s="13"/>
      <c r="BQ438" s="11"/>
      <c r="BR438" s="12"/>
      <c r="BS438" s="12"/>
      <c r="BT438" s="11"/>
      <c r="BU438" s="13"/>
      <c r="BV438" s="11"/>
      <c r="BW438" s="11"/>
      <c r="BX438" s="13"/>
      <c r="BY438" s="11"/>
      <c r="BZ438" s="12"/>
      <c r="CA438" s="12"/>
      <c r="CB438" s="11"/>
      <c r="CC438" s="13"/>
      <c r="CD438" s="11"/>
      <c r="CE438" s="11"/>
      <c r="CF438" s="13"/>
      <c r="CG438" s="11"/>
      <c r="CH438" s="12"/>
      <c r="CI438" s="12"/>
      <c r="CJ438" s="11"/>
      <c r="CK438" s="13"/>
      <c r="CL438" s="11"/>
      <c r="CM438" s="11"/>
      <c r="CN438" s="13"/>
      <c r="CO438" s="11"/>
      <c r="CP438" s="12"/>
      <c r="CQ438" s="12"/>
      <c r="CR438" s="11"/>
      <c r="CS438" s="13"/>
      <c r="CT438" s="11"/>
      <c r="CU438" s="11"/>
      <c r="CV438" s="13"/>
      <c r="CW438" s="11"/>
      <c r="CX438" s="12"/>
      <c r="CY438" s="12"/>
      <c r="CZ438" s="11"/>
      <c r="DA438" s="13"/>
      <c r="DB438" s="11"/>
      <c r="DC438" s="11"/>
      <c r="DD438" s="13"/>
      <c r="DE438" s="11"/>
      <c r="DF438" s="12"/>
      <c r="DG438" s="12"/>
      <c r="DH438" s="11"/>
      <c r="DI438" s="13"/>
      <c r="DJ438" s="11"/>
      <c r="DK438" s="11"/>
      <c r="DL438" s="13"/>
      <c r="DM438" s="11"/>
      <c r="DN438" s="12"/>
      <c r="DO438" s="12"/>
      <c r="DP438" s="11"/>
      <c r="DQ438" s="13"/>
      <c r="DR438" s="11"/>
      <c r="DS438" s="11"/>
      <c r="DT438" s="13"/>
      <c r="DU438" s="11"/>
      <c r="DV438" s="12"/>
      <c r="DW438" s="12"/>
      <c r="DX438" s="11"/>
      <c r="DY438" s="13"/>
      <c r="DZ438" s="11"/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/>
      <c r="EL438" s="12"/>
      <c r="EM438" s="12"/>
      <c r="EN438" s="11"/>
      <c r="EO438" s="13"/>
      <c r="EP438" s="11"/>
      <c r="EQ438" s="11"/>
      <c r="ER438" s="13"/>
      <c r="ES438" s="11"/>
      <c r="ET438" s="12"/>
      <c r="EU438" s="12"/>
      <c r="EV438" s="11"/>
      <c r="EW438" s="13"/>
      <c r="EX438" s="11"/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/>
      <c r="FW438" s="11"/>
      <c r="FX438" s="13"/>
      <c r="FY438" s="11"/>
      <c r="FZ438" s="12"/>
      <c r="GA438" s="12"/>
      <c r="GB438" s="11"/>
      <c r="GC438" s="13"/>
      <c r="GD438" s="11"/>
      <c r="GE438" s="11"/>
      <c r="GF438" s="13"/>
      <c r="GG438" s="11"/>
      <c r="GH438" s="12"/>
      <c r="GI438" s="12"/>
      <c r="GJ438" s="11"/>
      <c r="GK438" s="13"/>
      <c r="GL438" s="11"/>
      <c r="GM438" s="11"/>
      <c r="GN438" s="13"/>
      <c r="GO438" s="11"/>
      <c r="GP438" s="12"/>
      <c r="GQ438" s="12"/>
      <c r="GR438" s="11"/>
      <c r="GS438" s="13"/>
      <c r="GT438" s="11"/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/>
      <c r="HK438" s="11"/>
      <c r="HL438" s="13"/>
      <c r="HM438" s="11"/>
      <c r="HN438" s="12"/>
      <c r="HO438" s="12"/>
      <c r="HP438" s="11"/>
      <c r="HQ438" s="13"/>
      <c r="HR438" s="11"/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/>
      <c r="JP438" s="13"/>
      <c r="JQ438" s="11"/>
      <c r="JR438" s="12"/>
      <c r="JS438" s="12"/>
      <c r="JT438" s="11"/>
      <c r="JU438" s="13"/>
      <c r="JV438" s="11"/>
      <c r="JW438" s="11"/>
      <c r="JX438" s="13"/>
      <c r="JY438" s="11"/>
      <c r="JZ438" s="12"/>
      <c r="KA438" s="12"/>
      <c r="KB438" s="11"/>
      <c r="KC438" s="13"/>
      <c r="KD438" s="11"/>
      <c r="KE438" s="11"/>
      <c r="KF438" s="13"/>
      <c r="KG438" s="11"/>
      <c r="KH438" s="12"/>
      <c r="KI438" s="12"/>
      <c r="KJ438" s="11"/>
      <c r="KK438" s="13"/>
      <c r="KL438" s="11"/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  <c r="LH438" s="11"/>
      <c r="LI438" s="13"/>
      <c r="LJ438" s="11"/>
      <c r="LK438" s="11"/>
      <c r="LL438" s="13"/>
      <c r="LM438" s="11"/>
      <c r="LN438" s="12"/>
      <c r="LO438" s="12"/>
      <c r="LP438" s="11"/>
      <c r="LQ438" s="13"/>
      <c r="LR438" s="11"/>
      <c r="LS438" s="11"/>
      <c r="LT438" s="13"/>
      <c r="LU438" s="11"/>
      <c r="LV438" s="12"/>
      <c r="LW438" s="12"/>
    </row>
    <row r="439">
      <c r="A439" s="10" t="s">
        <v>227</v>
      </c>
      <c r="B439" s="10" t="s">
        <v>129</v>
      </c>
      <c r="C439" s="10" t="s">
        <v>77</v>
      </c>
      <c r="D439" s="11">
        <v>5</v>
      </c>
      <c r="E439" s="11">
        <f>=ROUNDDOWN({0},0)</f>
      </c>
      <c r="F439" s="11"/>
      <c r="G439" s="12"/>
      <c r="H439" s="11"/>
      <c r="I439" s="11">
        <f>=ROUNDDOWN({0},0)</f>
      </c>
      <c r="J439" s="11"/>
      <c r="K439" s="12"/>
      <c r="L439" s="11"/>
      <c r="M439" s="13"/>
      <c r="N439" s="11"/>
      <c r="O439" s="14"/>
      <c r="P439" s="11"/>
      <c r="Q439" s="13"/>
      <c r="R439" s="11"/>
      <c r="S439" s="14"/>
      <c r="T439" s="12"/>
      <c r="U439" s="12"/>
      <c r="V439" s="12"/>
      <c r="W439" s="12"/>
      <c r="X439" s="11"/>
      <c r="Y439" s="13"/>
      <c r="Z439" s="11"/>
      <c r="AA439" s="11"/>
      <c r="AB439" s="13"/>
      <c r="AC439" s="11"/>
      <c r="AD439" s="12"/>
      <c r="AE439" s="12"/>
      <c r="AF439" s="11"/>
      <c r="AG439" s="13"/>
      <c r="AH439" s="11"/>
      <c r="AI439" s="11"/>
      <c r="AJ439" s="13"/>
      <c r="AK439" s="11"/>
      <c r="AL439" s="12"/>
      <c r="AM439" s="12"/>
      <c r="AN439" s="11"/>
      <c r="AO439" s="13"/>
      <c r="AP439" s="11"/>
      <c r="AQ439" s="11"/>
      <c r="AR439" s="13"/>
      <c r="AS439" s="11"/>
      <c r="AT439" s="12"/>
      <c r="AU439" s="12"/>
      <c r="AV439" s="11"/>
      <c r="AW439" s="13"/>
      <c r="AX439" s="11"/>
      <c r="AY439" s="11"/>
      <c r="AZ439" s="13"/>
      <c r="BA439" s="11"/>
      <c r="BB439" s="12"/>
      <c r="BC439" s="12"/>
      <c r="BD439" s="11"/>
      <c r="BE439" s="13"/>
      <c r="BF439" s="11"/>
      <c r="BG439" s="11"/>
      <c r="BH439" s="13"/>
      <c r="BI439" s="11"/>
      <c r="BJ439" s="12"/>
      <c r="BK439" s="12"/>
      <c r="BL439" s="11"/>
      <c r="BM439" s="13"/>
      <c r="BN439" s="11"/>
      <c r="BO439" s="11"/>
      <c r="BP439" s="13"/>
      <c r="BQ439" s="11"/>
      <c r="BR439" s="12"/>
      <c r="BS439" s="12"/>
      <c r="BT439" s="11"/>
      <c r="BU439" s="13"/>
      <c r="BV439" s="11"/>
      <c r="BW439" s="11"/>
      <c r="BX439" s="13"/>
      <c r="BY439" s="11"/>
      <c r="BZ439" s="12"/>
      <c r="CA439" s="12"/>
      <c r="CB439" s="11"/>
      <c r="CC439" s="13"/>
      <c r="CD439" s="11"/>
      <c r="CE439" s="11"/>
      <c r="CF439" s="13"/>
      <c r="CG439" s="11"/>
      <c r="CH439" s="12"/>
      <c r="CI439" s="12"/>
      <c r="CJ439" s="11"/>
      <c r="CK439" s="13"/>
      <c r="CL439" s="11"/>
      <c r="CM439" s="11"/>
      <c r="CN439" s="13"/>
      <c r="CO439" s="11"/>
      <c r="CP439" s="12"/>
      <c r="CQ439" s="12"/>
      <c r="CR439" s="11"/>
      <c r="CS439" s="13"/>
      <c r="CT439" s="11"/>
      <c r="CU439" s="11"/>
      <c r="CV439" s="13"/>
      <c r="CW439" s="11"/>
      <c r="CX439" s="12"/>
      <c r="CY439" s="12"/>
      <c r="CZ439" s="11"/>
      <c r="DA439" s="13"/>
      <c r="DB439" s="11"/>
      <c r="DC439" s="11"/>
      <c r="DD439" s="13"/>
      <c r="DE439" s="11"/>
      <c r="DF439" s="12"/>
      <c r="DG439" s="12"/>
      <c r="DH439" s="11"/>
      <c r="DI439" s="13"/>
      <c r="DJ439" s="11"/>
      <c r="DK439" s="11"/>
      <c r="DL439" s="13"/>
      <c r="DM439" s="11"/>
      <c r="DN439" s="12"/>
      <c r="DO439" s="12"/>
      <c r="DP439" s="11"/>
      <c r="DQ439" s="13"/>
      <c r="DR439" s="11"/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/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/>
      <c r="FW439" s="11"/>
      <c r="FX439" s="13"/>
      <c r="FY439" s="11"/>
      <c r="FZ439" s="12"/>
      <c r="GA439" s="12"/>
      <c r="GB439" s="11"/>
      <c r="GC439" s="13"/>
      <c r="GD439" s="11"/>
      <c r="GE439" s="11"/>
      <c r="GF439" s="13"/>
      <c r="GG439" s="11"/>
      <c r="GH439" s="12"/>
      <c r="GI439" s="12"/>
      <c r="GJ439" s="11"/>
      <c r="GK439" s="13"/>
      <c r="GL439" s="11"/>
      <c r="GM439" s="11"/>
      <c r="GN439" s="13"/>
      <c r="GO439" s="11"/>
      <c r="GP439" s="12"/>
      <c r="GQ439" s="12"/>
      <c r="GR439" s="11"/>
      <c r="GS439" s="13"/>
      <c r="GT439" s="11"/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/>
      <c r="JP439" s="13"/>
      <c r="JQ439" s="11"/>
      <c r="JR439" s="12"/>
      <c r="JS439" s="12"/>
      <c r="JT439" s="11"/>
      <c r="JU439" s="13"/>
      <c r="JV439" s="11"/>
      <c r="JW439" s="11"/>
      <c r="JX439" s="13"/>
      <c r="JY439" s="11"/>
      <c r="JZ439" s="12"/>
      <c r="KA439" s="12"/>
      <c r="KB439" s="11"/>
      <c r="KC439" s="13"/>
      <c r="KD439" s="11"/>
      <c r="KE439" s="11"/>
      <c r="KF439" s="13"/>
      <c r="KG439" s="11"/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  <c r="LH439" s="11"/>
      <c r="LI439" s="13"/>
      <c r="LJ439" s="11"/>
      <c r="LK439" s="11"/>
      <c r="LL439" s="13"/>
      <c r="LM439" s="11"/>
      <c r="LN439" s="12"/>
      <c r="LO439" s="12"/>
      <c r="LP439" s="11"/>
      <c r="LQ439" s="13"/>
      <c r="LR439" s="11"/>
      <c r="LS439" s="11"/>
      <c r="LT439" s="13"/>
      <c r="LU439" s="11"/>
      <c r="LV439" s="12"/>
      <c r="LW439" s="12"/>
    </row>
    <row r="440">
      <c r="A440" s="10" t="s">
        <v>227</v>
      </c>
      <c r="B440" s="10" t="s">
        <v>242</v>
      </c>
      <c r="C440" s="10" t="s">
        <v>213</v>
      </c>
      <c r="D440" s="11">
        <v>102</v>
      </c>
      <c r="E440" s="11">
        <f>=ROUNDDOWN(7.28571428571429,0)</f>
      </c>
      <c r="F440" s="11"/>
      <c r="G440" s="12">
        <v>0.9456</v>
      </c>
      <c r="H440" s="11"/>
      <c r="I440" s="11">
        <f>=ROUNDDOWN({0},0)</f>
      </c>
      <c r="J440" s="11"/>
      <c r="K440" s="12"/>
      <c r="L440" s="11">
        <v>70</v>
      </c>
      <c r="M440" s="13">
        <v>13377</v>
      </c>
      <c r="N440" s="11"/>
      <c r="O440" s="14"/>
      <c r="P440" s="11"/>
      <c r="Q440" s="13"/>
      <c r="R440" s="11"/>
      <c r="S440" s="14"/>
      <c r="T440" s="12"/>
      <c r="U440" s="12"/>
      <c r="V440" s="12"/>
      <c r="W440" s="12"/>
      <c r="X440" s="11"/>
      <c r="Y440" s="13"/>
      <c r="Z440" s="11"/>
      <c r="AA440" s="11"/>
      <c r="AB440" s="13"/>
      <c r="AC440" s="11"/>
      <c r="AD440" s="12"/>
      <c r="AE440" s="12"/>
      <c r="AF440" s="11"/>
      <c r="AG440" s="13"/>
      <c r="AH440" s="11"/>
      <c r="AI440" s="11"/>
      <c r="AJ440" s="13"/>
      <c r="AK440" s="11"/>
      <c r="AL440" s="12"/>
      <c r="AM440" s="12"/>
      <c r="AN440" s="11"/>
      <c r="AO440" s="13"/>
      <c r="AP440" s="11"/>
      <c r="AQ440" s="11"/>
      <c r="AR440" s="13"/>
      <c r="AS440" s="11"/>
      <c r="AT440" s="12"/>
      <c r="AU440" s="12"/>
      <c r="AV440" s="11">
        <v>70</v>
      </c>
      <c r="AW440" s="13">
        <v>13377</v>
      </c>
      <c r="AX440" s="11"/>
      <c r="AY440" s="11"/>
      <c r="AZ440" s="13"/>
      <c r="BA440" s="11"/>
      <c r="BB440" s="12"/>
      <c r="BC440" s="12"/>
      <c r="BD440" s="11"/>
      <c r="BE440" s="13"/>
      <c r="BF440" s="11"/>
      <c r="BG440" s="11"/>
      <c r="BH440" s="13"/>
      <c r="BI440" s="11"/>
      <c r="BJ440" s="12"/>
      <c r="BK440" s="12"/>
      <c r="BL440" s="11"/>
      <c r="BM440" s="13"/>
      <c r="BN440" s="11"/>
      <c r="BO440" s="11"/>
      <c r="BP440" s="13"/>
      <c r="BQ440" s="11"/>
      <c r="BR440" s="12"/>
      <c r="BS440" s="12"/>
      <c r="BT440" s="11"/>
      <c r="BU440" s="13"/>
      <c r="BV440" s="11"/>
      <c r="BW440" s="11"/>
      <c r="BX440" s="13"/>
      <c r="BY440" s="11"/>
      <c r="BZ440" s="12"/>
      <c r="CA440" s="12"/>
      <c r="CB440" s="11"/>
      <c r="CC440" s="13"/>
      <c r="CD440" s="11"/>
      <c r="CE440" s="11"/>
      <c r="CF440" s="13"/>
      <c r="CG440" s="11"/>
      <c r="CH440" s="12"/>
      <c r="CI440" s="12"/>
      <c r="CJ440" s="11"/>
      <c r="CK440" s="13"/>
      <c r="CL440" s="11"/>
      <c r="CM440" s="11"/>
      <c r="CN440" s="13"/>
      <c r="CO440" s="11"/>
      <c r="CP440" s="12"/>
      <c r="CQ440" s="12"/>
      <c r="CR440" s="11"/>
      <c r="CS440" s="13"/>
      <c r="CT440" s="11"/>
      <c r="CU440" s="11"/>
      <c r="CV440" s="13"/>
      <c r="CW440" s="11"/>
      <c r="CX440" s="12"/>
      <c r="CY440" s="12"/>
      <c r="CZ440" s="11"/>
      <c r="DA440" s="13"/>
      <c r="DB440" s="11"/>
      <c r="DC440" s="11"/>
      <c r="DD440" s="13"/>
      <c r="DE440" s="11"/>
      <c r="DF440" s="12"/>
      <c r="DG440" s="12"/>
      <c r="DH440" s="11"/>
      <c r="DI440" s="13"/>
      <c r="DJ440" s="11"/>
      <c r="DK440" s="11"/>
      <c r="DL440" s="13"/>
      <c r="DM440" s="11"/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/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/>
      <c r="EW440" s="13"/>
      <c r="EX440" s="11"/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/>
      <c r="GM440" s="11"/>
      <c r="GN440" s="13"/>
      <c r="GO440" s="11"/>
      <c r="GP440" s="12"/>
      <c r="GQ440" s="12"/>
      <c r="GR440" s="11"/>
      <c r="GS440" s="13"/>
      <c r="GT440" s="11"/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/>
      <c r="HK440" s="11"/>
      <c r="HL440" s="13"/>
      <c r="HM440" s="11"/>
      <c r="HN440" s="12"/>
      <c r="HO440" s="12"/>
      <c r="HP440" s="11"/>
      <c r="HQ440" s="13"/>
      <c r="HR440" s="11"/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/>
      <c r="JP440" s="13"/>
      <c r="JQ440" s="11"/>
      <c r="JR440" s="12"/>
      <c r="JS440" s="12"/>
      <c r="JT440" s="11"/>
      <c r="JU440" s="13"/>
      <c r="JV440" s="11"/>
      <c r="JW440" s="11"/>
      <c r="JX440" s="13"/>
      <c r="JY440" s="11"/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/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  <c r="LH440" s="11"/>
      <c r="LI440" s="13"/>
      <c r="LJ440" s="11"/>
      <c r="LK440" s="11"/>
      <c r="LL440" s="13"/>
      <c r="LM440" s="11"/>
      <c r="LN440" s="12"/>
      <c r="LO440" s="12"/>
      <c r="LP440" s="11"/>
      <c r="LQ440" s="13"/>
      <c r="LR440" s="11"/>
      <c r="LS440" s="11"/>
      <c r="LT440" s="13"/>
      <c r="LU440" s="11"/>
      <c r="LV440" s="12"/>
      <c r="LW440" s="12"/>
    </row>
    <row r="441">
      <c r="A441" s="10" t="s">
        <v>227</v>
      </c>
      <c r="B441" s="10" t="s">
        <v>242</v>
      </c>
      <c r="C441" s="10" t="s">
        <v>225</v>
      </c>
      <c r="D441" s="11">
        <v>1455</v>
      </c>
      <c r="E441" s="11">
        <f>=ROUNDDOWN(44.0909090909091,0)</f>
      </c>
      <c r="F441" s="11"/>
      <c r="G441" s="12">
        <v>1</v>
      </c>
      <c r="H441" s="11"/>
      <c r="I441" s="11">
        <f>=ROUNDDOWN({0},0)</f>
      </c>
      <c r="J441" s="11"/>
      <c r="K441" s="12"/>
      <c r="L441" s="11">
        <v>488</v>
      </c>
      <c r="M441" s="13">
        <v>30744</v>
      </c>
      <c r="N441" s="11"/>
      <c r="O441" s="14"/>
      <c r="P441" s="11"/>
      <c r="Q441" s="13"/>
      <c r="R441" s="11"/>
      <c r="S441" s="14"/>
      <c r="T441" s="12"/>
      <c r="U441" s="12"/>
      <c r="V441" s="12"/>
      <c r="W441" s="12"/>
      <c r="X441" s="11"/>
      <c r="Y441" s="13"/>
      <c r="Z441" s="11"/>
      <c r="AA441" s="11"/>
      <c r="AB441" s="13"/>
      <c r="AC441" s="11"/>
      <c r="AD441" s="12"/>
      <c r="AE441" s="12"/>
      <c r="AF441" s="11"/>
      <c r="AG441" s="13"/>
      <c r="AH441" s="11"/>
      <c r="AI441" s="11"/>
      <c r="AJ441" s="13"/>
      <c r="AK441" s="11"/>
      <c r="AL441" s="12"/>
      <c r="AM441" s="12"/>
      <c r="AN441" s="11"/>
      <c r="AO441" s="13"/>
      <c r="AP441" s="11"/>
      <c r="AQ441" s="11"/>
      <c r="AR441" s="13"/>
      <c r="AS441" s="11"/>
      <c r="AT441" s="12"/>
      <c r="AU441" s="12"/>
      <c r="AV441" s="11">
        <v>488</v>
      </c>
      <c r="AW441" s="13">
        <v>30744</v>
      </c>
      <c r="AX441" s="11"/>
      <c r="AY441" s="11"/>
      <c r="AZ441" s="13"/>
      <c r="BA441" s="11"/>
      <c r="BB441" s="12"/>
      <c r="BC441" s="12"/>
      <c r="BD441" s="11"/>
      <c r="BE441" s="13"/>
      <c r="BF441" s="11"/>
      <c r="BG441" s="11"/>
      <c r="BH441" s="13"/>
      <c r="BI441" s="11"/>
      <c r="BJ441" s="12"/>
      <c r="BK441" s="12"/>
      <c r="BL441" s="11"/>
      <c r="BM441" s="13"/>
      <c r="BN441" s="11"/>
      <c r="BO441" s="11"/>
      <c r="BP441" s="13"/>
      <c r="BQ441" s="11"/>
      <c r="BR441" s="12"/>
      <c r="BS441" s="12"/>
      <c r="BT441" s="11"/>
      <c r="BU441" s="13"/>
      <c r="BV441" s="11"/>
      <c r="BW441" s="11"/>
      <c r="BX441" s="13"/>
      <c r="BY441" s="11"/>
      <c r="BZ441" s="12"/>
      <c r="CA441" s="12"/>
      <c r="CB441" s="11"/>
      <c r="CC441" s="13"/>
      <c r="CD441" s="11"/>
      <c r="CE441" s="11"/>
      <c r="CF441" s="13"/>
      <c r="CG441" s="11"/>
      <c r="CH441" s="12"/>
      <c r="CI441" s="12"/>
      <c r="CJ441" s="11"/>
      <c r="CK441" s="13"/>
      <c r="CL441" s="11"/>
      <c r="CM441" s="11"/>
      <c r="CN441" s="13"/>
      <c r="CO441" s="11"/>
      <c r="CP441" s="12"/>
      <c r="CQ441" s="12"/>
      <c r="CR441" s="11"/>
      <c r="CS441" s="13"/>
      <c r="CT441" s="11"/>
      <c r="CU441" s="11"/>
      <c r="CV441" s="13"/>
      <c r="CW441" s="11"/>
      <c r="CX441" s="12"/>
      <c r="CY441" s="12"/>
      <c r="CZ441" s="11"/>
      <c r="DA441" s="13"/>
      <c r="DB441" s="11"/>
      <c r="DC441" s="11"/>
      <c r="DD441" s="13"/>
      <c r="DE441" s="11"/>
      <c r="DF441" s="12"/>
      <c r="DG441" s="12"/>
      <c r="DH441" s="11"/>
      <c r="DI441" s="13"/>
      <c r="DJ441" s="11"/>
      <c r="DK441" s="11"/>
      <c r="DL441" s="13"/>
      <c r="DM441" s="11"/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/>
      <c r="EG441" s="13"/>
      <c r="EH441" s="11"/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/>
      <c r="EW441" s="13"/>
      <c r="EX441" s="11"/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/>
      <c r="GM441" s="11"/>
      <c r="GN441" s="13"/>
      <c r="GO441" s="11"/>
      <c r="GP441" s="12"/>
      <c r="GQ441" s="12"/>
      <c r="GR441" s="11"/>
      <c r="GS441" s="13"/>
      <c r="GT441" s="11"/>
      <c r="GU441" s="11"/>
      <c r="GV441" s="13"/>
      <c r="GW441" s="11"/>
      <c r="GX441" s="12"/>
      <c r="GY441" s="12"/>
      <c r="GZ441" s="11"/>
      <c r="HA441" s="13"/>
      <c r="HB441" s="11"/>
      <c r="HC441" s="11"/>
      <c r="HD441" s="13"/>
      <c r="HE441" s="11"/>
      <c r="HF441" s="12"/>
      <c r="HG441" s="12"/>
      <c r="HH441" s="11"/>
      <c r="HI441" s="13"/>
      <c r="HJ441" s="11"/>
      <c r="HK441" s="11"/>
      <c r="HL441" s="13"/>
      <c r="HM441" s="11"/>
      <c r="HN441" s="12"/>
      <c r="HO441" s="12"/>
      <c r="HP441" s="11"/>
      <c r="HQ441" s="13"/>
      <c r="HR441" s="11"/>
      <c r="HS441" s="11"/>
      <c r="HT441" s="13"/>
      <c r="HU441" s="11"/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/>
      <c r="JP441" s="13"/>
      <c r="JQ441" s="11"/>
      <c r="JR441" s="12"/>
      <c r="JS441" s="12"/>
      <c r="JT441" s="11"/>
      <c r="JU441" s="13"/>
      <c r="JV441" s="11"/>
      <c r="JW441" s="11"/>
      <c r="JX441" s="13"/>
      <c r="JY441" s="11"/>
      <c r="JZ441" s="12"/>
      <c r="KA441" s="12"/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/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  <c r="LH441" s="11"/>
      <c r="LI441" s="13"/>
      <c r="LJ441" s="11"/>
      <c r="LK441" s="11"/>
      <c r="LL441" s="13"/>
      <c r="LM441" s="11"/>
      <c r="LN441" s="12"/>
      <c r="LO441" s="12"/>
      <c r="LP441" s="11"/>
      <c r="LQ441" s="13"/>
      <c r="LR441" s="11"/>
      <c r="LS441" s="11"/>
      <c r="LT441" s="13"/>
      <c r="LU441" s="11"/>
      <c r="LV441" s="12"/>
      <c r="LW441" s="12"/>
    </row>
    <row r="442">
      <c r="A442" s="10" t="s">
        <v>227</v>
      </c>
      <c r="B442" s="10" t="s">
        <v>243</v>
      </c>
      <c r="C442" s="10" t="s">
        <v>77</v>
      </c>
      <c r="D442" s="11">
        <v>1557</v>
      </c>
      <c r="E442" s="11">
        <f>=ROUNDDOWN({0},0)</f>
      </c>
      <c r="F442" s="11"/>
      <c r="G442" s="12"/>
      <c r="H442" s="11"/>
      <c r="I442" s="11">
        <f>=ROUNDDOWN({0},0)</f>
      </c>
      <c r="J442" s="11"/>
      <c r="K442" s="12"/>
      <c r="L442" s="11">
        <v>558</v>
      </c>
      <c r="M442" s="13">
        <v>44121</v>
      </c>
      <c r="N442" s="11"/>
      <c r="O442" s="14"/>
      <c r="P442" s="11"/>
      <c r="Q442" s="13"/>
      <c r="R442" s="11"/>
      <c r="S442" s="14"/>
      <c r="T442" s="12"/>
      <c r="U442" s="12"/>
      <c r="V442" s="12"/>
      <c r="W442" s="12"/>
      <c r="X442" s="11"/>
      <c r="Y442" s="13"/>
      <c r="Z442" s="11"/>
      <c r="AA442" s="11"/>
      <c r="AB442" s="13"/>
      <c r="AC442" s="11"/>
      <c r="AD442" s="12"/>
      <c r="AE442" s="12"/>
      <c r="AF442" s="11"/>
      <c r="AG442" s="13"/>
      <c r="AH442" s="11"/>
      <c r="AI442" s="11"/>
      <c r="AJ442" s="13"/>
      <c r="AK442" s="11"/>
      <c r="AL442" s="12"/>
      <c r="AM442" s="12"/>
      <c r="AN442" s="11"/>
      <c r="AO442" s="13"/>
      <c r="AP442" s="11"/>
      <c r="AQ442" s="11"/>
      <c r="AR442" s="13"/>
      <c r="AS442" s="11"/>
      <c r="AT442" s="12"/>
      <c r="AU442" s="12"/>
      <c r="AV442" s="11">
        <v>558</v>
      </c>
      <c r="AW442" s="13">
        <v>44121</v>
      </c>
      <c r="AX442" s="11"/>
      <c r="AY442" s="11"/>
      <c r="AZ442" s="13"/>
      <c r="BA442" s="11"/>
      <c r="BB442" s="12"/>
      <c r="BC442" s="12"/>
      <c r="BD442" s="11"/>
      <c r="BE442" s="13"/>
      <c r="BF442" s="11"/>
      <c r="BG442" s="11"/>
      <c r="BH442" s="13"/>
      <c r="BI442" s="11"/>
      <c r="BJ442" s="12"/>
      <c r="BK442" s="12"/>
      <c r="BL442" s="11"/>
      <c r="BM442" s="13"/>
      <c r="BN442" s="11"/>
      <c r="BO442" s="11"/>
      <c r="BP442" s="13"/>
      <c r="BQ442" s="11"/>
      <c r="BR442" s="12"/>
      <c r="BS442" s="12"/>
      <c r="BT442" s="11"/>
      <c r="BU442" s="13"/>
      <c r="BV442" s="11"/>
      <c r="BW442" s="11"/>
      <c r="BX442" s="13"/>
      <c r="BY442" s="11"/>
      <c r="BZ442" s="12"/>
      <c r="CA442" s="12"/>
      <c r="CB442" s="11"/>
      <c r="CC442" s="13"/>
      <c r="CD442" s="11"/>
      <c r="CE442" s="11"/>
      <c r="CF442" s="13"/>
      <c r="CG442" s="11"/>
      <c r="CH442" s="12"/>
      <c r="CI442" s="12"/>
      <c r="CJ442" s="11"/>
      <c r="CK442" s="13"/>
      <c r="CL442" s="11"/>
      <c r="CM442" s="11"/>
      <c r="CN442" s="13"/>
      <c r="CO442" s="11"/>
      <c r="CP442" s="12"/>
      <c r="CQ442" s="12"/>
      <c r="CR442" s="11"/>
      <c r="CS442" s="13"/>
      <c r="CT442" s="11"/>
      <c r="CU442" s="11"/>
      <c r="CV442" s="13"/>
      <c r="CW442" s="11"/>
      <c r="CX442" s="12"/>
      <c r="CY442" s="12"/>
      <c r="CZ442" s="11"/>
      <c r="DA442" s="13"/>
      <c r="DB442" s="11"/>
      <c r="DC442" s="11"/>
      <c r="DD442" s="13"/>
      <c r="DE442" s="11"/>
      <c r="DF442" s="12"/>
      <c r="DG442" s="12"/>
      <c r="DH442" s="11"/>
      <c r="DI442" s="13"/>
      <c r="DJ442" s="11"/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/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/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/>
      <c r="HI442" s="13"/>
      <c r="HJ442" s="11"/>
      <c r="HK442" s="11"/>
      <c r="HL442" s="13"/>
      <c r="HM442" s="11"/>
      <c r="HN442" s="12"/>
      <c r="HO442" s="12"/>
      <c r="HP442" s="11"/>
      <c r="HQ442" s="13"/>
      <c r="HR442" s="11"/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/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/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  <c r="LH442" s="11"/>
      <c r="LI442" s="13"/>
      <c r="LJ442" s="11"/>
      <c r="LK442" s="11"/>
      <c r="LL442" s="13"/>
      <c r="LM442" s="11"/>
      <c r="LN442" s="12"/>
      <c r="LO442" s="12"/>
      <c r="LP442" s="11"/>
      <c r="LQ442" s="13"/>
      <c r="LR442" s="11"/>
      <c r="LS442" s="11"/>
      <c r="LT442" s="13"/>
      <c r="LU442" s="11"/>
      <c r="LV442" s="12"/>
      <c r="LW442" s="12"/>
    </row>
    <row r="443">
      <c r="A443" s="10" t="s">
        <v>227</v>
      </c>
      <c r="B443" s="10" t="s">
        <v>244</v>
      </c>
      <c r="C443" s="10" t="s">
        <v>213</v>
      </c>
      <c r="D443" s="11">
        <v>1611</v>
      </c>
      <c r="E443" s="11">
        <f>=ROUNDDOWN(13.425,0)</f>
      </c>
      <c r="F443" s="11">
        <v>1295</v>
      </c>
      <c r="G443" s="12">
        <v>0.9012</v>
      </c>
      <c r="H443" s="11"/>
      <c r="I443" s="11">
        <f>=ROUNDDOWN({0},0)</f>
      </c>
      <c r="J443" s="11"/>
      <c r="K443" s="12"/>
      <c r="L443" s="11">
        <v>2535</v>
      </c>
      <c r="M443" s="13">
        <v>466128.95</v>
      </c>
      <c r="N443" s="11"/>
      <c r="O443" s="14"/>
      <c r="P443" s="11"/>
      <c r="Q443" s="13"/>
      <c r="R443" s="11"/>
      <c r="S443" s="14"/>
      <c r="T443" s="12"/>
      <c r="U443" s="12"/>
      <c r="V443" s="12"/>
      <c r="W443" s="12"/>
      <c r="X443" s="11"/>
      <c r="Y443" s="13"/>
      <c r="Z443" s="11"/>
      <c r="AA443" s="11"/>
      <c r="AB443" s="13"/>
      <c r="AC443" s="11"/>
      <c r="AD443" s="12"/>
      <c r="AE443" s="12"/>
      <c r="AF443" s="11"/>
      <c r="AG443" s="13"/>
      <c r="AH443" s="11"/>
      <c r="AI443" s="11"/>
      <c r="AJ443" s="13"/>
      <c r="AK443" s="11"/>
      <c r="AL443" s="12"/>
      <c r="AM443" s="12"/>
      <c r="AN443" s="11"/>
      <c r="AO443" s="13"/>
      <c r="AP443" s="11"/>
      <c r="AQ443" s="11"/>
      <c r="AR443" s="13"/>
      <c r="AS443" s="11"/>
      <c r="AT443" s="12"/>
      <c r="AU443" s="12"/>
      <c r="AV443" s="11">
        <v>2535</v>
      </c>
      <c r="AW443" s="13">
        <v>466128.95</v>
      </c>
      <c r="AX443" s="11"/>
      <c r="AY443" s="11"/>
      <c r="AZ443" s="13"/>
      <c r="BA443" s="11"/>
      <c r="BB443" s="12"/>
      <c r="BC443" s="12"/>
      <c r="BD443" s="11"/>
      <c r="BE443" s="13"/>
      <c r="BF443" s="11"/>
      <c r="BG443" s="11"/>
      <c r="BH443" s="13"/>
      <c r="BI443" s="11"/>
      <c r="BJ443" s="12"/>
      <c r="BK443" s="12"/>
      <c r="BL443" s="11"/>
      <c r="BM443" s="13"/>
      <c r="BN443" s="11"/>
      <c r="BO443" s="11"/>
      <c r="BP443" s="13"/>
      <c r="BQ443" s="11"/>
      <c r="BR443" s="12"/>
      <c r="BS443" s="12"/>
      <c r="BT443" s="11"/>
      <c r="BU443" s="13"/>
      <c r="BV443" s="11"/>
      <c r="BW443" s="11"/>
      <c r="BX443" s="13"/>
      <c r="BY443" s="11"/>
      <c r="BZ443" s="12"/>
      <c r="CA443" s="12"/>
      <c r="CB443" s="11"/>
      <c r="CC443" s="13"/>
      <c r="CD443" s="11"/>
      <c r="CE443" s="11"/>
      <c r="CF443" s="13"/>
      <c r="CG443" s="11"/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/>
      <c r="CU443" s="11"/>
      <c r="CV443" s="13"/>
      <c r="CW443" s="11"/>
      <c r="CX443" s="12"/>
      <c r="CY443" s="12"/>
      <c r="CZ443" s="11"/>
      <c r="DA443" s="13"/>
      <c r="DB443" s="11"/>
      <c r="DC443" s="11"/>
      <c r="DD443" s="13"/>
      <c r="DE443" s="11"/>
      <c r="DF443" s="12"/>
      <c r="DG443" s="12"/>
      <c r="DH443" s="11"/>
      <c r="DI443" s="13"/>
      <c r="DJ443" s="11"/>
      <c r="DK443" s="11"/>
      <c r="DL443" s="13"/>
      <c r="DM443" s="11"/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/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/>
      <c r="GM443" s="11"/>
      <c r="GN443" s="13"/>
      <c r="GO443" s="11"/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/>
      <c r="JR443" s="12"/>
      <c r="JS443" s="12"/>
      <c r="JT443" s="11"/>
      <c r="JU443" s="13"/>
      <c r="JV443" s="11"/>
      <c r="JW443" s="11"/>
      <c r="JX443" s="13"/>
      <c r="JY443" s="11"/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  <c r="LH443" s="11"/>
      <c r="LI443" s="13"/>
      <c r="LJ443" s="11"/>
      <c r="LK443" s="11"/>
      <c r="LL443" s="13"/>
      <c r="LM443" s="11"/>
      <c r="LN443" s="12"/>
      <c r="LO443" s="12"/>
      <c r="LP443" s="11"/>
      <c r="LQ443" s="13"/>
      <c r="LR443" s="11"/>
      <c r="LS443" s="11"/>
      <c r="LT443" s="13"/>
      <c r="LU443" s="11"/>
      <c r="LV443" s="12"/>
      <c r="LW443" s="12"/>
    </row>
    <row r="444">
      <c r="A444" s="10" t="s">
        <v>227</v>
      </c>
      <c r="B444" s="10" t="s">
        <v>244</v>
      </c>
      <c r="C444" s="10" t="s">
        <v>216</v>
      </c>
      <c r="D444" s="11">
        <v>3087</v>
      </c>
      <c r="E444" s="11">
        <f>=ROUNDDOWN(9.67711598746081,0)</f>
      </c>
      <c r="F444" s="11">
        <v>3410</v>
      </c>
      <c r="G444" s="12">
        <v>0.8837</v>
      </c>
      <c r="H444" s="11"/>
      <c r="I444" s="11">
        <f>=ROUNDDOWN({0},0)</f>
      </c>
      <c r="J444" s="11"/>
      <c r="K444" s="12"/>
      <c r="L444" s="11">
        <v>4675</v>
      </c>
      <c r="M444" s="13">
        <v>647106.05</v>
      </c>
      <c r="N444" s="11"/>
      <c r="O444" s="14"/>
      <c r="P444" s="11"/>
      <c r="Q444" s="13"/>
      <c r="R444" s="11"/>
      <c r="S444" s="14"/>
      <c r="T444" s="12"/>
      <c r="U444" s="12"/>
      <c r="V444" s="12"/>
      <c r="W444" s="12"/>
      <c r="X444" s="11"/>
      <c r="Y444" s="13"/>
      <c r="Z444" s="11"/>
      <c r="AA444" s="11"/>
      <c r="AB444" s="13"/>
      <c r="AC444" s="11"/>
      <c r="AD444" s="12"/>
      <c r="AE444" s="12"/>
      <c r="AF444" s="11"/>
      <c r="AG444" s="13"/>
      <c r="AH444" s="11"/>
      <c r="AI444" s="11"/>
      <c r="AJ444" s="13"/>
      <c r="AK444" s="11"/>
      <c r="AL444" s="12"/>
      <c r="AM444" s="12"/>
      <c r="AN444" s="11"/>
      <c r="AO444" s="13"/>
      <c r="AP444" s="11"/>
      <c r="AQ444" s="11"/>
      <c r="AR444" s="13"/>
      <c r="AS444" s="11"/>
      <c r="AT444" s="12"/>
      <c r="AU444" s="12"/>
      <c r="AV444" s="11">
        <v>4675</v>
      </c>
      <c r="AW444" s="13">
        <v>647106.05</v>
      </c>
      <c r="AX444" s="11"/>
      <c r="AY444" s="11"/>
      <c r="AZ444" s="13"/>
      <c r="BA444" s="11"/>
      <c r="BB444" s="12"/>
      <c r="BC444" s="12"/>
      <c r="BD444" s="11"/>
      <c r="BE444" s="13"/>
      <c r="BF444" s="11"/>
      <c r="BG444" s="11"/>
      <c r="BH444" s="13"/>
      <c r="BI444" s="11"/>
      <c r="BJ444" s="12"/>
      <c r="BK444" s="12"/>
      <c r="BL444" s="11"/>
      <c r="BM444" s="13"/>
      <c r="BN444" s="11"/>
      <c r="BO444" s="11"/>
      <c r="BP444" s="13"/>
      <c r="BQ444" s="11"/>
      <c r="BR444" s="12"/>
      <c r="BS444" s="12"/>
      <c r="BT444" s="11"/>
      <c r="BU444" s="13"/>
      <c r="BV444" s="11"/>
      <c r="BW444" s="11"/>
      <c r="BX444" s="13"/>
      <c r="BY444" s="11"/>
      <c r="BZ444" s="12"/>
      <c r="CA444" s="12"/>
      <c r="CB444" s="11"/>
      <c r="CC444" s="13"/>
      <c r="CD444" s="11"/>
      <c r="CE444" s="11"/>
      <c r="CF444" s="13"/>
      <c r="CG444" s="11"/>
      <c r="CH444" s="12"/>
      <c r="CI444" s="12"/>
      <c r="CJ444" s="11"/>
      <c r="CK444" s="13"/>
      <c r="CL444" s="11"/>
      <c r="CM444" s="11"/>
      <c r="CN444" s="13"/>
      <c r="CO444" s="11"/>
      <c r="CP444" s="12"/>
      <c r="CQ444" s="12"/>
      <c r="CR444" s="11"/>
      <c r="CS444" s="13"/>
      <c r="CT444" s="11"/>
      <c r="CU444" s="11"/>
      <c r="CV444" s="13"/>
      <c r="CW444" s="11"/>
      <c r="CX444" s="12"/>
      <c r="CY444" s="12"/>
      <c r="CZ444" s="11"/>
      <c r="DA444" s="13"/>
      <c r="DB444" s="11"/>
      <c r="DC444" s="11"/>
      <c r="DD444" s="13"/>
      <c r="DE444" s="11"/>
      <c r="DF444" s="12"/>
      <c r="DG444" s="12"/>
      <c r="DH444" s="11"/>
      <c r="DI444" s="13"/>
      <c r="DJ444" s="11"/>
      <c r="DK444" s="11"/>
      <c r="DL444" s="13"/>
      <c r="DM444" s="11"/>
      <c r="DN444" s="12"/>
      <c r="DO444" s="12"/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/>
      <c r="EG444" s="13"/>
      <c r="EH444" s="11"/>
      <c r="EI444" s="11"/>
      <c r="EJ444" s="13"/>
      <c r="EK444" s="11"/>
      <c r="EL444" s="12"/>
      <c r="EM444" s="12"/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/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/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/>
      <c r="HK444" s="11"/>
      <c r="HL444" s="13"/>
      <c r="HM444" s="11"/>
      <c r="HN444" s="12"/>
      <c r="HO444" s="12"/>
      <c r="HP444" s="11"/>
      <c r="HQ444" s="13"/>
      <c r="HR444" s="11"/>
      <c r="HS444" s="11"/>
      <c r="HT444" s="13"/>
      <c r="HU444" s="11"/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/>
      <c r="JP444" s="13"/>
      <c r="JQ444" s="11"/>
      <c r="JR444" s="12"/>
      <c r="JS444" s="12"/>
      <c r="JT444" s="11"/>
      <c r="JU444" s="13"/>
      <c r="JV444" s="11"/>
      <c r="JW444" s="11"/>
      <c r="JX444" s="13"/>
      <c r="JY444" s="11"/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/>
      <c r="KM444" s="11"/>
      <c r="KN444" s="13"/>
      <c r="KO444" s="11"/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  <c r="LH444" s="11"/>
      <c r="LI444" s="13"/>
      <c r="LJ444" s="11"/>
      <c r="LK444" s="11"/>
      <c r="LL444" s="13"/>
      <c r="LM444" s="11"/>
      <c r="LN444" s="12"/>
      <c r="LO444" s="12"/>
      <c r="LP444" s="11"/>
      <c r="LQ444" s="13"/>
      <c r="LR444" s="11"/>
      <c r="LS444" s="11"/>
      <c r="LT444" s="13"/>
      <c r="LU444" s="11"/>
      <c r="LV444" s="12"/>
      <c r="LW444" s="12"/>
    </row>
    <row r="445">
      <c r="A445" s="10" t="s">
        <v>227</v>
      </c>
      <c r="B445" s="10" t="s">
        <v>244</v>
      </c>
      <c r="C445" s="10" t="s">
        <v>218</v>
      </c>
      <c r="D445" s="11">
        <v>1982</v>
      </c>
      <c r="E445" s="11">
        <f>=ROUNDDOWN(3.69776119402985,0)</f>
      </c>
      <c r="F445" s="11">
        <v>8700</v>
      </c>
      <c r="G445" s="12">
        <v>0.9595</v>
      </c>
      <c r="H445" s="11"/>
      <c r="I445" s="11">
        <f>=ROUNDDOWN({0},0)</f>
      </c>
      <c r="J445" s="11"/>
      <c r="K445" s="12"/>
      <c r="L445" s="11">
        <v>5104</v>
      </c>
      <c r="M445" s="13">
        <v>550239.94</v>
      </c>
      <c r="N445" s="11"/>
      <c r="O445" s="14"/>
      <c r="P445" s="11"/>
      <c r="Q445" s="13"/>
      <c r="R445" s="11"/>
      <c r="S445" s="14"/>
      <c r="T445" s="12"/>
      <c r="U445" s="12"/>
      <c r="V445" s="12"/>
      <c r="W445" s="12"/>
      <c r="X445" s="11"/>
      <c r="Y445" s="13"/>
      <c r="Z445" s="11"/>
      <c r="AA445" s="11"/>
      <c r="AB445" s="13"/>
      <c r="AC445" s="11"/>
      <c r="AD445" s="12"/>
      <c r="AE445" s="12"/>
      <c r="AF445" s="11"/>
      <c r="AG445" s="13"/>
      <c r="AH445" s="11"/>
      <c r="AI445" s="11"/>
      <c r="AJ445" s="13"/>
      <c r="AK445" s="11"/>
      <c r="AL445" s="12"/>
      <c r="AM445" s="12"/>
      <c r="AN445" s="11"/>
      <c r="AO445" s="13"/>
      <c r="AP445" s="11"/>
      <c r="AQ445" s="11"/>
      <c r="AR445" s="13"/>
      <c r="AS445" s="11"/>
      <c r="AT445" s="12"/>
      <c r="AU445" s="12"/>
      <c r="AV445" s="11">
        <v>5104</v>
      </c>
      <c r="AW445" s="13">
        <v>550239.94</v>
      </c>
      <c r="AX445" s="11"/>
      <c r="AY445" s="11"/>
      <c r="AZ445" s="13"/>
      <c r="BA445" s="11"/>
      <c r="BB445" s="12"/>
      <c r="BC445" s="12"/>
      <c r="BD445" s="11"/>
      <c r="BE445" s="13"/>
      <c r="BF445" s="11"/>
      <c r="BG445" s="11"/>
      <c r="BH445" s="13"/>
      <c r="BI445" s="11"/>
      <c r="BJ445" s="12"/>
      <c r="BK445" s="12"/>
      <c r="BL445" s="11"/>
      <c r="BM445" s="13"/>
      <c r="BN445" s="11"/>
      <c r="BO445" s="11"/>
      <c r="BP445" s="13"/>
      <c r="BQ445" s="11"/>
      <c r="BR445" s="12"/>
      <c r="BS445" s="12"/>
      <c r="BT445" s="11"/>
      <c r="BU445" s="13"/>
      <c r="BV445" s="11"/>
      <c r="BW445" s="11"/>
      <c r="BX445" s="13"/>
      <c r="BY445" s="11"/>
      <c r="BZ445" s="12"/>
      <c r="CA445" s="12"/>
      <c r="CB445" s="11"/>
      <c r="CC445" s="13"/>
      <c r="CD445" s="11"/>
      <c r="CE445" s="11"/>
      <c r="CF445" s="13"/>
      <c r="CG445" s="11"/>
      <c r="CH445" s="12"/>
      <c r="CI445" s="12"/>
      <c r="CJ445" s="11"/>
      <c r="CK445" s="13"/>
      <c r="CL445" s="11"/>
      <c r="CM445" s="11"/>
      <c r="CN445" s="13"/>
      <c r="CO445" s="11"/>
      <c r="CP445" s="12"/>
      <c r="CQ445" s="12"/>
      <c r="CR445" s="11"/>
      <c r="CS445" s="13"/>
      <c r="CT445" s="11"/>
      <c r="CU445" s="11"/>
      <c r="CV445" s="13"/>
      <c r="CW445" s="11"/>
      <c r="CX445" s="12"/>
      <c r="CY445" s="12"/>
      <c r="CZ445" s="11"/>
      <c r="DA445" s="13"/>
      <c r="DB445" s="11"/>
      <c r="DC445" s="11"/>
      <c r="DD445" s="13"/>
      <c r="DE445" s="11"/>
      <c r="DF445" s="12"/>
      <c r="DG445" s="12"/>
      <c r="DH445" s="11"/>
      <c r="DI445" s="13"/>
      <c r="DJ445" s="11"/>
      <c r="DK445" s="11"/>
      <c r="DL445" s="13"/>
      <c r="DM445" s="11"/>
      <c r="DN445" s="12"/>
      <c r="DO445" s="12"/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/>
      <c r="EG445" s="13"/>
      <c r="EH445" s="11"/>
      <c r="EI445" s="11"/>
      <c r="EJ445" s="13"/>
      <c r="EK445" s="11"/>
      <c r="EL445" s="12"/>
      <c r="EM445" s="12"/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/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/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/>
      <c r="HK445" s="11"/>
      <c r="HL445" s="13"/>
      <c r="HM445" s="11"/>
      <c r="HN445" s="12"/>
      <c r="HO445" s="12"/>
      <c r="HP445" s="11"/>
      <c r="HQ445" s="13"/>
      <c r="HR445" s="11"/>
      <c r="HS445" s="11"/>
      <c r="HT445" s="13"/>
      <c r="HU445" s="11"/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/>
      <c r="JP445" s="13"/>
      <c r="JQ445" s="11"/>
      <c r="JR445" s="12"/>
      <c r="JS445" s="12"/>
      <c r="JT445" s="11"/>
      <c r="JU445" s="13"/>
      <c r="JV445" s="11"/>
      <c r="JW445" s="11"/>
      <c r="JX445" s="13"/>
      <c r="JY445" s="11"/>
      <c r="JZ445" s="12"/>
      <c r="KA445" s="12"/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/>
      <c r="KM445" s="11"/>
      <c r="KN445" s="13"/>
      <c r="KO445" s="11"/>
      <c r="KP445" s="12"/>
      <c r="KQ445" s="12"/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  <c r="LH445" s="11"/>
      <c r="LI445" s="13"/>
      <c r="LJ445" s="11"/>
      <c r="LK445" s="11"/>
      <c r="LL445" s="13"/>
      <c r="LM445" s="11"/>
      <c r="LN445" s="12"/>
      <c r="LO445" s="12"/>
      <c r="LP445" s="11"/>
      <c r="LQ445" s="13"/>
      <c r="LR445" s="11"/>
      <c r="LS445" s="11"/>
      <c r="LT445" s="13"/>
      <c r="LU445" s="11"/>
      <c r="LV445" s="12"/>
      <c r="LW445" s="12"/>
    </row>
    <row r="446">
      <c r="A446" s="10" t="s">
        <v>227</v>
      </c>
      <c r="B446" s="10" t="s">
        <v>245</v>
      </c>
      <c r="C446" s="10" t="s">
        <v>77</v>
      </c>
      <c r="D446" s="11">
        <v>6680</v>
      </c>
      <c r="E446" s="11">
        <f>=ROUNDDOWN({0},0)</f>
      </c>
      <c r="F446" s="11">
        <v>13405</v>
      </c>
      <c r="G446" s="12"/>
      <c r="H446" s="11"/>
      <c r="I446" s="11">
        <f>=ROUNDDOWN({0},0)</f>
      </c>
      <c r="J446" s="11"/>
      <c r="K446" s="12"/>
      <c r="L446" s="11">
        <v>12314</v>
      </c>
      <c r="M446" s="13">
        <v>1663474.94</v>
      </c>
      <c r="N446" s="11"/>
      <c r="O446" s="14"/>
      <c r="P446" s="11"/>
      <c r="Q446" s="13"/>
      <c r="R446" s="11"/>
      <c r="S446" s="14"/>
      <c r="T446" s="12"/>
      <c r="U446" s="12"/>
      <c r="V446" s="12"/>
      <c r="W446" s="12"/>
      <c r="X446" s="11"/>
      <c r="Y446" s="13"/>
      <c r="Z446" s="11"/>
      <c r="AA446" s="11"/>
      <c r="AB446" s="13"/>
      <c r="AC446" s="11"/>
      <c r="AD446" s="12"/>
      <c r="AE446" s="12"/>
      <c r="AF446" s="11"/>
      <c r="AG446" s="13"/>
      <c r="AH446" s="11"/>
      <c r="AI446" s="11"/>
      <c r="AJ446" s="13"/>
      <c r="AK446" s="11"/>
      <c r="AL446" s="12"/>
      <c r="AM446" s="12"/>
      <c r="AN446" s="11"/>
      <c r="AO446" s="13"/>
      <c r="AP446" s="11"/>
      <c r="AQ446" s="11"/>
      <c r="AR446" s="13"/>
      <c r="AS446" s="11"/>
      <c r="AT446" s="12"/>
      <c r="AU446" s="12"/>
      <c r="AV446" s="11">
        <v>12314</v>
      </c>
      <c r="AW446" s="13">
        <v>1663474.94</v>
      </c>
      <c r="AX446" s="11"/>
      <c r="AY446" s="11"/>
      <c r="AZ446" s="13"/>
      <c r="BA446" s="11"/>
      <c r="BB446" s="12"/>
      <c r="BC446" s="12"/>
      <c r="BD446" s="11"/>
      <c r="BE446" s="13"/>
      <c r="BF446" s="11"/>
      <c r="BG446" s="11"/>
      <c r="BH446" s="13"/>
      <c r="BI446" s="11"/>
      <c r="BJ446" s="12"/>
      <c r="BK446" s="12"/>
      <c r="BL446" s="11"/>
      <c r="BM446" s="13"/>
      <c r="BN446" s="11"/>
      <c r="BO446" s="11"/>
      <c r="BP446" s="13"/>
      <c r="BQ446" s="11"/>
      <c r="BR446" s="12"/>
      <c r="BS446" s="12"/>
      <c r="BT446" s="11"/>
      <c r="BU446" s="13"/>
      <c r="BV446" s="11"/>
      <c r="BW446" s="11"/>
      <c r="BX446" s="13"/>
      <c r="BY446" s="11"/>
      <c r="BZ446" s="12"/>
      <c r="CA446" s="12"/>
      <c r="CB446" s="11"/>
      <c r="CC446" s="13"/>
      <c r="CD446" s="11"/>
      <c r="CE446" s="11"/>
      <c r="CF446" s="13"/>
      <c r="CG446" s="11"/>
      <c r="CH446" s="12"/>
      <c r="CI446" s="12"/>
      <c r="CJ446" s="11"/>
      <c r="CK446" s="13"/>
      <c r="CL446" s="11"/>
      <c r="CM446" s="11"/>
      <c r="CN446" s="13"/>
      <c r="CO446" s="11"/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/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/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/>
      <c r="JR446" s="12"/>
      <c r="JS446" s="12"/>
      <c r="JT446" s="11"/>
      <c r="JU446" s="13"/>
      <c r="JV446" s="11"/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  <c r="LH446" s="11"/>
      <c r="LI446" s="13"/>
      <c r="LJ446" s="11"/>
      <c r="LK446" s="11"/>
      <c r="LL446" s="13"/>
      <c r="LM446" s="11"/>
      <c r="LN446" s="12"/>
      <c r="LO446" s="12"/>
      <c r="LP446" s="11"/>
      <c r="LQ446" s="13"/>
      <c r="LR446" s="11"/>
      <c r="LS446" s="11"/>
      <c r="LT446" s="13"/>
      <c r="LU446" s="11"/>
      <c r="LV446" s="12"/>
      <c r="LW446" s="12"/>
    </row>
    <row r="447">
      <c r="A447" s="10" t="s">
        <v>227</v>
      </c>
      <c r="B447" s="10" t="s">
        <v>246</v>
      </c>
      <c r="C447" s="10" t="s">
        <v>213</v>
      </c>
      <c r="D447" s="11">
        <v>979</v>
      </c>
      <c r="E447" s="11">
        <f>=ROUNDDOWN(15.5396825396825,0)</f>
      </c>
      <c r="F447" s="11">
        <v>520</v>
      </c>
      <c r="G447" s="12">
        <v>0.827</v>
      </c>
      <c r="H447" s="11"/>
      <c r="I447" s="11">
        <f>=ROUNDDOWN({0},0)</f>
      </c>
      <c r="J447" s="11"/>
      <c r="K447" s="12"/>
      <c r="L447" s="11">
        <v>589</v>
      </c>
      <c r="M447" s="13">
        <v>129941.38</v>
      </c>
      <c r="N447" s="11"/>
      <c r="O447" s="14"/>
      <c r="P447" s="11"/>
      <c r="Q447" s="13"/>
      <c r="R447" s="11"/>
      <c r="S447" s="14"/>
      <c r="T447" s="12"/>
      <c r="U447" s="12"/>
      <c r="V447" s="12"/>
      <c r="W447" s="12"/>
      <c r="X447" s="11"/>
      <c r="Y447" s="13"/>
      <c r="Z447" s="11"/>
      <c r="AA447" s="11"/>
      <c r="AB447" s="13"/>
      <c r="AC447" s="11"/>
      <c r="AD447" s="12"/>
      <c r="AE447" s="12"/>
      <c r="AF447" s="11"/>
      <c r="AG447" s="13"/>
      <c r="AH447" s="11"/>
      <c r="AI447" s="11"/>
      <c r="AJ447" s="13"/>
      <c r="AK447" s="11"/>
      <c r="AL447" s="12"/>
      <c r="AM447" s="12"/>
      <c r="AN447" s="11"/>
      <c r="AO447" s="13"/>
      <c r="AP447" s="11"/>
      <c r="AQ447" s="11"/>
      <c r="AR447" s="13"/>
      <c r="AS447" s="11"/>
      <c r="AT447" s="12"/>
      <c r="AU447" s="12"/>
      <c r="AV447" s="11">
        <v>589</v>
      </c>
      <c r="AW447" s="13">
        <v>129941.38</v>
      </c>
      <c r="AX447" s="11"/>
      <c r="AY447" s="11"/>
      <c r="AZ447" s="13"/>
      <c r="BA447" s="11"/>
      <c r="BB447" s="12"/>
      <c r="BC447" s="12"/>
      <c r="BD447" s="11"/>
      <c r="BE447" s="13"/>
      <c r="BF447" s="11"/>
      <c r="BG447" s="11"/>
      <c r="BH447" s="13"/>
      <c r="BI447" s="11"/>
      <c r="BJ447" s="12"/>
      <c r="BK447" s="12"/>
      <c r="BL447" s="11"/>
      <c r="BM447" s="13"/>
      <c r="BN447" s="11"/>
      <c r="BO447" s="11"/>
      <c r="BP447" s="13"/>
      <c r="BQ447" s="11"/>
      <c r="BR447" s="12"/>
      <c r="BS447" s="12"/>
      <c r="BT447" s="11"/>
      <c r="BU447" s="13"/>
      <c r="BV447" s="11"/>
      <c r="BW447" s="11"/>
      <c r="BX447" s="13"/>
      <c r="BY447" s="11"/>
      <c r="BZ447" s="12"/>
      <c r="CA447" s="12"/>
      <c r="CB447" s="11"/>
      <c r="CC447" s="13"/>
      <c r="CD447" s="11"/>
      <c r="CE447" s="11"/>
      <c r="CF447" s="13"/>
      <c r="CG447" s="11"/>
      <c r="CH447" s="12"/>
      <c r="CI447" s="12"/>
      <c r="CJ447" s="11"/>
      <c r="CK447" s="13"/>
      <c r="CL447" s="11"/>
      <c r="CM447" s="11"/>
      <c r="CN447" s="13"/>
      <c r="CO447" s="11"/>
      <c r="CP447" s="12"/>
      <c r="CQ447" s="12"/>
      <c r="CR447" s="11"/>
      <c r="CS447" s="13"/>
      <c r="CT447" s="11"/>
      <c r="CU447" s="11"/>
      <c r="CV447" s="13"/>
      <c r="CW447" s="11"/>
      <c r="CX447" s="12"/>
      <c r="CY447" s="12"/>
      <c r="CZ447" s="11"/>
      <c r="DA447" s="13"/>
      <c r="DB447" s="11"/>
      <c r="DC447" s="11"/>
      <c r="DD447" s="13"/>
      <c r="DE447" s="11"/>
      <c r="DF447" s="12"/>
      <c r="DG447" s="12"/>
      <c r="DH447" s="11"/>
      <c r="DI447" s="13"/>
      <c r="DJ447" s="11"/>
      <c r="DK447" s="11"/>
      <c r="DL447" s="13"/>
      <c r="DM447" s="11"/>
      <c r="DN447" s="12"/>
      <c r="DO447" s="12"/>
      <c r="DP447" s="11"/>
      <c r="DQ447" s="13"/>
      <c r="DR447" s="11"/>
      <c r="DS447" s="11"/>
      <c r="DT447" s="13"/>
      <c r="DU447" s="11"/>
      <c r="DV447" s="12"/>
      <c r="DW447" s="12"/>
      <c r="DX447" s="11"/>
      <c r="DY447" s="13"/>
      <c r="DZ447" s="11"/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/>
      <c r="EQ447" s="11"/>
      <c r="ER447" s="13"/>
      <c r="ES447" s="11"/>
      <c r="ET447" s="12"/>
      <c r="EU447" s="12"/>
      <c r="EV447" s="11"/>
      <c r="EW447" s="13"/>
      <c r="EX447" s="11"/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/>
      <c r="HA447" s="13"/>
      <c r="HB447" s="11"/>
      <c r="HC447" s="11"/>
      <c r="HD447" s="13"/>
      <c r="HE447" s="11"/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/>
      <c r="HQ447" s="13"/>
      <c r="HR447" s="11"/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/>
      <c r="JO447" s="11"/>
      <c r="JP447" s="13"/>
      <c r="JQ447" s="11"/>
      <c r="JR447" s="12"/>
      <c r="JS447" s="12"/>
      <c r="JT447" s="11"/>
      <c r="JU447" s="13"/>
      <c r="JV447" s="11"/>
      <c r="JW447" s="11"/>
      <c r="JX447" s="13"/>
      <c r="JY447" s="11"/>
      <c r="JZ447" s="12"/>
      <c r="KA447" s="12"/>
      <c r="KB447" s="11"/>
      <c r="KC447" s="13"/>
      <c r="KD447" s="11"/>
      <c r="KE447" s="11"/>
      <c r="KF447" s="13"/>
      <c r="KG447" s="11"/>
      <c r="KH447" s="12"/>
      <c r="KI447" s="12"/>
      <c r="KJ447" s="11"/>
      <c r="KK447" s="13"/>
      <c r="KL447" s="11"/>
      <c r="KM447" s="11"/>
      <c r="KN447" s="13"/>
      <c r="KO447" s="11"/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  <c r="LH447" s="11"/>
      <c r="LI447" s="13"/>
      <c r="LJ447" s="11"/>
      <c r="LK447" s="11"/>
      <c r="LL447" s="13"/>
      <c r="LM447" s="11"/>
      <c r="LN447" s="12"/>
      <c r="LO447" s="12"/>
      <c r="LP447" s="11"/>
      <c r="LQ447" s="13"/>
      <c r="LR447" s="11"/>
      <c r="LS447" s="11"/>
      <c r="LT447" s="13"/>
      <c r="LU447" s="11"/>
      <c r="LV447" s="12"/>
      <c r="LW447" s="12"/>
    </row>
    <row r="448">
      <c r="A448" s="10" t="s">
        <v>227</v>
      </c>
      <c r="B448" s="10" t="s">
        <v>246</v>
      </c>
      <c r="C448" s="10" t="s">
        <v>216</v>
      </c>
      <c r="D448" s="11">
        <v>400</v>
      </c>
      <c r="E448" s="11">
        <f>=ROUNDDOWN(16,0)</f>
      </c>
      <c r="F448" s="11"/>
      <c r="G448" s="12">
        <v>0.2222</v>
      </c>
      <c r="H448" s="11"/>
      <c r="I448" s="11">
        <f>=ROUNDDOWN({0},0)</f>
      </c>
      <c r="J448" s="11"/>
      <c r="K448" s="12"/>
      <c r="L448" s="11"/>
      <c r="M448" s="13"/>
      <c r="N448" s="11"/>
      <c r="O448" s="14"/>
      <c r="P448" s="11"/>
      <c r="Q448" s="13"/>
      <c r="R448" s="11"/>
      <c r="S448" s="14"/>
      <c r="T448" s="12"/>
      <c r="U448" s="12"/>
      <c r="V448" s="12"/>
      <c r="W448" s="12"/>
      <c r="X448" s="11"/>
      <c r="Y448" s="13"/>
      <c r="Z448" s="11"/>
      <c r="AA448" s="11"/>
      <c r="AB448" s="13"/>
      <c r="AC448" s="11"/>
      <c r="AD448" s="12"/>
      <c r="AE448" s="12"/>
      <c r="AF448" s="11"/>
      <c r="AG448" s="13"/>
      <c r="AH448" s="11"/>
      <c r="AI448" s="11"/>
      <c r="AJ448" s="13"/>
      <c r="AK448" s="11"/>
      <c r="AL448" s="12"/>
      <c r="AM448" s="12"/>
      <c r="AN448" s="11"/>
      <c r="AO448" s="13"/>
      <c r="AP448" s="11"/>
      <c r="AQ448" s="11"/>
      <c r="AR448" s="13"/>
      <c r="AS448" s="11"/>
      <c r="AT448" s="12"/>
      <c r="AU448" s="12"/>
      <c r="AV448" s="11"/>
      <c r="AW448" s="13"/>
      <c r="AX448" s="11"/>
      <c r="AY448" s="11"/>
      <c r="AZ448" s="13"/>
      <c r="BA448" s="11"/>
      <c r="BB448" s="12"/>
      <c r="BC448" s="12"/>
      <c r="BD448" s="11"/>
      <c r="BE448" s="13"/>
      <c r="BF448" s="11"/>
      <c r="BG448" s="11"/>
      <c r="BH448" s="13"/>
      <c r="BI448" s="11"/>
      <c r="BJ448" s="12"/>
      <c r="BK448" s="12"/>
      <c r="BL448" s="11"/>
      <c r="BM448" s="13"/>
      <c r="BN448" s="11"/>
      <c r="BO448" s="11"/>
      <c r="BP448" s="13"/>
      <c r="BQ448" s="11"/>
      <c r="BR448" s="12"/>
      <c r="BS448" s="12"/>
      <c r="BT448" s="11"/>
      <c r="BU448" s="13"/>
      <c r="BV448" s="11"/>
      <c r="BW448" s="11"/>
      <c r="BX448" s="13"/>
      <c r="BY448" s="11"/>
      <c r="BZ448" s="12"/>
      <c r="CA448" s="12"/>
      <c r="CB448" s="11"/>
      <c r="CC448" s="13"/>
      <c r="CD448" s="11"/>
      <c r="CE448" s="11"/>
      <c r="CF448" s="13"/>
      <c r="CG448" s="11"/>
      <c r="CH448" s="12"/>
      <c r="CI448" s="12"/>
      <c r="CJ448" s="11"/>
      <c r="CK448" s="13"/>
      <c r="CL448" s="11"/>
      <c r="CM448" s="11"/>
      <c r="CN448" s="13"/>
      <c r="CO448" s="11"/>
      <c r="CP448" s="12"/>
      <c r="CQ448" s="12"/>
      <c r="CR448" s="11"/>
      <c r="CS448" s="13"/>
      <c r="CT448" s="11"/>
      <c r="CU448" s="11"/>
      <c r="CV448" s="13"/>
      <c r="CW448" s="11"/>
      <c r="CX448" s="12"/>
      <c r="CY448" s="12"/>
      <c r="CZ448" s="11"/>
      <c r="DA448" s="13"/>
      <c r="DB448" s="11"/>
      <c r="DC448" s="11"/>
      <c r="DD448" s="13"/>
      <c r="DE448" s="11"/>
      <c r="DF448" s="12"/>
      <c r="DG448" s="12"/>
      <c r="DH448" s="11"/>
      <c r="DI448" s="13"/>
      <c r="DJ448" s="11"/>
      <c r="DK448" s="11"/>
      <c r="DL448" s="13"/>
      <c r="DM448" s="11"/>
      <c r="DN448" s="12"/>
      <c r="DO448" s="12"/>
      <c r="DP448" s="11"/>
      <c r="DQ448" s="13"/>
      <c r="DR448" s="11"/>
      <c r="DS448" s="11"/>
      <c r="DT448" s="13"/>
      <c r="DU448" s="11"/>
      <c r="DV448" s="12"/>
      <c r="DW448" s="12"/>
      <c r="DX448" s="11"/>
      <c r="DY448" s="13"/>
      <c r="DZ448" s="11"/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/>
      <c r="EQ448" s="11"/>
      <c r="ER448" s="13"/>
      <c r="ES448" s="11"/>
      <c r="ET448" s="12"/>
      <c r="EU448" s="12"/>
      <c r="EV448" s="11"/>
      <c r="EW448" s="13"/>
      <c r="EX448" s="11"/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/>
      <c r="HA448" s="13"/>
      <c r="HB448" s="11"/>
      <c r="HC448" s="11"/>
      <c r="HD448" s="13"/>
      <c r="HE448" s="11"/>
      <c r="HF448" s="12"/>
      <c r="HG448" s="12"/>
      <c r="HH448" s="11"/>
      <c r="HI448" s="13"/>
      <c r="HJ448" s="11"/>
      <c r="HK448" s="11"/>
      <c r="HL448" s="13"/>
      <c r="HM448" s="11"/>
      <c r="HN448" s="12"/>
      <c r="HO448" s="12"/>
      <c r="HP448" s="11"/>
      <c r="HQ448" s="13"/>
      <c r="HR448" s="11"/>
      <c r="HS448" s="11"/>
      <c r="HT448" s="13"/>
      <c r="HU448" s="11"/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/>
      <c r="JO448" s="11"/>
      <c r="JP448" s="13"/>
      <c r="JQ448" s="11"/>
      <c r="JR448" s="12"/>
      <c r="JS448" s="12"/>
      <c r="JT448" s="11"/>
      <c r="JU448" s="13"/>
      <c r="JV448" s="11"/>
      <c r="JW448" s="11"/>
      <c r="JX448" s="13"/>
      <c r="JY448" s="11"/>
      <c r="JZ448" s="12"/>
      <c r="KA448" s="12"/>
      <c r="KB448" s="11"/>
      <c r="KC448" s="13"/>
      <c r="KD448" s="11"/>
      <c r="KE448" s="11"/>
      <c r="KF448" s="13"/>
      <c r="KG448" s="11"/>
      <c r="KH448" s="12"/>
      <c r="KI448" s="12"/>
      <c r="KJ448" s="11"/>
      <c r="KK448" s="13"/>
      <c r="KL448" s="11"/>
      <c r="KM448" s="11"/>
      <c r="KN448" s="13"/>
      <c r="KO448" s="11"/>
      <c r="KP448" s="12"/>
      <c r="KQ448" s="12"/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  <c r="LH448" s="11"/>
      <c r="LI448" s="13"/>
      <c r="LJ448" s="11"/>
      <c r="LK448" s="11"/>
      <c r="LL448" s="13"/>
      <c r="LM448" s="11"/>
      <c r="LN448" s="12"/>
      <c r="LO448" s="12"/>
      <c r="LP448" s="11"/>
      <c r="LQ448" s="13"/>
      <c r="LR448" s="11"/>
      <c r="LS448" s="11"/>
      <c r="LT448" s="13"/>
      <c r="LU448" s="11"/>
      <c r="LV448" s="12"/>
      <c r="LW448" s="12"/>
    </row>
    <row r="449">
      <c r="A449" s="10" t="s">
        <v>227</v>
      </c>
      <c r="B449" s="10" t="s">
        <v>246</v>
      </c>
      <c r="C449" s="10" t="s">
        <v>218</v>
      </c>
      <c r="D449" s="11">
        <v>307</v>
      </c>
      <c r="E449" s="11">
        <f>=ROUNDDOWN(4.95161290322581,0)</f>
      </c>
      <c r="F449" s="11"/>
      <c r="G449" s="12">
        <v>0.5262</v>
      </c>
      <c r="H449" s="11"/>
      <c r="I449" s="11">
        <f>=ROUNDDOWN({0},0)</f>
      </c>
      <c r="J449" s="11"/>
      <c r="K449" s="12"/>
      <c r="L449" s="11">
        <v>1034</v>
      </c>
      <c r="M449" s="13">
        <v>84735</v>
      </c>
      <c r="N449" s="11"/>
      <c r="O449" s="14"/>
      <c r="P449" s="11"/>
      <c r="Q449" s="13"/>
      <c r="R449" s="11"/>
      <c r="S449" s="14"/>
      <c r="T449" s="12"/>
      <c r="U449" s="12"/>
      <c r="V449" s="12"/>
      <c r="W449" s="12"/>
      <c r="X449" s="11"/>
      <c r="Y449" s="13"/>
      <c r="Z449" s="11"/>
      <c r="AA449" s="11"/>
      <c r="AB449" s="13"/>
      <c r="AC449" s="11"/>
      <c r="AD449" s="12"/>
      <c r="AE449" s="12"/>
      <c r="AF449" s="11"/>
      <c r="AG449" s="13"/>
      <c r="AH449" s="11"/>
      <c r="AI449" s="11"/>
      <c r="AJ449" s="13"/>
      <c r="AK449" s="11"/>
      <c r="AL449" s="12"/>
      <c r="AM449" s="12"/>
      <c r="AN449" s="11"/>
      <c r="AO449" s="13"/>
      <c r="AP449" s="11"/>
      <c r="AQ449" s="11"/>
      <c r="AR449" s="13"/>
      <c r="AS449" s="11"/>
      <c r="AT449" s="12"/>
      <c r="AU449" s="12"/>
      <c r="AV449" s="11">
        <v>1034</v>
      </c>
      <c r="AW449" s="13">
        <v>84735</v>
      </c>
      <c r="AX449" s="11"/>
      <c r="AY449" s="11"/>
      <c r="AZ449" s="13"/>
      <c r="BA449" s="11"/>
      <c r="BB449" s="12"/>
      <c r="BC449" s="12"/>
      <c r="BD449" s="11"/>
      <c r="BE449" s="13"/>
      <c r="BF449" s="11"/>
      <c r="BG449" s="11"/>
      <c r="BH449" s="13"/>
      <c r="BI449" s="11"/>
      <c r="BJ449" s="12"/>
      <c r="BK449" s="12"/>
      <c r="BL449" s="11"/>
      <c r="BM449" s="13"/>
      <c r="BN449" s="11"/>
      <c r="BO449" s="11"/>
      <c r="BP449" s="13"/>
      <c r="BQ449" s="11"/>
      <c r="BR449" s="12"/>
      <c r="BS449" s="12"/>
      <c r="BT449" s="11"/>
      <c r="BU449" s="13"/>
      <c r="BV449" s="11"/>
      <c r="BW449" s="11"/>
      <c r="BX449" s="13"/>
      <c r="BY449" s="11"/>
      <c r="BZ449" s="12"/>
      <c r="CA449" s="12"/>
      <c r="CB449" s="11"/>
      <c r="CC449" s="13"/>
      <c r="CD449" s="11"/>
      <c r="CE449" s="11"/>
      <c r="CF449" s="13"/>
      <c r="CG449" s="11"/>
      <c r="CH449" s="12"/>
      <c r="CI449" s="12"/>
      <c r="CJ449" s="11"/>
      <c r="CK449" s="13"/>
      <c r="CL449" s="11"/>
      <c r="CM449" s="11"/>
      <c r="CN449" s="13"/>
      <c r="CO449" s="11"/>
      <c r="CP449" s="12"/>
      <c r="CQ449" s="12"/>
      <c r="CR449" s="11"/>
      <c r="CS449" s="13"/>
      <c r="CT449" s="11"/>
      <c r="CU449" s="11"/>
      <c r="CV449" s="13"/>
      <c r="CW449" s="11"/>
      <c r="CX449" s="12"/>
      <c r="CY449" s="12"/>
      <c r="CZ449" s="11"/>
      <c r="DA449" s="13"/>
      <c r="DB449" s="11"/>
      <c r="DC449" s="11"/>
      <c r="DD449" s="13"/>
      <c r="DE449" s="11"/>
      <c r="DF449" s="12"/>
      <c r="DG449" s="12"/>
      <c r="DH449" s="11"/>
      <c r="DI449" s="13"/>
      <c r="DJ449" s="11"/>
      <c r="DK449" s="11"/>
      <c r="DL449" s="13"/>
      <c r="DM449" s="11"/>
      <c r="DN449" s="12"/>
      <c r="DO449" s="12"/>
      <c r="DP449" s="11"/>
      <c r="DQ449" s="13"/>
      <c r="DR449" s="11"/>
      <c r="DS449" s="11"/>
      <c r="DT449" s="13"/>
      <c r="DU449" s="11"/>
      <c r="DV449" s="12"/>
      <c r="DW449" s="12"/>
      <c r="DX449" s="11"/>
      <c r="DY449" s="13"/>
      <c r="DZ449" s="11"/>
      <c r="EA449" s="11"/>
      <c r="EB449" s="13"/>
      <c r="EC449" s="11"/>
      <c r="ED449" s="12"/>
      <c r="EE449" s="12"/>
      <c r="EF449" s="11"/>
      <c r="EG449" s="13"/>
      <c r="EH449" s="11"/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/>
      <c r="EW449" s="13"/>
      <c r="EX449" s="11"/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/>
      <c r="GC449" s="13"/>
      <c r="GD449" s="11"/>
      <c r="GE449" s="11"/>
      <c r="GF449" s="13"/>
      <c r="GG449" s="11"/>
      <c r="GH449" s="12"/>
      <c r="GI449" s="12"/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/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/>
      <c r="HI449" s="13"/>
      <c r="HJ449" s="11"/>
      <c r="HK449" s="11"/>
      <c r="HL449" s="13"/>
      <c r="HM449" s="11"/>
      <c r="HN449" s="12"/>
      <c r="HO449" s="12"/>
      <c r="HP449" s="11"/>
      <c r="HQ449" s="13"/>
      <c r="HR449" s="11"/>
      <c r="HS449" s="11"/>
      <c r="HT449" s="13"/>
      <c r="HU449" s="11"/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/>
      <c r="JE449" s="13"/>
      <c r="JF449" s="11"/>
      <c r="JG449" s="11"/>
      <c r="JH449" s="13"/>
      <c r="JI449" s="11"/>
      <c r="JJ449" s="12"/>
      <c r="JK449" s="12"/>
      <c r="JL449" s="11"/>
      <c r="JM449" s="13"/>
      <c r="JN449" s="11"/>
      <c r="JO449" s="11"/>
      <c r="JP449" s="13"/>
      <c r="JQ449" s="11"/>
      <c r="JR449" s="12"/>
      <c r="JS449" s="12"/>
      <c r="JT449" s="11"/>
      <c r="JU449" s="13"/>
      <c r="JV449" s="11"/>
      <c r="JW449" s="11"/>
      <c r="JX449" s="13"/>
      <c r="JY449" s="11"/>
      <c r="JZ449" s="12"/>
      <c r="KA449" s="12"/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/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  <c r="LH449" s="11"/>
      <c r="LI449" s="13"/>
      <c r="LJ449" s="11"/>
      <c r="LK449" s="11"/>
      <c r="LL449" s="13"/>
      <c r="LM449" s="11"/>
      <c r="LN449" s="12"/>
      <c r="LO449" s="12"/>
      <c r="LP449" s="11"/>
      <c r="LQ449" s="13"/>
      <c r="LR449" s="11"/>
      <c r="LS449" s="11"/>
      <c r="LT449" s="13"/>
      <c r="LU449" s="11"/>
      <c r="LV449" s="12"/>
      <c r="LW449" s="12"/>
    </row>
    <row r="450">
      <c r="A450" s="10" t="s">
        <v>227</v>
      </c>
      <c r="B450" s="10" t="s">
        <v>247</v>
      </c>
      <c r="C450" s="10" t="s">
        <v>77</v>
      </c>
      <c r="D450" s="11">
        <v>1686</v>
      </c>
      <c r="E450" s="11">
        <f>=ROUNDDOWN({0},0)</f>
      </c>
      <c r="F450" s="11">
        <v>520</v>
      </c>
      <c r="G450" s="12"/>
      <c r="H450" s="11"/>
      <c r="I450" s="11">
        <f>=ROUNDDOWN({0},0)</f>
      </c>
      <c r="J450" s="11"/>
      <c r="K450" s="12"/>
      <c r="L450" s="11">
        <v>1623</v>
      </c>
      <c r="M450" s="13">
        <v>214676.38</v>
      </c>
      <c r="N450" s="11"/>
      <c r="O450" s="14"/>
      <c r="P450" s="11"/>
      <c r="Q450" s="13"/>
      <c r="R450" s="11"/>
      <c r="S450" s="14"/>
      <c r="T450" s="12"/>
      <c r="U450" s="12"/>
      <c r="V450" s="12"/>
      <c r="W450" s="12"/>
      <c r="X450" s="11"/>
      <c r="Y450" s="13"/>
      <c r="Z450" s="11"/>
      <c r="AA450" s="11"/>
      <c r="AB450" s="13"/>
      <c r="AC450" s="11"/>
      <c r="AD450" s="12"/>
      <c r="AE450" s="12"/>
      <c r="AF450" s="11"/>
      <c r="AG450" s="13"/>
      <c r="AH450" s="11"/>
      <c r="AI450" s="11"/>
      <c r="AJ450" s="13"/>
      <c r="AK450" s="11"/>
      <c r="AL450" s="12"/>
      <c r="AM450" s="12"/>
      <c r="AN450" s="11"/>
      <c r="AO450" s="13"/>
      <c r="AP450" s="11"/>
      <c r="AQ450" s="11"/>
      <c r="AR450" s="13"/>
      <c r="AS450" s="11"/>
      <c r="AT450" s="12"/>
      <c r="AU450" s="12"/>
      <c r="AV450" s="11">
        <v>1623</v>
      </c>
      <c r="AW450" s="13">
        <v>214676.38</v>
      </c>
      <c r="AX450" s="11"/>
      <c r="AY450" s="11"/>
      <c r="AZ450" s="13"/>
      <c r="BA450" s="11"/>
      <c r="BB450" s="12"/>
      <c r="BC450" s="12"/>
      <c r="BD450" s="11"/>
      <c r="BE450" s="13"/>
      <c r="BF450" s="11"/>
      <c r="BG450" s="11"/>
      <c r="BH450" s="13"/>
      <c r="BI450" s="11"/>
      <c r="BJ450" s="12"/>
      <c r="BK450" s="12"/>
      <c r="BL450" s="11"/>
      <c r="BM450" s="13"/>
      <c r="BN450" s="11"/>
      <c r="BO450" s="11"/>
      <c r="BP450" s="13"/>
      <c r="BQ450" s="11"/>
      <c r="BR450" s="12"/>
      <c r="BS450" s="12"/>
      <c r="BT450" s="11"/>
      <c r="BU450" s="13"/>
      <c r="BV450" s="11"/>
      <c r="BW450" s="11"/>
      <c r="BX450" s="13"/>
      <c r="BY450" s="11"/>
      <c r="BZ450" s="12"/>
      <c r="CA450" s="12"/>
      <c r="CB450" s="11"/>
      <c r="CC450" s="13"/>
      <c r="CD450" s="11"/>
      <c r="CE450" s="11"/>
      <c r="CF450" s="13"/>
      <c r="CG450" s="11"/>
      <c r="CH450" s="12"/>
      <c r="CI450" s="12"/>
      <c r="CJ450" s="11"/>
      <c r="CK450" s="13"/>
      <c r="CL450" s="11"/>
      <c r="CM450" s="11"/>
      <c r="CN450" s="13"/>
      <c r="CO450" s="11"/>
      <c r="CP450" s="12"/>
      <c r="CQ450" s="12"/>
      <c r="CR450" s="11"/>
      <c r="CS450" s="13"/>
      <c r="CT450" s="11"/>
      <c r="CU450" s="11"/>
      <c r="CV450" s="13"/>
      <c r="CW450" s="11"/>
      <c r="CX450" s="12"/>
      <c r="CY450" s="12"/>
      <c r="CZ450" s="11"/>
      <c r="DA450" s="13"/>
      <c r="DB450" s="11"/>
      <c r="DC450" s="11"/>
      <c r="DD450" s="13"/>
      <c r="DE450" s="11"/>
      <c r="DF450" s="12"/>
      <c r="DG450" s="12"/>
      <c r="DH450" s="11"/>
      <c r="DI450" s="13"/>
      <c r="DJ450" s="11"/>
      <c r="DK450" s="11"/>
      <c r="DL450" s="13"/>
      <c r="DM450" s="11"/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/>
      <c r="DY450" s="13"/>
      <c r="DZ450" s="11"/>
      <c r="EA450" s="11"/>
      <c r="EB450" s="13"/>
      <c r="EC450" s="11"/>
      <c r="ED450" s="12"/>
      <c r="EE450" s="12"/>
      <c r="EF450" s="11"/>
      <c r="EG450" s="13"/>
      <c r="EH450" s="11"/>
      <c r="EI450" s="11"/>
      <c r="EJ450" s="13"/>
      <c r="EK450" s="11"/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/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/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/>
      <c r="IO450" s="13"/>
      <c r="IP450" s="11"/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/>
      <c r="JP450" s="13"/>
      <c r="JQ450" s="11"/>
      <c r="JR450" s="12"/>
      <c r="JS450" s="12"/>
      <c r="JT450" s="11"/>
      <c r="JU450" s="13"/>
      <c r="JV450" s="11"/>
      <c r="JW450" s="11"/>
      <c r="JX450" s="13"/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  <c r="LH450" s="11"/>
      <c r="LI450" s="13"/>
      <c r="LJ450" s="11"/>
      <c r="LK450" s="11"/>
      <c r="LL450" s="13"/>
      <c r="LM450" s="11"/>
      <c r="LN450" s="12"/>
      <c r="LO450" s="12"/>
      <c r="LP450" s="11"/>
      <c r="LQ450" s="13"/>
      <c r="LR450" s="11"/>
      <c r="LS450" s="11"/>
      <c r="LT450" s="13"/>
      <c r="LU450" s="11"/>
      <c r="LV450" s="12"/>
      <c r="LW450" s="12"/>
    </row>
    <row r="451">
      <c r="A451" s="10" t="s">
        <v>248</v>
      </c>
      <c r="B451" s="10" t="s">
        <v>77</v>
      </c>
      <c r="C451" s="10" t="s">
        <v>77</v>
      </c>
      <c r="D451" s="11">
        <v>115987</v>
      </c>
      <c r="E451" s="11">
        <f>=ROUNDDOWN({0},0)</f>
      </c>
      <c r="F451" s="11">
        <v>83209</v>
      </c>
      <c r="G451" s="12"/>
      <c r="H451" s="11"/>
      <c r="I451" s="11">
        <f>=ROUNDDOWN({0},0)</f>
      </c>
      <c r="J451" s="11">
        <v>14283</v>
      </c>
      <c r="K451" s="12"/>
      <c r="L451" s="11">
        <v>76005</v>
      </c>
      <c r="M451" s="13">
        <v>12836902.42</v>
      </c>
      <c r="N451" s="11">
        <v>648</v>
      </c>
      <c r="O451" s="14">
        <v>19810.03</v>
      </c>
      <c r="P451" s="11"/>
      <c r="Q451" s="13"/>
      <c r="R451" s="11"/>
      <c r="S451" s="14"/>
      <c r="T451" s="12"/>
      <c r="U451" s="12"/>
      <c r="V451" s="12"/>
      <c r="W451" s="12"/>
      <c r="X451" s="11">
        <v>4048</v>
      </c>
      <c r="Y451" s="13">
        <v>691522.88</v>
      </c>
      <c r="Z451" s="11">
        <v>244</v>
      </c>
      <c r="AA451" s="11"/>
      <c r="AB451" s="13"/>
      <c r="AC451" s="11"/>
      <c r="AD451" s="12"/>
      <c r="AE451" s="12"/>
      <c r="AF451" s="11">
        <v>28220</v>
      </c>
      <c r="AG451" s="13">
        <v>4656167.13</v>
      </c>
      <c r="AH451" s="11">
        <v>640</v>
      </c>
      <c r="AI451" s="11"/>
      <c r="AJ451" s="13"/>
      <c r="AK451" s="11"/>
      <c r="AL451" s="12"/>
      <c r="AM451" s="12"/>
      <c r="AN451" s="11">
        <v>1522</v>
      </c>
      <c r="AO451" s="13">
        <v>227827.61</v>
      </c>
      <c r="AP451" s="11">
        <v>612</v>
      </c>
      <c r="AQ451" s="11"/>
      <c r="AR451" s="13"/>
      <c r="AS451" s="11"/>
      <c r="AT451" s="12"/>
      <c r="AU451" s="12"/>
      <c r="AV451" s="11">
        <v>15978</v>
      </c>
      <c r="AW451" s="13">
        <v>2194644.14</v>
      </c>
      <c r="AX451" s="11">
        <v>478</v>
      </c>
      <c r="AY451" s="11"/>
      <c r="AZ451" s="13"/>
      <c r="BA451" s="11"/>
      <c r="BB451" s="12"/>
      <c r="BC451" s="12"/>
      <c r="BD451" s="11">
        <v>3702</v>
      </c>
      <c r="BE451" s="13">
        <v>612858.64</v>
      </c>
      <c r="BF451" s="11">
        <v>504</v>
      </c>
      <c r="BG451" s="11"/>
      <c r="BH451" s="13"/>
      <c r="BI451" s="11"/>
      <c r="BJ451" s="12"/>
      <c r="BK451" s="12"/>
      <c r="BL451" s="11">
        <v>6355</v>
      </c>
      <c r="BM451" s="13">
        <v>1390833.12</v>
      </c>
      <c r="BN451" s="11">
        <v>622</v>
      </c>
      <c r="BO451" s="11"/>
      <c r="BP451" s="13"/>
      <c r="BQ451" s="11"/>
      <c r="BR451" s="12"/>
      <c r="BS451" s="12"/>
      <c r="BT451" s="11">
        <v>7006</v>
      </c>
      <c r="BU451" s="13">
        <v>1432980.42</v>
      </c>
      <c r="BV451" s="11">
        <v>611</v>
      </c>
      <c r="BW451" s="11"/>
      <c r="BX451" s="13"/>
      <c r="BY451" s="11"/>
      <c r="BZ451" s="12"/>
      <c r="CA451" s="12"/>
      <c r="CB451" s="11">
        <v>156</v>
      </c>
      <c r="CC451" s="13">
        <v>25213.92</v>
      </c>
      <c r="CD451" s="11">
        <v>290</v>
      </c>
      <c r="CE451" s="11"/>
      <c r="CF451" s="13"/>
      <c r="CG451" s="11"/>
      <c r="CH451" s="12"/>
      <c r="CI451" s="12"/>
      <c r="CJ451" s="11">
        <v>11</v>
      </c>
      <c r="CK451" s="13">
        <v>3855.89</v>
      </c>
      <c r="CL451" s="11">
        <v>518</v>
      </c>
      <c r="CM451" s="11"/>
      <c r="CN451" s="13"/>
      <c r="CO451" s="11"/>
      <c r="CP451" s="12"/>
      <c r="CQ451" s="12"/>
      <c r="CR451" s="11"/>
      <c r="CS451" s="13"/>
      <c r="CT451" s="11"/>
      <c r="CU451" s="11"/>
      <c r="CV451" s="13"/>
      <c r="CW451" s="11"/>
      <c r="CX451" s="12"/>
      <c r="CY451" s="12"/>
      <c r="CZ451" s="11">
        <v>2390</v>
      </c>
      <c r="DA451" s="13">
        <v>486758.97</v>
      </c>
      <c r="DB451" s="11">
        <v>287</v>
      </c>
      <c r="DC451" s="11"/>
      <c r="DD451" s="13"/>
      <c r="DE451" s="11"/>
      <c r="DF451" s="12"/>
      <c r="DG451" s="12"/>
      <c r="DH451" s="11">
        <v>3357</v>
      </c>
      <c r="DI451" s="13">
        <v>595965.5</v>
      </c>
      <c r="DJ451" s="11">
        <v>205</v>
      </c>
      <c r="DK451" s="11"/>
      <c r="DL451" s="13"/>
      <c r="DM451" s="11"/>
      <c r="DN451" s="12"/>
      <c r="DO451" s="12"/>
      <c r="DP451" s="11">
        <v>25</v>
      </c>
      <c r="DQ451" s="13">
        <v>4818.52</v>
      </c>
      <c r="DR451" s="11">
        <v>271</v>
      </c>
      <c r="DS451" s="11"/>
      <c r="DT451" s="13"/>
      <c r="DU451" s="11"/>
      <c r="DV451" s="12"/>
      <c r="DW451" s="12"/>
      <c r="DX451" s="11">
        <v>759</v>
      </c>
      <c r="DY451" s="13">
        <v>150396.49</v>
      </c>
      <c r="DZ451" s="11">
        <v>451</v>
      </c>
      <c r="EA451" s="11"/>
      <c r="EB451" s="13"/>
      <c r="EC451" s="11"/>
      <c r="ED451" s="12"/>
      <c r="EE451" s="12"/>
      <c r="EF451" s="11"/>
      <c r="EG451" s="13"/>
      <c r="EH451" s="11"/>
      <c r="EI451" s="11"/>
      <c r="EJ451" s="13"/>
      <c r="EK451" s="11"/>
      <c r="EL451" s="12"/>
      <c r="EM451" s="12"/>
      <c r="EN451" s="11">
        <v>21</v>
      </c>
      <c r="EO451" s="13">
        <v>4885.95</v>
      </c>
      <c r="EP451" s="11">
        <v>568</v>
      </c>
      <c r="EQ451" s="11"/>
      <c r="ER451" s="13"/>
      <c r="ES451" s="11"/>
      <c r="ET451" s="12"/>
      <c r="EU451" s="12"/>
      <c r="EV451" s="11"/>
      <c r="EW451" s="13"/>
      <c r="EX451" s="11"/>
      <c r="EY451" s="11"/>
      <c r="EZ451" s="13"/>
      <c r="FA451" s="11"/>
      <c r="FB451" s="12"/>
      <c r="FC451" s="12"/>
      <c r="FD451" s="11"/>
      <c r="FE451" s="13"/>
      <c r="FF451" s="11">
        <v>1</v>
      </c>
      <c r="FG451" s="11"/>
      <c r="FH451" s="13"/>
      <c r="FI451" s="11"/>
      <c r="FJ451" s="12"/>
      <c r="FK451" s="12"/>
      <c r="FL451" s="11">
        <v>250</v>
      </c>
      <c r="FM451" s="13">
        <v>29415.14</v>
      </c>
      <c r="FN451" s="11">
        <v>203</v>
      </c>
      <c r="FO451" s="11"/>
      <c r="FP451" s="13"/>
      <c r="FQ451" s="11"/>
      <c r="FR451" s="12"/>
      <c r="FS451" s="12"/>
      <c r="FT451" s="11">
        <v>741</v>
      </c>
      <c r="FU451" s="13">
        <v>96151.7</v>
      </c>
      <c r="FV451" s="11">
        <v>352</v>
      </c>
      <c r="FW451" s="11"/>
      <c r="FX451" s="13"/>
      <c r="FY451" s="11"/>
      <c r="FZ451" s="12"/>
      <c r="GA451" s="12"/>
      <c r="GB451" s="11">
        <v>489</v>
      </c>
      <c r="GC451" s="13">
        <v>77883.32</v>
      </c>
      <c r="GD451" s="11">
        <v>322</v>
      </c>
      <c r="GE451" s="11"/>
      <c r="GF451" s="13"/>
      <c r="GG451" s="11"/>
      <c r="GH451" s="12"/>
      <c r="GI451" s="12"/>
      <c r="GJ451" s="11">
        <v>473</v>
      </c>
      <c r="GK451" s="13">
        <v>73660.22</v>
      </c>
      <c r="GL451" s="11">
        <v>472</v>
      </c>
      <c r="GM451" s="11"/>
      <c r="GN451" s="13"/>
      <c r="GO451" s="11"/>
      <c r="GP451" s="12"/>
      <c r="GQ451" s="12"/>
      <c r="GR451" s="11">
        <v>477</v>
      </c>
      <c r="GS451" s="13">
        <v>78514.65</v>
      </c>
      <c r="GT451" s="11">
        <v>487</v>
      </c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>
        <v>25</v>
      </c>
      <c r="HY451" s="13">
        <v>2548.21</v>
      </c>
      <c r="HZ451" s="11">
        <v>35</v>
      </c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>
        <v>14</v>
      </c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/>
      <c r="JP451" s="13"/>
      <c r="JQ451" s="11"/>
      <c r="JR451" s="12"/>
      <c r="JS451" s="12"/>
      <c r="JT451" s="11"/>
      <c r="JU451" s="13"/>
      <c r="JV451" s="11">
        <v>62</v>
      </c>
      <c r="JW451" s="11"/>
      <c r="JX451" s="13"/>
      <c r="JY451" s="11"/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/>
      <c r="KN451" s="13"/>
      <c r="KO451" s="11"/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  <c r="LH451" s="11"/>
      <c r="LI451" s="13"/>
      <c r="LJ451" s="11"/>
      <c r="LK451" s="11"/>
      <c r="LL451" s="13"/>
      <c r="LM451" s="11"/>
      <c r="LN451" s="12"/>
      <c r="LO451" s="12"/>
      <c r="LP451" s="11"/>
      <c r="LQ451" s="13"/>
      <c r="LR451" s="11"/>
      <c r="LS451" s="11"/>
      <c r="LT451" s="13"/>
      <c r="LU451" s="11"/>
      <c r="LV451" s="12"/>
      <c r="LW451" s="12"/>
    </row>
    <row r="452">
      <c r="A452" s="10" t="s">
        <v>249</v>
      </c>
      <c r="B452" s="10" t="s">
        <v>73</v>
      </c>
      <c r="C452" s="10" t="s">
        <v>250</v>
      </c>
      <c r="D452" s="11">
        <v>135</v>
      </c>
      <c r="E452" s="11">
        <f>=ROUNDDOWN(270,0)</f>
      </c>
      <c r="F452" s="11"/>
      <c r="G452" s="12"/>
      <c r="H452" s="11"/>
      <c r="I452" s="11">
        <f>=ROUNDDOWN({0},0)</f>
      </c>
      <c r="J452" s="11"/>
      <c r="K452" s="12"/>
      <c r="L452" s="11">
        <v>10</v>
      </c>
      <c r="M452" s="13">
        <v>929.28</v>
      </c>
      <c r="N452" s="11">
        <v>2</v>
      </c>
      <c r="O452" s="14">
        <v>464.64</v>
      </c>
      <c r="P452" s="11"/>
      <c r="Q452" s="13"/>
      <c r="R452" s="11"/>
      <c r="S452" s="14"/>
      <c r="T452" s="12"/>
      <c r="U452" s="12"/>
      <c r="V452" s="12"/>
      <c r="W452" s="12"/>
      <c r="X452" s="11"/>
      <c r="Y452" s="13"/>
      <c r="Z452" s="11">
        <v>1</v>
      </c>
      <c r="AA452" s="11"/>
      <c r="AB452" s="13"/>
      <c r="AC452" s="11"/>
      <c r="AD452" s="12"/>
      <c r="AE452" s="12"/>
      <c r="AF452" s="11">
        <v>1</v>
      </c>
      <c r="AG452" s="13">
        <v>19.13</v>
      </c>
      <c r="AH452" s="11">
        <v>2</v>
      </c>
      <c r="AI452" s="11"/>
      <c r="AJ452" s="13"/>
      <c r="AK452" s="11"/>
      <c r="AL452" s="12"/>
      <c r="AM452" s="12"/>
      <c r="AN452" s="11">
        <v>1</v>
      </c>
      <c r="AO452" s="13">
        <v>47.35</v>
      </c>
      <c r="AP452" s="11">
        <v>2</v>
      </c>
      <c r="AQ452" s="11"/>
      <c r="AR452" s="13"/>
      <c r="AS452" s="11"/>
      <c r="AT452" s="12"/>
      <c r="AU452" s="12"/>
      <c r="AV452" s="11">
        <v>2</v>
      </c>
      <c r="AW452" s="13">
        <v>108.56</v>
      </c>
      <c r="AX452" s="11">
        <v>1</v>
      </c>
      <c r="AY452" s="11"/>
      <c r="AZ452" s="13"/>
      <c r="BA452" s="11"/>
      <c r="BB452" s="12"/>
      <c r="BC452" s="12"/>
      <c r="BD452" s="11"/>
      <c r="BE452" s="13"/>
      <c r="BF452" s="11">
        <v>2</v>
      </c>
      <c r="BG452" s="11"/>
      <c r="BH452" s="13"/>
      <c r="BI452" s="11"/>
      <c r="BJ452" s="12"/>
      <c r="BK452" s="12"/>
      <c r="BL452" s="11">
        <v>4</v>
      </c>
      <c r="BM452" s="13">
        <v>546.72</v>
      </c>
      <c r="BN452" s="11">
        <v>2</v>
      </c>
      <c r="BO452" s="11"/>
      <c r="BP452" s="13"/>
      <c r="BQ452" s="11"/>
      <c r="BR452" s="12"/>
      <c r="BS452" s="12"/>
      <c r="BT452" s="11">
        <v>1</v>
      </c>
      <c r="BU452" s="13">
        <v>133.54</v>
      </c>
      <c r="BV452" s="11">
        <v>2</v>
      </c>
      <c r="BW452" s="11"/>
      <c r="BX452" s="13"/>
      <c r="BY452" s="11"/>
      <c r="BZ452" s="12"/>
      <c r="CA452" s="12"/>
      <c r="CB452" s="11">
        <v>1</v>
      </c>
      <c r="CC452" s="13">
        <v>73.98</v>
      </c>
      <c r="CD452" s="11">
        <v>1</v>
      </c>
      <c r="CE452" s="11"/>
      <c r="CF452" s="13"/>
      <c r="CG452" s="11"/>
      <c r="CH452" s="12"/>
      <c r="CI452" s="12"/>
      <c r="CJ452" s="11"/>
      <c r="CK452" s="13"/>
      <c r="CL452" s="11">
        <v>1</v>
      </c>
      <c r="CM452" s="11"/>
      <c r="CN452" s="13"/>
      <c r="CO452" s="11"/>
      <c r="CP452" s="12"/>
      <c r="CQ452" s="12"/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>
        <v>1</v>
      </c>
      <c r="DC452" s="11"/>
      <c r="DD452" s="13"/>
      <c r="DE452" s="11"/>
      <c r="DF452" s="12"/>
      <c r="DG452" s="12"/>
      <c r="DH452" s="11"/>
      <c r="DI452" s="13"/>
      <c r="DJ452" s="11"/>
      <c r="DK452" s="11"/>
      <c r="DL452" s="13"/>
      <c r="DM452" s="11"/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/>
      <c r="EI452" s="11"/>
      <c r="EJ452" s="13"/>
      <c r="EK452" s="11"/>
      <c r="EL452" s="12"/>
      <c r="EM452" s="12"/>
      <c r="EN452" s="11"/>
      <c r="EO452" s="13"/>
      <c r="EP452" s="11">
        <v>2</v>
      </c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/>
      <c r="FW452" s="11"/>
      <c r="FX452" s="13"/>
      <c r="FY452" s="11"/>
      <c r="FZ452" s="12"/>
      <c r="GA452" s="12"/>
      <c r="GB452" s="11"/>
      <c r="GC452" s="13"/>
      <c r="GD452" s="11"/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/>
      <c r="GS452" s="13"/>
      <c r="GT452" s="11">
        <v>2</v>
      </c>
      <c r="GU452" s="11"/>
      <c r="GV452" s="13"/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/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/>
      <c r="JO452" s="11"/>
      <c r="JP452" s="13"/>
      <c r="JQ452" s="11"/>
      <c r="JR452" s="12"/>
      <c r="JS452" s="12"/>
      <c r="JT452" s="11"/>
      <c r="JU452" s="13"/>
      <c r="JV452" s="11"/>
      <c r="JW452" s="11"/>
      <c r="JX452" s="13"/>
      <c r="JY452" s="11"/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/>
      <c r="KM452" s="11"/>
      <c r="KN452" s="13"/>
      <c r="KO452" s="11"/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  <c r="LH452" s="11"/>
      <c r="LI452" s="13"/>
      <c r="LJ452" s="11"/>
      <c r="LK452" s="11"/>
      <c r="LL452" s="13"/>
      <c r="LM452" s="11"/>
      <c r="LN452" s="12"/>
      <c r="LO452" s="12"/>
      <c r="LP452" s="11"/>
      <c r="LQ452" s="13"/>
      <c r="LR452" s="11"/>
      <c r="LS452" s="11"/>
      <c r="LT452" s="13"/>
      <c r="LU452" s="11"/>
      <c r="LV452" s="12"/>
      <c r="LW452" s="12"/>
    </row>
    <row r="453">
      <c r="A453" s="10" t="s">
        <v>249</v>
      </c>
      <c r="B453" s="10" t="s">
        <v>73</v>
      </c>
      <c r="C453" s="10" t="s">
        <v>251</v>
      </c>
      <c r="D453" s="11">
        <v>278</v>
      </c>
      <c r="E453" s="11">
        <f>=ROUNDDOWN(47.9310344827586,0)</f>
      </c>
      <c r="F453" s="11"/>
      <c r="G453" s="12">
        <v>1</v>
      </c>
      <c r="H453" s="11"/>
      <c r="I453" s="11">
        <f>=ROUNDDOWN({0},0)</f>
      </c>
      <c r="J453" s="11"/>
      <c r="K453" s="12"/>
      <c r="L453" s="11">
        <v>83</v>
      </c>
      <c r="M453" s="13">
        <v>5954.65</v>
      </c>
      <c r="N453" s="11">
        <v>2</v>
      </c>
      <c r="O453" s="14">
        <v>2977.32</v>
      </c>
      <c r="P453" s="11"/>
      <c r="Q453" s="13"/>
      <c r="R453" s="11"/>
      <c r="S453" s="14"/>
      <c r="T453" s="12"/>
      <c r="U453" s="12"/>
      <c r="V453" s="12"/>
      <c r="W453" s="12"/>
      <c r="X453" s="11">
        <v>3</v>
      </c>
      <c r="Y453" s="13">
        <v>217.35</v>
      </c>
      <c r="Z453" s="11">
        <v>2</v>
      </c>
      <c r="AA453" s="11"/>
      <c r="AB453" s="13"/>
      <c r="AC453" s="11"/>
      <c r="AD453" s="12"/>
      <c r="AE453" s="12"/>
      <c r="AF453" s="11">
        <v>5</v>
      </c>
      <c r="AG453" s="13">
        <v>281.8</v>
      </c>
      <c r="AH453" s="11">
        <v>2</v>
      </c>
      <c r="AI453" s="11"/>
      <c r="AJ453" s="13"/>
      <c r="AK453" s="11"/>
      <c r="AL453" s="12"/>
      <c r="AM453" s="12"/>
      <c r="AN453" s="11"/>
      <c r="AO453" s="13"/>
      <c r="AP453" s="11">
        <v>2</v>
      </c>
      <c r="AQ453" s="11"/>
      <c r="AR453" s="13"/>
      <c r="AS453" s="11"/>
      <c r="AT453" s="12"/>
      <c r="AU453" s="12"/>
      <c r="AV453" s="11">
        <v>14</v>
      </c>
      <c r="AW453" s="13">
        <v>1144.25</v>
      </c>
      <c r="AX453" s="11">
        <v>2</v>
      </c>
      <c r="AY453" s="11"/>
      <c r="AZ453" s="13"/>
      <c r="BA453" s="11"/>
      <c r="BB453" s="12"/>
      <c r="BC453" s="12"/>
      <c r="BD453" s="11"/>
      <c r="BE453" s="13"/>
      <c r="BF453" s="11">
        <v>2</v>
      </c>
      <c r="BG453" s="11"/>
      <c r="BH453" s="13"/>
      <c r="BI453" s="11"/>
      <c r="BJ453" s="12"/>
      <c r="BK453" s="12"/>
      <c r="BL453" s="11">
        <v>2</v>
      </c>
      <c r="BM453" s="13">
        <v>145.54</v>
      </c>
      <c r="BN453" s="11">
        <v>2</v>
      </c>
      <c r="BO453" s="11"/>
      <c r="BP453" s="13"/>
      <c r="BQ453" s="11"/>
      <c r="BR453" s="12"/>
      <c r="BS453" s="12"/>
      <c r="BT453" s="11">
        <v>13</v>
      </c>
      <c r="BU453" s="13">
        <v>928.72</v>
      </c>
      <c r="BV453" s="11">
        <v>2</v>
      </c>
      <c r="BW453" s="11"/>
      <c r="BX453" s="13"/>
      <c r="BY453" s="11"/>
      <c r="BZ453" s="12"/>
      <c r="CA453" s="12"/>
      <c r="CB453" s="11">
        <v>3</v>
      </c>
      <c r="CC453" s="13">
        <v>208.38</v>
      </c>
      <c r="CD453" s="11">
        <v>1</v>
      </c>
      <c r="CE453" s="11"/>
      <c r="CF453" s="13"/>
      <c r="CG453" s="11"/>
      <c r="CH453" s="12"/>
      <c r="CI453" s="12"/>
      <c r="CJ453" s="11"/>
      <c r="CK453" s="13"/>
      <c r="CL453" s="11">
        <v>2</v>
      </c>
      <c r="CM453" s="11"/>
      <c r="CN453" s="13"/>
      <c r="CO453" s="11"/>
      <c r="CP453" s="12"/>
      <c r="CQ453" s="12"/>
      <c r="CR453" s="11"/>
      <c r="CS453" s="13"/>
      <c r="CT453" s="11"/>
      <c r="CU453" s="11"/>
      <c r="CV453" s="13"/>
      <c r="CW453" s="11"/>
      <c r="CX453" s="12"/>
      <c r="CY453" s="12"/>
      <c r="CZ453" s="11">
        <v>5</v>
      </c>
      <c r="DA453" s="13">
        <v>347.3</v>
      </c>
      <c r="DB453" s="11">
        <v>2</v>
      </c>
      <c r="DC453" s="11"/>
      <c r="DD453" s="13"/>
      <c r="DE453" s="11"/>
      <c r="DF453" s="12"/>
      <c r="DG453" s="12"/>
      <c r="DH453" s="11"/>
      <c r="DI453" s="13"/>
      <c r="DJ453" s="11"/>
      <c r="DK453" s="11"/>
      <c r="DL453" s="13"/>
      <c r="DM453" s="11"/>
      <c r="DN453" s="12"/>
      <c r="DO453" s="12"/>
      <c r="DP453" s="11"/>
      <c r="DQ453" s="13"/>
      <c r="DR453" s="11"/>
      <c r="DS453" s="11"/>
      <c r="DT453" s="13"/>
      <c r="DU453" s="11"/>
      <c r="DV453" s="12"/>
      <c r="DW453" s="12"/>
      <c r="DX453" s="11">
        <v>3</v>
      </c>
      <c r="DY453" s="13">
        <v>207.36</v>
      </c>
      <c r="DZ453" s="11">
        <v>2</v>
      </c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>
        <v>2</v>
      </c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>
        <v>21</v>
      </c>
      <c r="FM453" s="13">
        <v>1500.24</v>
      </c>
      <c r="FN453" s="11">
        <v>2</v>
      </c>
      <c r="FO453" s="11"/>
      <c r="FP453" s="13"/>
      <c r="FQ453" s="11"/>
      <c r="FR453" s="12"/>
      <c r="FS453" s="12"/>
      <c r="FT453" s="11">
        <v>5</v>
      </c>
      <c r="FU453" s="13">
        <v>330.75</v>
      </c>
      <c r="FV453" s="11">
        <v>2</v>
      </c>
      <c r="FW453" s="11"/>
      <c r="FX453" s="13"/>
      <c r="FY453" s="11"/>
      <c r="FZ453" s="12"/>
      <c r="GA453" s="12"/>
      <c r="GB453" s="11">
        <v>9</v>
      </c>
      <c r="GC453" s="13">
        <v>642.96</v>
      </c>
      <c r="GD453" s="11">
        <v>2</v>
      </c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/>
      <c r="GS453" s="13"/>
      <c r="GT453" s="11"/>
      <c r="GU453" s="11"/>
      <c r="GV453" s="13"/>
      <c r="GW453" s="11"/>
      <c r="GX453" s="12"/>
      <c r="GY453" s="12"/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/>
      <c r="HK453" s="11"/>
      <c r="HL453" s="13"/>
      <c r="HM453" s="11"/>
      <c r="HN453" s="12"/>
      <c r="HO453" s="12"/>
      <c r="HP453" s="11"/>
      <c r="HQ453" s="13"/>
      <c r="HR453" s="11"/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/>
      <c r="JO453" s="11"/>
      <c r="JP453" s="13"/>
      <c r="JQ453" s="11"/>
      <c r="JR453" s="12"/>
      <c r="JS453" s="12"/>
      <c r="JT453" s="11"/>
      <c r="JU453" s="13"/>
      <c r="JV453" s="11"/>
      <c r="JW453" s="11"/>
      <c r="JX453" s="13"/>
      <c r="JY453" s="11"/>
      <c r="JZ453" s="12"/>
      <c r="KA453" s="12"/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/>
      <c r="KM453" s="11"/>
      <c r="KN453" s="13"/>
      <c r="KO453" s="11"/>
      <c r="KP453" s="12"/>
      <c r="KQ453" s="12"/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  <c r="LH453" s="11"/>
      <c r="LI453" s="13"/>
      <c r="LJ453" s="11"/>
      <c r="LK453" s="11"/>
      <c r="LL453" s="13"/>
      <c r="LM453" s="11"/>
      <c r="LN453" s="12"/>
      <c r="LO453" s="12"/>
      <c r="LP453" s="11"/>
      <c r="LQ453" s="13"/>
      <c r="LR453" s="11"/>
      <c r="LS453" s="11"/>
      <c r="LT453" s="13"/>
      <c r="LU453" s="11"/>
      <c r="LV453" s="12"/>
      <c r="LW453" s="12"/>
    </row>
    <row r="454">
      <c r="A454" s="10" t="s">
        <v>249</v>
      </c>
      <c r="B454" s="10" t="s">
        <v>73</v>
      </c>
      <c r="C454" s="10" t="s">
        <v>252</v>
      </c>
      <c r="D454" s="11">
        <v>113</v>
      </c>
      <c r="E454" s="11">
        <f>=ROUNDDOWN(75.3333333333333,0)</f>
      </c>
      <c r="F454" s="11"/>
      <c r="G454" s="12">
        <v>1</v>
      </c>
      <c r="H454" s="11"/>
      <c r="I454" s="11">
        <f>=ROUNDDOWN({0},0)</f>
      </c>
      <c r="J454" s="11"/>
      <c r="K454" s="12"/>
      <c r="L454" s="11">
        <v>17</v>
      </c>
      <c r="M454" s="13">
        <v>1294.39</v>
      </c>
      <c r="N454" s="11">
        <v>1</v>
      </c>
      <c r="O454" s="14">
        <v>1294.39</v>
      </c>
      <c r="P454" s="11"/>
      <c r="Q454" s="13"/>
      <c r="R454" s="11"/>
      <c r="S454" s="14"/>
      <c r="T454" s="12"/>
      <c r="U454" s="12"/>
      <c r="V454" s="12"/>
      <c r="W454" s="12"/>
      <c r="X454" s="11"/>
      <c r="Y454" s="13"/>
      <c r="Z454" s="11"/>
      <c r="AA454" s="11"/>
      <c r="AB454" s="13"/>
      <c r="AC454" s="11"/>
      <c r="AD454" s="12"/>
      <c r="AE454" s="12"/>
      <c r="AF454" s="11">
        <v>14</v>
      </c>
      <c r="AG454" s="13">
        <v>1042.66</v>
      </c>
      <c r="AH454" s="11">
        <v>1</v>
      </c>
      <c r="AI454" s="11"/>
      <c r="AJ454" s="13"/>
      <c r="AK454" s="11"/>
      <c r="AL454" s="12"/>
      <c r="AM454" s="12"/>
      <c r="AN454" s="11"/>
      <c r="AO454" s="13"/>
      <c r="AP454" s="11">
        <v>1</v>
      </c>
      <c r="AQ454" s="11"/>
      <c r="AR454" s="13"/>
      <c r="AS454" s="11"/>
      <c r="AT454" s="12"/>
      <c r="AU454" s="12"/>
      <c r="AV454" s="11"/>
      <c r="AW454" s="13"/>
      <c r="AX454" s="11">
        <v>1</v>
      </c>
      <c r="AY454" s="11"/>
      <c r="AZ454" s="13"/>
      <c r="BA454" s="11"/>
      <c r="BB454" s="12"/>
      <c r="BC454" s="12"/>
      <c r="BD454" s="11"/>
      <c r="BE454" s="13"/>
      <c r="BF454" s="11">
        <v>1</v>
      </c>
      <c r="BG454" s="11"/>
      <c r="BH454" s="13"/>
      <c r="BI454" s="11"/>
      <c r="BJ454" s="12"/>
      <c r="BK454" s="12"/>
      <c r="BL454" s="11"/>
      <c r="BM454" s="13"/>
      <c r="BN454" s="11">
        <v>1</v>
      </c>
      <c r="BO454" s="11"/>
      <c r="BP454" s="13"/>
      <c r="BQ454" s="11"/>
      <c r="BR454" s="12"/>
      <c r="BS454" s="12"/>
      <c r="BT454" s="11">
        <v>1</v>
      </c>
      <c r="BU454" s="13">
        <v>87.92</v>
      </c>
      <c r="BV454" s="11">
        <v>1</v>
      </c>
      <c r="BW454" s="11"/>
      <c r="BX454" s="13"/>
      <c r="BY454" s="11"/>
      <c r="BZ454" s="12"/>
      <c r="CA454" s="12"/>
      <c r="CB454" s="11">
        <v>1</v>
      </c>
      <c r="CC454" s="13">
        <v>86</v>
      </c>
      <c r="CD454" s="11">
        <v>1</v>
      </c>
      <c r="CE454" s="11"/>
      <c r="CF454" s="13"/>
      <c r="CG454" s="11"/>
      <c r="CH454" s="12"/>
      <c r="CI454" s="12"/>
      <c r="CJ454" s="11"/>
      <c r="CK454" s="13"/>
      <c r="CL454" s="11">
        <v>1</v>
      </c>
      <c r="CM454" s="11"/>
      <c r="CN454" s="13"/>
      <c r="CO454" s="11"/>
      <c r="CP454" s="12"/>
      <c r="CQ454" s="12"/>
      <c r="CR454" s="11"/>
      <c r="CS454" s="13"/>
      <c r="CT454" s="11"/>
      <c r="CU454" s="11"/>
      <c r="CV454" s="13"/>
      <c r="CW454" s="11"/>
      <c r="CX454" s="12"/>
      <c r="CY454" s="12"/>
      <c r="CZ454" s="11"/>
      <c r="DA454" s="13"/>
      <c r="DB454" s="11">
        <v>1</v>
      </c>
      <c r="DC454" s="11"/>
      <c r="DD454" s="13"/>
      <c r="DE454" s="11"/>
      <c r="DF454" s="12"/>
      <c r="DG454" s="12"/>
      <c r="DH454" s="11"/>
      <c r="DI454" s="13"/>
      <c r="DJ454" s="11"/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/>
      <c r="DY454" s="13"/>
      <c r="DZ454" s="11">
        <v>1</v>
      </c>
      <c r="EA454" s="11"/>
      <c r="EB454" s="13"/>
      <c r="EC454" s="11"/>
      <c r="ED454" s="12"/>
      <c r="EE454" s="12"/>
      <c r="EF454" s="11"/>
      <c r="EG454" s="13"/>
      <c r="EH454" s="11"/>
      <c r="EI454" s="11"/>
      <c r="EJ454" s="13"/>
      <c r="EK454" s="11"/>
      <c r="EL454" s="12"/>
      <c r="EM454" s="12"/>
      <c r="EN454" s="11"/>
      <c r="EO454" s="13"/>
      <c r="EP454" s="11">
        <v>1</v>
      </c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>
        <v>1</v>
      </c>
      <c r="FU454" s="13">
        <v>77.81</v>
      </c>
      <c r="FV454" s="11">
        <v>1</v>
      </c>
      <c r="FW454" s="11"/>
      <c r="FX454" s="13"/>
      <c r="FY454" s="11"/>
      <c r="FZ454" s="12"/>
      <c r="GA454" s="12"/>
      <c r="GB454" s="11"/>
      <c r="GC454" s="13"/>
      <c r="GD454" s="11">
        <v>1</v>
      </c>
      <c r="GE454" s="11"/>
      <c r="GF454" s="13"/>
      <c r="GG454" s="11"/>
      <c r="GH454" s="12"/>
      <c r="GI454" s="12"/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>
        <v>1</v>
      </c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/>
      <c r="JP454" s="13"/>
      <c r="JQ454" s="11"/>
      <c r="JR454" s="12"/>
      <c r="JS454" s="12"/>
      <c r="JT454" s="11"/>
      <c r="JU454" s="13"/>
      <c r="JV454" s="11"/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  <c r="LH454" s="11"/>
      <c r="LI454" s="13"/>
      <c r="LJ454" s="11"/>
      <c r="LK454" s="11"/>
      <c r="LL454" s="13"/>
      <c r="LM454" s="11"/>
      <c r="LN454" s="12"/>
      <c r="LO454" s="12"/>
      <c r="LP454" s="11"/>
      <c r="LQ454" s="13"/>
      <c r="LR454" s="11"/>
      <c r="LS454" s="11"/>
      <c r="LT454" s="13"/>
      <c r="LU454" s="11"/>
      <c r="LV454" s="12"/>
      <c r="LW454" s="12"/>
    </row>
    <row r="455">
      <c r="A455" s="10" t="s">
        <v>249</v>
      </c>
      <c r="B455" s="10" t="s">
        <v>73</v>
      </c>
      <c r="C455" s="10" t="s">
        <v>253</v>
      </c>
      <c r="D455" s="11">
        <v>3792</v>
      </c>
      <c r="E455" s="11">
        <f>=ROUNDDOWN(23.4363411619283,0)</f>
      </c>
      <c r="F455" s="11">
        <v>2278</v>
      </c>
      <c r="G455" s="12">
        <v>0.9652</v>
      </c>
      <c r="H455" s="11"/>
      <c r="I455" s="11">
        <f>=ROUNDDOWN({0},0)</f>
      </c>
      <c r="J455" s="11"/>
      <c r="K455" s="12"/>
      <c r="L455" s="11">
        <v>1973</v>
      </c>
      <c r="M455" s="13">
        <v>108978.33</v>
      </c>
      <c r="N455" s="11">
        <v>40</v>
      </c>
      <c r="O455" s="14">
        <v>2724.46</v>
      </c>
      <c r="P455" s="11"/>
      <c r="Q455" s="13"/>
      <c r="R455" s="11"/>
      <c r="S455" s="14"/>
      <c r="T455" s="12"/>
      <c r="U455" s="12"/>
      <c r="V455" s="12"/>
      <c r="W455" s="12"/>
      <c r="X455" s="11">
        <v>165</v>
      </c>
      <c r="Y455" s="13">
        <v>7112.62</v>
      </c>
      <c r="Z455" s="11">
        <v>12</v>
      </c>
      <c r="AA455" s="11"/>
      <c r="AB455" s="13"/>
      <c r="AC455" s="11"/>
      <c r="AD455" s="12"/>
      <c r="AE455" s="12"/>
      <c r="AF455" s="11">
        <v>410</v>
      </c>
      <c r="AG455" s="13">
        <v>19591.76</v>
      </c>
      <c r="AH455" s="11">
        <v>40</v>
      </c>
      <c r="AI455" s="11"/>
      <c r="AJ455" s="13"/>
      <c r="AK455" s="11"/>
      <c r="AL455" s="12"/>
      <c r="AM455" s="12"/>
      <c r="AN455" s="11">
        <v>149</v>
      </c>
      <c r="AO455" s="13">
        <v>6868.92</v>
      </c>
      <c r="AP455" s="11">
        <v>40</v>
      </c>
      <c r="AQ455" s="11"/>
      <c r="AR455" s="13"/>
      <c r="AS455" s="11"/>
      <c r="AT455" s="12"/>
      <c r="AU455" s="12"/>
      <c r="AV455" s="11">
        <v>140</v>
      </c>
      <c r="AW455" s="13">
        <v>7258.97</v>
      </c>
      <c r="AX455" s="11">
        <v>31</v>
      </c>
      <c r="AY455" s="11"/>
      <c r="AZ455" s="13"/>
      <c r="BA455" s="11"/>
      <c r="BB455" s="12"/>
      <c r="BC455" s="12"/>
      <c r="BD455" s="11">
        <v>11</v>
      </c>
      <c r="BE455" s="13">
        <v>527.55</v>
      </c>
      <c r="BF455" s="11">
        <v>30</v>
      </c>
      <c r="BG455" s="11"/>
      <c r="BH455" s="13"/>
      <c r="BI455" s="11"/>
      <c r="BJ455" s="12"/>
      <c r="BK455" s="12"/>
      <c r="BL455" s="11">
        <v>191</v>
      </c>
      <c r="BM455" s="13">
        <v>13980.35</v>
      </c>
      <c r="BN455" s="11">
        <v>40</v>
      </c>
      <c r="BO455" s="11"/>
      <c r="BP455" s="13"/>
      <c r="BQ455" s="11"/>
      <c r="BR455" s="12"/>
      <c r="BS455" s="12"/>
      <c r="BT455" s="11">
        <v>338</v>
      </c>
      <c r="BU455" s="13">
        <v>20317.88</v>
      </c>
      <c r="BV455" s="11">
        <v>40</v>
      </c>
      <c r="BW455" s="11"/>
      <c r="BX455" s="13"/>
      <c r="BY455" s="11"/>
      <c r="BZ455" s="12"/>
      <c r="CA455" s="12"/>
      <c r="CB455" s="11">
        <v>77</v>
      </c>
      <c r="CC455" s="13">
        <v>4924.97</v>
      </c>
      <c r="CD455" s="11">
        <v>29</v>
      </c>
      <c r="CE455" s="11"/>
      <c r="CF455" s="13"/>
      <c r="CG455" s="11"/>
      <c r="CH455" s="12"/>
      <c r="CI455" s="12"/>
      <c r="CJ455" s="11">
        <v>1</v>
      </c>
      <c r="CK455" s="13">
        <v>82.99</v>
      </c>
      <c r="CL455" s="11">
        <v>37</v>
      </c>
      <c r="CM455" s="11"/>
      <c r="CN455" s="13"/>
      <c r="CO455" s="11"/>
      <c r="CP455" s="12"/>
      <c r="CQ455" s="12"/>
      <c r="CR455" s="11"/>
      <c r="CS455" s="13"/>
      <c r="CT455" s="11"/>
      <c r="CU455" s="11"/>
      <c r="CV455" s="13"/>
      <c r="CW455" s="11"/>
      <c r="CX455" s="12"/>
      <c r="CY455" s="12"/>
      <c r="CZ455" s="11">
        <v>250</v>
      </c>
      <c r="DA455" s="13">
        <v>15683.45</v>
      </c>
      <c r="DB455" s="11">
        <v>21</v>
      </c>
      <c r="DC455" s="11"/>
      <c r="DD455" s="13"/>
      <c r="DE455" s="11"/>
      <c r="DF455" s="12"/>
      <c r="DG455" s="12"/>
      <c r="DH455" s="11">
        <v>6</v>
      </c>
      <c r="DI455" s="13">
        <v>449.53</v>
      </c>
      <c r="DJ455" s="11">
        <v>3</v>
      </c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>
        <v>39</v>
      </c>
      <c r="DY455" s="13">
        <v>1787.39</v>
      </c>
      <c r="DZ455" s="11">
        <v>38</v>
      </c>
      <c r="EA455" s="11"/>
      <c r="EB455" s="13"/>
      <c r="EC455" s="11"/>
      <c r="ED455" s="12"/>
      <c r="EE455" s="12"/>
      <c r="EF455" s="11"/>
      <c r="EG455" s="13"/>
      <c r="EH455" s="11"/>
      <c r="EI455" s="11"/>
      <c r="EJ455" s="13"/>
      <c r="EK455" s="11"/>
      <c r="EL455" s="12"/>
      <c r="EM455" s="12"/>
      <c r="EN455" s="11">
        <v>3</v>
      </c>
      <c r="EO455" s="13">
        <v>206.48</v>
      </c>
      <c r="EP455" s="11">
        <v>40</v>
      </c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>
        <v>117</v>
      </c>
      <c r="FU455" s="13">
        <v>5515.39</v>
      </c>
      <c r="FV455" s="11">
        <v>27</v>
      </c>
      <c r="FW455" s="11"/>
      <c r="FX455" s="13"/>
      <c r="FY455" s="11"/>
      <c r="FZ455" s="12"/>
      <c r="GA455" s="12"/>
      <c r="GB455" s="11">
        <v>69</v>
      </c>
      <c r="GC455" s="13">
        <v>4295.19</v>
      </c>
      <c r="GD455" s="11">
        <v>24</v>
      </c>
      <c r="GE455" s="11"/>
      <c r="GF455" s="13"/>
      <c r="GG455" s="11"/>
      <c r="GH455" s="12"/>
      <c r="GI455" s="12"/>
      <c r="GJ455" s="11"/>
      <c r="GK455" s="13"/>
      <c r="GL455" s="11"/>
      <c r="GM455" s="11"/>
      <c r="GN455" s="13"/>
      <c r="GO455" s="11"/>
      <c r="GP455" s="12"/>
      <c r="GQ455" s="12"/>
      <c r="GR455" s="11">
        <v>7</v>
      </c>
      <c r="GS455" s="13">
        <v>374.89</v>
      </c>
      <c r="GT455" s="11">
        <v>20</v>
      </c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/>
      <c r="HK455" s="11"/>
      <c r="HL455" s="13"/>
      <c r="HM455" s="11"/>
      <c r="HN455" s="12"/>
      <c r="HO455" s="12"/>
      <c r="HP455" s="11"/>
      <c r="HQ455" s="13"/>
      <c r="HR455" s="11"/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/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/>
      <c r="JP455" s="13"/>
      <c r="JQ455" s="11"/>
      <c r="JR455" s="12"/>
      <c r="JS455" s="12"/>
      <c r="JT455" s="11"/>
      <c r="JU455" s="13"/>
      <c r="JV455" s="11"/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  <c r="LH455" s="11"/>
      <c r="LI455" s="13"/>
      <c r="LJ455" s="11"/>
      <c r="LK455" s="11"/>
      <c r="LL455" s="13"/>
      <c r="LM455" s="11"/>
      <c r="LN455" s="12"/>
      <c r="LO455" s="12"/>
      <c r="LP455" s="11"/>
      <c r="LQ455" s="13"/>
      <c r="LR455" s="11"/>
      <c r="LS455" s="11"/>
      <c r="LT455" s="13"/>
      <c r="LU455" s="11"/>
      <c r="LV455" s="12"/>
      <c r="LW455" s="12"/>
    </row>
    <row r="456">
      <c r="A456" s="10" t="s">
        <v>249</v>
      </c>
      <c r="B456" s="10" t="s">
        <v>76</v>
      </c>
      <c r="C456" s="10" t="s">
        <v>77</v>
      </c>
      <c r="D456" s="11">
        <v>4318</v>
      </c>
      <c r="E456" s="11">
        <f>=ROUNDDOWN({0},0)</f>
      </c>
      <c r="F456" s="11">
        <v>2278</v>
      </c>
      <c r="G456" s="12"/>
      <c r="H456" s="11"/>
      <c r="I456" s="11">
        <f>=ROUNDDOWN({0},0)</f>
      </c>
      <c r="J456" s="11"/>
      <c r="K456" s="12"/>
      <c r="L456" s="11">
        <v>2083</v>
      </c>
      <c r="M456" s="13">
        <v>117156.65</v>
      </c>
      <c r="N456" s="11">
        <v>45</v>
      </c>
      <c r="O456" s="14">
        <v>2603.48</v>
      </c>
      <c r="P456" s="11"/>
      <c r="Q456" s="13"/>
      <c r="R456" s="11"/>
      <c r="S456" s="14"/>
      <c r="T456" s="12"/>
      <c r="U456" s="12"/>
      <c r="V456" s="12"/>
      <c r="W456" s="12"/>
      <c r="X456" s="11">
        <v>168</v>
      </c>
      <c r="Y456" s="13">
        <v>7329.97</v>
      </c>
      <c r="Z456" s="11">
        <v>15</v>
      </c>
      <c r="AA456" s="11"/>
      <c r="AB456" s="13"/>
      <c r="AC456" s="11"/>
      <c r="AD456" s="12"/>
      <c r="AE456" s="12"/>
      <c r="AF456" s="11">
        <v>430</v>
      </c>
      <c r="AG456" s="13">
        <v>20935.35</v>
      </c>
      <c r="AH456" s="11">
        <v>45</v>
      </c>
      <c r="AI456" s="11"/>
      <c r="AJ456" s="13"/>
      <c r="AK456" s="11"/>
      <c r="AL456" s="12"/>
      <c r="AM456" s="12"/>
      <c r="AN456" s="11">
        <v>150</v>
      </c>
      <c r="AO456" s="13">
        <v>6916.27</v>
      </c>
      <c r="AP456" s="11">
        <v>45</v>
      </c>
      <c r="AQ456" s="11"/>
      <c r="AR456" s="13"/>
      <c r="AS456" s="11"/>
      <c r="AT456" s="12"/>
      <c r="AU456" s="12"/>
      <c r="AV456" s="11">
        <v>156</v>
      </c>
      <c r="AW456" s="13">
        <v>8511.78</v>
      </c>
      <c r="AX456" s="11">
        <v>35</v>
      </c>
      <c r="AY456" s="11"/>
      <c r="AZ456" s="13"/>
      <c r="BA456" s="11"/>
      <c r="BB456" s="12"/>
      <c r="BC456" s="12"/>
      <c r="BD456" s="11">
        <v>11</v>
      </c>
      <c r="BE456" s="13">
        <v>527.55</v>
      </c>
      <c r="BF456" s="11">
        <v>35</v>
      </c>
      <c r="BG456" s="11"/>
      <c r="BH456" s="13"/>
      <c r="BI456" s="11"/>
      <c r="BJ456" s="12"/>
      <c r="BK456" s="12"/>
      <c r="BL456" s="11">
        <v>197</v>
      </c>
      <c r="BM456" s="13">
        <v>14672.61</v>
      </c>
      <c r="BN456" s="11">
        <v>45</v>
      </c>
      <c r="BO456" s="11"/>
      <c r="BP456" s="13"/>
      <c r="BQ456" s="11"/>
      <c r="BR456" s="12"/>
      <c r="BS456" s="12"/>
      <c r="BT456" s="11">
        <v>353</v>
      </c>
      <c r="BU456" s="13">
        <v>21468.06</v>
      </c>
      <c r="BV456" s="11">
        <v>45</v>
      </c>
      <c r="BW456" s="11"/>
      <c r="BX456" s="13"/>
      <c r="BY456" s="11"/>
      <c r="BZ456" s="12"/>
      <c r="CA456" s="12"/>
      <c r="CB456" s="11">
        <v>82</v>
      </c>
      <c r="CC456" s="13">
        <v>5293.33</v>
      </c>
      <c r="CD456" s="11">
        <v>32</v>
      </c>
      <c r="CE456" s="11"/>
      <c r="CF456" s="13"/>
      <c r="CG456" s="11"/>
      <c r="CH456" s="12"/>
      <c r="CI456" s="12"/>
      <c r="CJ456" s="11">
        <v>1</v>
      </c>
      <c r="CK456" s="13">
        <v>82.99</v>
      </c>
      <c r="CL456" s="11">
        <v>41</v>
      </c>
      <c r="CM456" s="11"/>
      <c r="CN456" s="13"/>
      <c r="CO456" s="11"/>
      <c r="CP456" s="12"/>
      <c r="CQ456" s="12"/>
      <c r="CR456" s="11"/>
      <c r="CS456" s="13"/>
      <c r="CT456" s="11"/>
      <c r="CU456" s="11"/>
      <c r="CV456" s="13"/>
      <c r="CW456" s="11"/>
      <c r="CX456" s="12"/>
      <c r="CY456" s="12"/>
      <c r="CZ456" s="11">
        <v>255</v>
      </c>
      <c r="DA456" s="13">
        <v>16030.75</v>
      </c>
      <c r="DB456" s="11">
        <v>25</v>
      </c>
      <c r="DC456" s="11"/>
      <c r="DD456" s="13"/>
      <c r="DE456" s="11"/>
      <c r="DF456" s="12"/>
      <c r="DG456" s="12"/>
      <c r="DH456" s="11">
        <v>6</v>
      </c>
      <c r="DI456" s="13">
        <v>449.53</v>
      </c>
      <c r="DJ456" s="11">
        <v>3</v>
      </c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>
        <v>42</v>
      </c>
      <c r="DY456" s="13">
        <v>1994.75</v>
      </c>
      <c r="DZ456" s="11">
        <v>41</v>
      </c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>
        <v>3</v>
      </c>
      <c r="EO456" s="13">
        <v>206.48</v>
      </c>
      <c r="EP456" s="11">
        <v>45</v>
      </c>
      <c r="EQ456" s="11"/>
      <c r="ER456" s="13"/>
      <c r="ES456" s="11"/>
      <c r="ET456" s="12"/>
      <c r="EU456" s="12"/>
      <c r="EV456" s="11"/>
      <c r="EW456" s="13"/>
      <c r="EX456" s="11"/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>
        <v>21</v>
      </c>
      <c r="FM456" s="13">
        <v>1500.24</v>
      </c>
      <c r="FN456" s="11">
        <v>2</v>
      </c>
      <c r="FO456" s="11"/>
      <c r="FP456" s="13"/>
      <c r="FQ456" s="11"/>
      <c r="FR456" s="12"/>
      <c r="FS456" s="12"/>
      <c r="FT456" s="11">
        <v>123</v>
      </c>
      <c r="FU456" s="13">
        <v>5923.95</v>
      </c>
      <c r="FV456" s="11">
        <v>30</v>
      </c>
      <c r="FW456" s="11"/>
      <c r="FX456" s="13"/>
      <c r="FY456" s="11"/>
      <c r="FZ456" s="12"/>
      <c r="GA456" s="12"/>
      <c r="GB456" s="11">
        <v>78</v>
      </c>
      <c r="GC456" s="13">
        <v>4938.15</v>
      </c>
      <c r="GD456" s="11">
        <v>27</v>
      </c>
      <c r="GE456" s="11"/>
      <c r="GF456" s="13"/>
      <c r="GG456" s="11"/>
      <c r="GH456" s="12"/>
      <c r="GI456" s="12"/>
      <c r="GJ456" s="11"/>
      <c r="GK456" s="13"/>
      <c r="GL456" s="11"/>
      <c r="GM456" s="11"/>
      <c r="GN456" s="13"/>
      <c r="GO456" s="11"/>
      <c r="GP456" s="12"/>
      <c r="GQ456" s="12"/>
      <c r="GR456" s="11">
        <v>7</v>
      </c>
      <c r="GS456" s="13">
        <v>374.89</v>
      </c>
      <c r="GT456" s="11">
        <v>23</v>
      </c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/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/>
      <c r="JP456" s="13"/>
      <c r="JQ456" s="11"/>
      <c r="JR456" s="12"/>
      <c r="JS456" s="12"/>
      <c r="JT456" s="11"/>
      <c r="JU456" s="13"/>
      <c r="JV456" s="11"/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/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  <c r="LH456" s="11"/>
      <c r="LI456" s="13"/>
      <c r="LJ456" s="11"/>
      <c r="LK456" s="11"/>
      <c r="LL456" s="13"/>
      <c r="LM456" s="11"/>
      <c r="LN456" s="12"/>
      <c r="LO456" s="12"/>
      <c r="LP456" s="11"/>
      <c r="LQ456" s="13"/>
      <c r="LR456" s="11"/>
      <c r="LS456" s="11"/>
      <c r="LT456" s="13"/>
      <c r="LU456" s="11"/>
      <c r="LV456" s="12"/>
      <c r="LW456" s="12"/>
    </row>
    <row r="457">
      <c r="A457" s="10" t="s">
        <v>249</v>
      </c>
      <c r="B457" s="10" t="s">
        <v>99</v>
      </c>
      <c r="C457" s="10" t="s">
        <v>250</v>
      </c>
      <c r="D457" s="11">
        <v>1506</v>
      </c>
      <c r="E457" s="11">
        <f>=ROUNDDOWN(60.4819277108434,0)</f>
      </c>
      <c r="F457" s="11">
        <v>250</v>
      </c>
      <c r="G457" s="12">
        <v>1</v>
      </c>
      <c r="H457" s="11"/>
      <c r="I457" s="11">
        <f>=ROUNDDOWN({0},0)</f>
      </c>
      <c r="J457" s="11"/>
      <c r="K457" s="12"/>
      <c r="L457" s="11">
        <v>277</v>
      </c>
      <c r="M457" s="13">
        <v>37194.72</v>
      </c>
      <c r="N457" s="11">
        <v>10</v>
      </c>
      <c r="O457" s="14">
        <v>3719.47</v>
      </c>
      <c r="P457" s="11"/>
      <c r="Q457" s="13"/>
      <c r="R457" s="11"/>
      <c r="S457" s="14"/>
      <c r="T457" s="12"/>
      <c r="U457" s="12"/>
      <c r="V457" s="12"/>
      <c r="W457" s="12"/>
      <c r="X457" s="11">
        <v>77</v>
      </c>
      <c r="Y457" s="13">
        <v>11418.28</v>
      </c>
      <c r="Z457" s="11">
        <v>7</v>
      </c>
      <c r="AA457" s="11"/>
      <c r="AB457" s="13"/>
      <c r="AC457" s="11"/>
      <c r="AD457" s="12"/>
      <c r="AE457" s="12"/>
      <c r="AF457" s="11">
        <v>92</v>
      </c>
      <c r="AG457" s="13">
        <v>9841.91</v>
      </c>
      <c r="AH457" s="11">
        <v>9</v>
      </c>
      <c r="AI457" s="11"/>
      <c r="AJ457" s="13"/>
      <c r="AK457" s="11"/>
      <c r="AL457" s="12"/>
      <c r="AM457" s="12"/>
      <c r="AN457" s="11">
        <v>1</v>
      </c>
      <c r="AO457" s="13">
        <v>51.85</v>
      </c>
      <c r="AP457" s="11">
        <v>10</v>
      </c>
      <c r="AQ457" s="11"/>
      <c r="AR457" s="13"/>
      <c r="AS457" s="11"/>
      <c r="AT457" s="12"/>
      <c r="AU457" s="12"/>
      <c r="AV457" s="11">
        <v>19</v>
      </c>
      <c r="AW457" s="13">
        <v>3277.86</v>
      </c>
      <c r="AX457" s="11">
        <v>5</v>
      </c>
      <c r="AY457" s="11"/>
      <c r="AZ457" s="13"/>
      <c r="BA457" s="11"/>
      <c r="BB457" s="12"/>
      <c r="BC457" s="12"/>
      <c r="BD457" s="11">
        <v>1</v>
      </c>
      <c r="BE457" s="13">
        <v>89.4</v>
      </c>
      <c r="BF457" s="11">
        <v>9</v>
      </c>
      <c r="BG457" s="11"/>
      <c r="BH457" s="13"/>
      <c r="BI457" s="11"/>
      <c r="BJ457" s="12"/>
      <c r="BK457" s="12"/>
      <c r="BL457" s="11">
        <v>19</v>
      </c>
      <c r="BM457" s="13">
        <v>2922.18</v>
      </c>
      <c r="BN457" s="11">
        <v>9</v>
      </c>
      <c r="BO457" s="11"/>
      <c r="BP457" s="13"/>
      <c r="BQ457" s="11"/>
      <c r="BR457" s="12"/>
      <c r="BS457" s="12"/>
      <c r="BT457" s="11">
        <v>12</v>
      </c>
      <c r="BU457" s="13">
        <v>1787.52</v>
      </c>
      <c r="BV457" s="11">
        <v>10</v>
      </c>
      <c r="BW457" s="11"/>
      <c r="BX457" s="13"/>
      <c r="BY457" s="11"/>
      <c r="BZ457" s="12"/>
      <c r="CA457" s="12"/>
      <c r="CB457" s="11">
        <v>1</v>
      </c>
      <c r="CC457" s="13">
        <v>143.15</v>
      </c>
      <c r="CD457" s="11">
        <v>9</v>
      </c>
      <c r="CE457" s="11"/>
      <c r="CF457" s="13"/>
      <c r="CG457" s="11"/>
      <c r="CH457" s="12"/>
      <c r="CI457" s="12"/>
      <c r="CJ457" s="11"/>
      <c r="CK457" s="13"/>
      <c r="CL457" s="11">
        <v>8</v>
      </c>
      <c r="CM457" s="11"/>
      <c r="CN457" s="13"/>
      <c r="CO457" s="11"/>
      <c r="CP457" s="12"/>
      <c r="CQ457" s="12"/>
      <c r="CR457" s="11"/>
      <c r="CS457" s="13"/>
      <c r="CT457" s="11"/>
      <c r="CU457" s="11"/>
      <c r="CV457" s="13"/>
      <c r="CW457" s="11"/>
      <c r="CX457" s="12"/>
      <c r="CY457" s="12"/>
      <c r="CZ457" s="11"/>
      <c r="DA457" s="13"/>
      <c r="DB457" s="11">
        <v>3</v>
      </c>
      <c r="DC457" s="11"/>
      <c r="DD457" s="13"/>
      <c r="DE457" s="11"/>
      <c r="DF457" s="12"/>
      <c r="DG457" s="12"/>
      <c r="DH457" s="11"/>
      <c r="DI457" s="13"/>
      <c r="DJ457" s="11">
        <v>1</v>
      </c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>
        <v>3</v>
      </c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>
        <v>10</v>
      </c>
      <c r="EQ457" s="11"/>
      <c r="ER457" s="13"/>
      <c r="ES457" s="11"/>
      <c r="ET457" s="12"/>
      <c r="EU457" s="12"/>
      <c r="EV457" s="11"/>
      <c r="EW457" s="13"/>
      <c r="EX457" s="11"/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>
        <v>1</v>
      </c>
      <c r="FM457" s="13">
        <v>119.41</v>
      </c>
      <c r="FN457" s="11">
        <v>5</v>
      </c>
      <c r="FO457" s="11"/>
      <c r="FP457" s="13"/>
      <c r="FQ457" s="11"/>
      <c r="FR457" s="12"/>
      <c r="FS457" s="12"/>
      <c r="FT457" s="11">
        <v>1</v>
      </c>
      <c r="FU457" s="13">
        <v>129.52</v>
      </c>
      <c r="FV457" s="11">
        <v>3</v>
      </c>
      <c r="FW457" s="11"/>
      <c r="FX457" s="13"/>
      <c r="FY457" s="11"/>
      <c r="FZ457" s="12"/>
      <c r="GA457" s="12"/>
      <c r="GB457" s="11"/>
      <c r="GC457" s="13"/>
      <c r="GD457" s="11">
        <v>3</v>
      </c>
      <c r="GE457" s="11"/>
      <c r="GF457" s="13"/>
      <c r="GG457" s="11"/>
      <c r="GH457" s="12"/>
      <c r="GI457" s="12"/>
      <c r="GJ457" s="11">
        <v>49</v>
      </c>
      <c r="GK457" s="13">
        <v>6854.12</v>
      </c>
      <c r="GL457" s="11">
        <v>7</v>
      </c>
      <c r="GM457" s="11"/>
      <c r="GN457" s="13"/>
      <c r="GO457" s="11"/>
      <c r="GP457" s="12"/>
      <c r="GQ457" s="12"/>
      <c r="GR457" s="11">
        <v>4</v>
      </c>
      <c r="GS457" s="13">
        <v>559.52</v>
      </c>
      <c r="GT457" s="11">
        <v>7</v>
      </c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/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/>
      <c r="JP457" s="13"/>
      <c r="JQ457" s="11"/>
      <c r="JR457" s="12"/>
      <c r="JS457" s="12"/>
      <c r="JT457" s="11"/>
      <c r="JU457" s="13"/>
      <c r="JV457" s="11"/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/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  <c r="LH457" s="11"/>
      <c r="LI457" s="13"/>
      <c r="LJ457" s="11"/>
      <c r="LK457" s="11"/>
      <c r="LL457" s="13"/>
      <c r="LM457" s="11"/>
      <c r="LN457" s="12"/>
      <c r="LO457" s="12"/>
      <c r="LP457" s="11"/>
      <c r="LQ457" s="13"/>
      <c r="LR457" s="11"/>
      <c r="LS457" s="11"/>
      <c r="LT457" s="13"/>
      <c r="LU457" s="11"/>
      <c r="LV457" s="12"/>
      <c r="LW457" s="12"/>
    </row>
    <row r="458">
      <c r="A458" s="10" t="s">
        <v>249</v>
      </c>
      <c r="B458" s="10" t="s">
        <v>99</v>
      </c>
      <c r="C458" s="10" t="s">
        <v>251</v>
      </c>
      <c r="D458" s="11">
        <v>22</v>
      </c>
      <c r="E458" s="11">
        <f>=ROUNDDOWN(1.1,0)</f>
      </c>
      <c r="F458" s="11">
        <v>480</v>
      </c>
      <c r="G458" s="12">
        <v>1</v>
      </c>
      <c r="H458" s="11"/>
      <c r="I458" s="11">
        <f>=ROUNDDOWN({0},0)</f>
      </c>
      <c r="J458" s="11"/>
      <c r="K458" s="12"/>
      <c r="L458" s="11">
        <v>193</v>
      </c>
      <c r="M458" s="13">
        <v>12500.65</v>
      </c>
      <c r="N458" s="11"/>
      <c r="O458" s="14"/>
      <c r="P458" s="11"/>
      <c r="Q458" s="13"/>
      <c r="R458" s="11"/>
      <c r="S458" s="14"/>
      <c r="T458" s="12"/>
      <c r="U458" s="12"/>
      <c r="V458" s="12"/>
      <c r="W458" s="12"/>
      <c r="X458" s="11">
        <v>19</v>
      </c>
      <c r="Y458" s="13">
        <v>1256.28</v>
      </c>
      <c r="Z458" s="11"/>
      <c r="AA458" s="11"/>
      <c r="AB458" s="13"/>
      <c r="AC458" s="11"/>
      <c r="AD458" s="12"/>
      <c r="AE458" s="12"/>
      <c r="AF458" s="11">
        <v>33</v>
      </c>
      <c r="AG458" s="13">
        <v>1787.92</v>
      </c>
      <c r="AH458" s="11"/>
      <c r="AI458" s="11"/>
      <c r="AJ458" s="13"/>
      <c r="AK458" s="11"/>
      <c r="AL458" s="12"/>
      <c r="AM458" s="12"/>
      <c r="AN458" s="11">
        <v>19</v>
      </c>
      <c r="AO458" s="13">
        <v>1284.78</v>
      </c>
      <c r="AP458" s="11"/>
      <c r="AQ458" s="11"/>
      <c r="AR458" s="13"/>
      <c r="AS458" s="11"/>
      <c r="AT458" s="12"/>
      <c r="AU458" s="12"/>
      <c r="AV458" s="11">
        <v>9</v>
      </c>
      <c r="AW458" s="13">
        <v>608.58</v>
      </c>
      <c r="AX458" s="11"/>
      <c r="AY458" s="11"/>
      <c r="AZ458" s="13"/>
      <c r="BA458" s="11"/>
      <c r="BB458" s="12"/>
      <c r="BC458" s="12"/>
      <c r="BD458" s="11">
        <v>3</v>
      </c>
      <c r="BE458" s="13">
        <v>151.81</v>
      </c>
      <c r="BF458" s="11"/>
      <c r="BG458" s="11"/>
      <c r="BH458" s="13"/>
      <c r="BI458" s="11"/>
      <c r="BJ458" s="12"/>
      <c r="BK458" s="12"/>
      <c r="BL458" s="11">
        <v>44</v>
      </c>
      <c r="BM458" s="13">
        <v>2922.04</v>
      </c>
      <c r="BN458" s="11"/>
      <c r="BO458" s="11"/>
      <c r="BP458" s="13"/>
      <c r="BQ458" s="11"/>
      <c r="BR458" s="12"/>
      <c r="BS458" s="12"/>
      <c r="BT458" s="11">
        <v>18</v>
      </c>
      <c r="BU458" s="13">
        <v>1398.17</v>
      </c>
      <c r="BV458" s="11"/>
      <c r="BW458" s="11"/>
      <c r="BX458" s="13"/>
      <c r="BY458" s="11"/>
      <c r="BZ458" s="12"/>
      <c r="CA458" s="12"/>
      <c r="CB458" s="11">
        <v>20</v>
      </c>
      <c r="CC458" s="13">
        <v>1267.8</v>
      </c>
      <c r="CD458" s="11"/>
      <c r="CE458" s="11"/>
      <c r="CF458" s="13"/>
      <c r="CG458" s="11"/>
      <c r="CH458" s="12"/>
      <c r="CI458" s="12"/>
      <c r="CJ458" s="11"/>
      <c r="CK458" s="13"/>
      <c r="CL458" s="11"/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>
        <v>1</v>
      </c>
      <c r="DA458" s="13">
        <v>46.51</v>
      </c>
      <c r="DB458" s="11"/>
      <c r="DC458" s="11"/>
      <c r="DD458" s="13"/>
      <c r="DE458" s="11"/>
      <c r="DF458" s="12"/>
      <c r="DG458" s="12"/>
      <c r="DH458" s="11"/>
      <c r="DI458" s="13"/>
      <c r="DJ458" s="11"/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>
        <v>11</v>
      </c>
      <c r="DY458" s="13">
        <v>723.86</v>
      </c>
      <c r="DZ458" s="11"/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>
        <v>15</v>
      </c>
      <c r="FM458" s="13">
        <v>992.52</v>
      </c>
      <c r="FN458" s="11"/>
      <c r="FO458" s="11"/>
      <c r="FP458" s="13"/>
      <c r="FQ458" s="11"/>
      <c r="FR458" s="12"/>
      <c r="FS458" s="12"/>
      <c r="FT458" s="11">
        <v>1</v>
      </c>
      <c r="FU458" s="13">
        <v>60.38</v>
      </c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/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/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  <c r="LH458" s="11"/>
      <c r="LI458" s="13"/>
      <c r="LJ458" s="11"/>
      <c r="LK458" s="11"/>
      <c r="LL458" s="13"/>
      <c r="LM458" s="11"/>
      <c r="LN458" s="12"/>
      <c r="LO458" s="12"/>
      <c r="LP458" s="11"/>
      <c r="LQ458" s="13"/>
      <c r="LR458" s="11"/>
      <c r="LS458" s="11"/>
      <c r="LT458" s="13"/>
      <c r="LU458" s="11"/>
      <c r="LV458" s="12"/>
      <c r="LW458" s="12"/>
    </row>
    <row r="459">
      <c r="A459" s="10" t="s">
        <v>249</v>
      </c>
      <c r="B459" s="10" t="s">
        <v>99</v>
      </c>
      <c r="C459" s="10" t="s">
        <v>254</v>
      </c>
      <c r="D459" s="11">
        <v>155</v>
      </c>
      <c r="E459" s="11">
        <f>=ROUNDDOWN(1550,0)</f>
      </c>
      <c r="F459" s="11"/>
      <c r="G459" s="12"/>
      <c r="H459" s="11"/>
      <c r="I459" s="11">
        <f>=ROUNDDOWN({0},0)</f>
      </c>
      <c r="J459" s="11"/>
      <c r="K459" s="12"/>
      <c r="L459" s="11"/>
      <c r="M459" s="13"/>
      <c r="N459" s="11">
        <v>1</v>
      </c>
      <c r="O459" s="14"/>
      <c r="P459" s="11"/>
      <c r="Q459" s="13"/>
      <c r="R459" s="11"/>
      <c r="S459" s="14"/>
      <c r="T459" s="12"/>
      <c r="U459" s="12"/>
      <c r="V459" s="12"/>
      <c r="W459" s="12"/>
      <c r="X459" s="11"/>
      <c r="Y459" s="13"/>
      <c r="Z459" s="11">
        <v>1</v>
      </c>
      <c r="AA459" s="11"/>
      <c r="AB459" s="13"/>
      <c r="AC459" s="11"/>
      <c r="AD459" s="12"/>
      <c r="AE459" s="12"/>
      <c r="AF459" s="11"/>
      <c r="AG459" s="13"/>
      <c r="AH459" s="11">
        <v>1</v>
      </c>
      <c r="AI459" s="11"/>
      <c r="AJ459" s="13"/>
      <c r="AK459" s="11"/>
      <c r="AL459" s="12"/>
      <c r="AM459" s="12"/>
      <c r="AN459" s="11"/>
      <c r="AO459" s="13"/>
      <c r="AP459" s="11">
        <v>1</v>
      </c>
      <c r="AQ459" s="11"/>
      <c r="AR459" s="13"/>
      <c r="AS459" s="11"/>
      <c r="AT459" s="12"/>
      <c r="AU459" s="12"/>
      <c r="AV459" s="11"/>
      <c r="AW459" s="13"/>
      <c r="AX459" s="11">
        <v>1</v>
      </c>
      <c r="AY459" s="11"/>
      <c r="AZ459" s="13"/>
      <c r="BA459" s="11"/>
      <c r="BB459" s="12"/>
      <c r="BC459" s="12"/>
      <c r="BD459" s="11"/>
      <c r="BE459" s="13"/>
      <c r="BF459" s="11">
        <v>1</v>
      </c>
      <c r="BG459" s="11"/>
      <c r="BH459" s="13"/>
      <c r="BI459" s="11"/>
      <c r="BJ459" s="12"/>
      <c r="BK459" s="12"/>
      <c r="BL459" s="11"/>
      <c r="BM459" s="13"/>
      <c r="BN459" s="11">
        <v>1</v>
      </c>
      <c r="BO459" s="11"/>
      <c r="BP459" s="13"/>
      <c r="BQ459" s="11"/>
      <c r="BR459" s="12"/>
      <c r="BS459" s="12"/>
      <c r="BT459" s="11"/>
      <c r="BU459" s="13"/>
      <c r="BV459" s="11">
        <v>1</v>
      </c>
      <c r="BW459" s="11"/>
      <c r="BX459" s="13"/>
      <c r="BY459" s="11"/>
      <c r="BZ459" s="12"/>
      <c r="CA459" s="12"/>
      <c r="CB459" s="11"/>
      <c r="CC459" s="13"/>
      <c r="CD459" s="11">
        <v>1</v>
      </c>
      <c r="CE459" s="11"/>
      <c r="CF459" s="13"/>
      <c r="CG459" s="11"/>
      <c r="CH459" s="12"/>
      <c r="CI459" s="12"/>
      <c r="CJ459" s="11"/>
      <c r="CK459" s="13"/>
      <c r="CL459" s="11"/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/>
      <c r="DC459" s="11"/>
      <c r="DD459" s="13"/>
      <c r="DE459" s="11"/>
      <c r="DF459" s="12"/>
      <c r="DG459" s="12"/>
      <c r="DH459" s="11"/>
      <c r="DI459" s="13"/>
      <c r="DJ459" s="11"/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/>
      <c r="DY459" s="13"/>
      <c r="DZ459" s="11"/>
      <c r="EA459" s="11"/>
      <c r="EB459" s="13"/>
      <c r="EC459" s="11"/>
      <c r="ED459" s="12"/>
      <c r="EE459" s="12"/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>
        <v>1</v>
      </c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>
        <v>1</v>
      </c>
      <c r="FO459" s="11"/>
      <c r="FP459" s="13"/>
      <c r="FQ459" s="11"/>
      <c r="FR459" s="12"/>
      <c r="FS459" s="12"/>
      <c r="FT459" s="11"/>
      <c r="FU459" s="13"/>
      <c r="FV459" s="11"/>
      <c r="FW459" s="11"/>
      <c r="FX459" s="13"/>
      <c r="FY459" s="11"/>
      <c r="FZ459" s="12"/>
      <c r="GA459" s="12"/>
      <c r="GB459" s="11"/>
      <c r="GC459" s="13"/>
      <c r="GD459" s="11"/>
      <c r="GE459" s="11"/>
      <c r="GF459" s="13"/>
      <c r="GG459" s="11"/>
      <c r="GH459" s="12"/>
      <c r="GI459" s="12"/>
      <c r="GJ459" s="11"/>
      <c r="GK459" s="13"/>
      <c r="GL459" s="11"/>
      <c r="GM459" s="11"/>
      <c r="GN459" s="13"/>
      <c r="GO459" s="11"/>
      <c r="GP459" s="12"/>
      <c r="GQ459" s="12"/>
      <c r="GR459" s="11"/>
      <c r="GS459" s="13"/>
      <c r="GT459" s="11">
        <v>1</v>
      </c>
      <c r="GU459" s="11"/>
      <c r="GV459" s="13"/>
      <c r="GW459" s="11"/>
      <c r="GX459" s="12"/>
      <c r="GY459" s="12"/>
      <c r="GZ459" s="11"/>
      <c r="HA459" s="13"/>
      <c r="HB459" s="11"/>
      <c r="HC459" s="11"/>
      <c r="HD459" s="13"/>
      <c r="HE459" s="11"/>
      <c r="HF459" s="12"/>
      <c r="HG459" s="12"/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/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  <c r="LH459" s="11"/>
      <c r="LI459" s="13"/>
      <c r="LJ459" s="11"/>
      <c r="LK459" s="11"/>
      <c r="LL459" s="13"/>
      <c r="LM459" s="11"/>
      <c r="LN459" s="12"/>
      <c r="LO459" s="12"/>
      <c r="LP459" s="11"/>
      <c r="LQ459" s="13"/>
      <c r="LR459" s="11"/>
      <c r="LS459" s="11"/>
      <c r="LT459" s="13"/>
      <c r="LU459" s="11"/>
      <c r="LV459" s="12"/>
      <c r="LW459" s="12"/>
    </row>
    <row r="460">
      <c r="A460" s="10" t="s">
        <v>249</v>
      </c>
      <c r="B460" s="10" t="s">
        <v>99</v>
      </c>
      <c r="C460" s="10" t="s">
        <v>253</v>
      </c>
      <c r="D460" s="11">
        <v>336</v>
      </c>
      <c r="E460" s="11">
        <f>=ROUNDDOWN(18.5635359116022,0)</f>
      </c>
      <c r="F460" s="11">
        <v>200</v>
      </c>
      <c r="G460" s="12">
        <v>0.7826</v>
      </c>
      <c r="H460" s="11"/>
      <c r="I460" s="11">
        <f>=ROUNDDOWN({0},0)</f>
      </c>
      <c r="J460" s="11"/>
      <c r="K460" s="12"/>
      <c r="L460" s="11">
        <v>143</v>
      </c>
      <c r="M460" s="13">
        <v>8417.88</v>
      </c>
      <c r="N460" s="11">
        <v>3</v>
      </c>
      <c r="O460" s="14">
        <v>2805.96</v>
      </c>
      <c r="P460" s="11"/>
      <c r="Q460" s="13"/>
      <c r="R460" s="11"/>
      <c r="S460" s="14"/>
      <c r="T460" s="12"/>
      <c r="U460" s="12"/>
      <c r="V460" s="12"/>
      <c r="W460" s="12"/>
      <c r="X460" s="11">
        <v>53</v>
      </c>
      <c r="Y460" s="13">
        <v>2535.47</v>
      </c>
      <c r="Z460" s="11">
        <v>1</v>
      </c>
      <c r="AA460" s="11"/>
      <c r="AB460" s="13"/>
      <c r="AC460" s="11"/>
      <c r="AD460" s="12"/>
      <c r="AE460" s="12"/>
      <c r="AF460" s="11">
        <v>18</v>
      </c>
      <c r="AG460" s="13">
        <v>1120.28</v>
      </c>
      <c r="AH460" s="11">
        <v>3</v>
      </c>
      <c r="AI460" s="11"/>
      <c r="AJ460" s="13"/>
      <c r="AK460" s="11"/>
      <c r="AL460" s="12"/>
      <c r="AM460" s="12"/>
      <c r="AN460" s="11">
        <v>11</v>
      </c>
      <c r="AO460" s="13">
        <v>607.42</v>
      </c>
      <c r="AP460" s="11">
        <v>3</v>
      </c>
      <c r="AQ460" s="11"/>
      <c r="AR460" s="13"/>
      <c r="AS460" s="11"/>
      <c r="AT460" s="12"/>
      <c r="AU460" s="12"/>
      <c r="AV460" s="11">
        <v>1</v>
      </c>
      <c r="AW460" s="13">
        <v>74.09</v>
      </c>
      <c r="AX460" s="11">
        <v>2</v>
      </c>
      <c r="AY460" s="11"/>
      <c r="AZ460" s="13"/>
      <c r="BA460" s="11"/>
      <c r="BB460" s="12"/>
      <c r="BC460" s="12"/>
      <c r="BD460" s="11"/>
      <c r="BE460" s="13"/>
      <c r="BF460" s="11">
        <v>3</v>
      </c>
      <c r="BG460" s="11"/>
      <c r="BH460" s="13"/>
      <c r="BI460" s="11"/>
      <c r="BJ460" s="12"/>
      <c r="BK460" s="12"/>
      <c r="BL460" s="11">
        <v>9</v>
      </c>
      <c r="BM460" s="13">
        <v>521.19</v>
      </c>
      <c r="BN460" s="11">
        <v>3</v>
      </c>
      <c r="BO460" s="11"/>
      <c r="BP460" s="13"/>
      <c r="BQ460" s="11"/>
      <c r="BR460" s="12"/>
      <c r="BS460" s="12"/>
      <c r="BT460" s="11">
        <v>25</v>
      </c>
      <c r="BU460" s="13">
        <v>1867.86</v>
      </c>
      <c r="BV460" s="11">
        <v>3</v>
      </c>
      <c r="BW460" s="11"/>
      <c r="BX460" s="13"/>
      <c r="BY460" s="11"/>
      <c r="BZ460" s="12"/>
      <c r="CA460" s="12"/>
      <c r="CB460" s="11">
        <v>3</v>
      </c>
      <c r="CC460" s="13">
        <v>193.27</v>
      </c>
      <c r="CD460" s="11">
        <v>3</v>
      </c>
      <c r="CE460" s="11"/>
      <c r="CF460" s="13"/>
      <c r="CG460" s="11"/>
      <c r="CH460" s="12"/>
      <c r="CI460" s="12"/>
      <c r="CJ460" s="11"/>
      <c r="CK460" s="13"/>
      <c r="CL460" s="11">
        <v>2</v>
      </c>
      <c r="CM460" s="11"/>
      <c r="CN460" s="13"/>
      <c r="CO460" s="11"/>
      <c r="CP460" s="12"/>
      <c r="CQ460" s="12"/>
      <c r="CR460" s="11"/>
      <c r="CS460" s="13"/>
      <c r="CT460" s="11"/>
      <c r="CU460" s="11"/>
      <c r="CV460" s="13"/>
      <c r="CW460" s="11"/>
      <c r="CX460" s="12"/>
      <c r="CY460" s="12"/>
      <c r="CZ460" s="11">
        <v>17</v>
      </c>
      <c r="DA460" s="13">
        <v>1157.54</v>
      </c>
      <c r="DB460" s="11">
        <v>1</v>
      </c>
      <c r="DC460" s="11"/>
      <c r="DD460" s="13"/>
      <c r="DE460" s="11"/>
      <c r="DF460" s="12"/>
      <c r="DG460" s="12"/>
      <c r="DH460" s="11"/>
      <c r="DI460" s="13"/>
      <c r="DJ460" s="11">
        <v>1</v>
      </c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>
        <v>1</v>
      </c>
      <c r="EA460" s="11"/>
      <c r="EB460" s="13"/>
      <c r="EC460" s="11"/>
      <c r="ED460" s="12"/>
      <c r="EE460" s="12"/>
      <c r="EF460" s="11"/>
      <c r="EG460" s="13"/>
      <c r="EH460" s="11"/>
      <c r="EI460" s="11"/>
      <c r="EJ460" s="13"/>
      <c r="EK460" s="11"/>
      <c r="EL460" s="12"/>
      <c r="EM460" s="12"/>
      <c r="EN460" s="11"/>
      <c r="EO460" s="13"/>
      <c r="EP460" s="11">
        <v>3</v>
      </c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>
        <v>4</v>
      </c>
      <c r="FM460" s="13">
        <v>237.88</v>
      </c>
      <c r="FN460" s="11">
        <v>2</v>
      </c>
      <c r="FO460" s="11"/>
      <c r="FP460" s="13"/>
      <c r="FQ460" s="11"/>
      <c r="FR460" s="12"/>
      <c r="FS460" s="12"/>
      <c r="FT460" s="11"/>
      <c r="FU460" s="13"/>
      <c r="FV460" s="11">
        <v>2</v>
      </c>
      <c r="FW460" s="11"/>
      <c r="FX460" s="13"/>
      <c r="FY460" s="11"/>
      <c r="FZ460" s="12"/>
      <c r="GA460" s="12"/>
      <c r="GB460" s="11"/>
      <c r="GC460" s="13"/>
      <c r="GD460" s="11">
        <v>1</v>
      </c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>
        <v>2</v>
      </c>
      <c r="GS460" s="13">
        <v>102.88</v>
      </c>
      <c r="GT460" s="11">
        <v>2</v>
      </c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  <c r="LH460" s="11"/>
      <c r="LI460" s="13"/>
      <c r="LJ460" s="11"/>
      <c r="LK460" s="11"/>
      <c r="LL460" s="13"/>
      <c r="LM460" s="11"/>
      <c r="LN460" s="12"/>
      <c r="LO460" s="12"/>
      <c r="LP460" s="11"/>
      <c r="LQ460" s="13"/>
      <c r="LR460" s="11"/>
      <c r="LS460" s="11"/>
      <c r="LT460" s="13"/>
      <c r="LU460" s="11"/>
      <c r="LV460" s="12"/>
      <c r="LW460" s="12"/>
    </row>
    <row r="461">
      <c r="A461" s="10" t="s">
        <v>249</v>
      </c>
      <c r="B461" s="10" t="s">
        <v>102</v>
      </c>
      <c r="C461" s="10" t="s">
        <v>77</v>
      </c>
      <c r="D461" s="11">
        <v>2019</v>
      </c>
      <c r="E461" s="11">
        <f>=ROUNDDOWN({0},0)</f>
      </c>
      <c r="F461" s="11">
        <v>930</v>
      </c>
      <c r="G461" s="12"/>
      <c r="H461" s="11"/>
      <c r="I461" s="11">
        <f>=ROUNDDOWN({0},0)</f>
      </c>
      <c r="J461" s="11"/>
      <c r="K461" s="12"/>
      <c r="L461" s="11">
        <v>613</v>
      </c>
      <c r="M461" s="13">
        <v>58113.25</v>
      </c>
      <c r="N461" s="11">
        <v>14</v>
      </c>
      <c r="O461" s="14">
        <v>4150.95</v>
      </c>
      <c r="P461" s="11"/>
      <c r="Q461" s="13"/>
      <c r="R461" s="11"/>
      <c r="S461" s="14"/>
      <c r="T461" s="12"/>
      <c r="U461" s="12"/>
      <c r="V461" s="12"/>
      <c r="W461" s="12"/>
      <c r="X461" s="11">
        <v>149</v>
      </c>
      <c r="Y461" s="13">
        <v>15210.03</v>
      </c>
      <c r="Z461" s="11">
        <v>9</v>
      </c>
      <c r="AA461" s="11"/>
      <c r="AB461" s="13"/>
      <c r="AC461" s="11"/>
      <c r="AD461" s="12"/>
      <c r="AE461" s="12"/>
      <c r="AF461" s="11">
        <v>143</v>
      </c>
      <c r="AG461" s="13">
        <v>12750.11</v>
      </c>
      <c r="AH461" s="11">
        <v>13</v>
      </c>
      <c r="AI461" s="11"/>
      <c r="AJ461" s="13"/>
      <c r="AK461" s="11"/>
      <c r="AL461" s="12"/>
      <c r="AM461" s="12"/>
      <c r="AN461" s="11">
        <v>31</v>
      </c>
      <c r="AO461" s="13">
        <v>1944.05</v>
      </c>
      <c r="AP461" s="11">
        <v>14</v>
      </c>
      <c r="AQ461" s="11"/>
      <c r="AR461" s="13"/>
      <c r="AS461" s="11"/>
      <c r="AT461" s="12"/>
      <c r="AU461" s="12"/>
      <c r="AV461" s="11">
        <v>29</v>
      </c>
      <c r="AW461" s="13">
        <v>3960.53</v>
      </c>
      <c r="AX461" s="11">
        <v>8</v>
      </c>
      <c r="AY461" s="11"/>
      <c r="AZ461" s="13"/>
      <c r="BA461" s="11"/>
      <c r="BB461" s="12"/>
      <c r="BC461" s="12"/>
      <c r="BD461" s="11">
        <v>4</v>
      </c>
      <c r="BE461" s="13">
        <v>241.21</v>
      </c>
      <c r="BF461" s="11">
        <v>13</v>
      </c>
      <c r="BG461" s="11"/>
      <c r="BH461" s="13"/>
      <c r="BI461" s="11"/>
      <c r="BJ461" s="12"/>
      <c r="BK461" s="12"/>
      <c r="BL461" s="11">
        <v>72</v>
      </c>
      <c r="BM461" s="13">
        <v>6365.41</v>
      </c>
      <c r="BN461" s="11">
        <v>13</v>
      </c>
      <c r="BO461" s="11"/>
      <c r="BP461" s="13"/>
      <c r="BQ461" s="11"/>
      <c r="BR461" s="12"/>
      <c r="BS461" s="12"/>
      <c r="BT461" s="11">
        <v>55</v>
      </c>
      <c r="BU461" s="13">
        <v>5053.55</v>
      </c>
      <c r="BV461" s="11">
        <v>14</v>
      </c>
      <c r="BW461" s="11"/>
      <c r="BX461" s="13"/>
      <c r="BY461" s="11"/>
      <c r="BZ461" s="12"/>
      <c r="CA461" s="12"/>
      <c r="CB461" s="11">
        <v>24</v>
      </c>
      <c r="CC461" s="13">
        <v>1604.22</v>
      </c>
      <c r="CD461" s="11">
        <v>13</v>
      </c>
      <c r="CE461" s="11"/>
      <c r="CF461" s="13"/>
      <c r="CG461" s="11"/>
      <c r="CH461" s="12"/>
      <c r="CI461" s="12"/>
      <c r="CJ461" s="11"/>
      <c r="CK461" s="13"/>
      <c r="CL461" s="11">
        <v>10</v>
      </c>
      <c r="CM461" s="11"/>
      <c r="CN461" s="13"/>
      <c r="CO461" s="11"/>
      <c r="CP461" s="12"/>
      <c r="CQ461" s="12"/>
      <c r="CR461" s="11"/>
      <c r="CS461" s="13"/>
      <c r="CT461" s="11"/>
      <c r="CU461" s="11"/>
      <c r="CV461" s="13"/>
      <c r="CW461" s="11"/>
      <c r="CX461" s="12"/>
      <c r="CY461" s="12"/>
      <c r="CZ461" s="11">
        <v>18</v>
      </c>
      <c r="DA461" s="13">
        <v>1204.05</v>
      </c>
      <c r="DB461" s="11">
        <v>4</v>
      </c>
      <c r="DC461" s="11"/>
      <c r="DD461" s="13"/>
      <c r="DE461" s="11"/>
      <c r="DF461" s="12"/>
      <c r="DG461" s="12"/>
      <c r="DH461" s="11"/>
      <c r="DI461" s="13"/>
      <c r="DJ461" s="11">
        <v>2</v>
      </c>
      <c r="DK461" s="11"/>
      <c r="DL461" s="13"/>
      <c r="DM461" s="11"/>
      <c r="DN461" s="12"/>
      <c r="DO461" s="12"/>
      <c r="DP461" s="11"/>
      <c r="DQ461" s="13"/>
      <c r="DR461" s="11"/>
      <c r="DS461" s="11"/>
      <c r="DT461" s="13"/>
      <c r="DU461" s="11"/>
      <c r="DV461" s="12"/>
      <c r="DW461" s="12"/>
      <c r="DX461" s="11">
        <v>11</v>
      </c>
      <c r="DY461" s="13">
        <v>723.86</v>
      </c>
      <c r="DZ461" s="11">
        <v>4</v>
      </c>
      <c r="EA461" s="11"/>
      <c r="EB461" s="13"/>
      <c r="EC461" s="11"/>
      <c r="ED461" s="12"/>
      <c r="EE461" s="12"/>
      <c r="EF461" s="11"/>
      <c r="EG461" s="13"/>
      <c r="EH461" s="11"/>
      <c r="EI461" s="11"/>
      <c r="EJ461" s="13"/>
      <c r="EK461" s="11"/>
      <c r="EL461" s="12"/>
      <c r="EM461" s="12"/>
      <c r="EN461" s="11"/>
      <c r="EO461" s="13"/>
      <c r="EP461" s="11">
        <v>14</v>
      </c>
      <c r="EQ461" s="11"/>
      <c r="ER461" s="13"/>
      <c r="ES461" s="11"/>
      <c r="ET461" s="12"/>
      <c r="EU461" s="12"/>
      <c r="EV461" s="11"/>
      <c r="EW461" s="13"/>
      <c r="EX461" s="11"/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>
        <v>20</v>
      </c>
      <c r="FM461" s="13">
        <v>1349.81</v>
      </c>
      <c r="FN461" s="11">
        <v>8</v>
      </c>
      <c r="FO461" s="11"/>
      <c r="FP461" s="13"/>
      <c r="FQ461" s="11"/>
      <c r="FR461" s="12"/>
      <c r="FS461" s="12"/>
      <c r="FT461" s="11">
        <v>2</v>
      </c>
      <c r="FU461" s="13">
        <v>189.9</v>
      </c>
      <c r="FV461" s="11">
        <v>5</v>
      </c>
      <c r="FW461" s="11"/>
      <c r="FX461" s="13"/>
      <c r="FY461" s="11"/>
      <c r="FZ461" s="12"/>
      <c r="GA461" s="12"/>
      <c r="GB461" s="11"/>
      <c r="GC461" s="13"/>
      <c r="GD461" s="11">
        <v>4</v>
      </c>
      <c r="GE461" s="11"/>
      <c r="GF461" s="13"/>
      <c r="GG461" s="11"/>
      <c r="GH461" s="12"/>
      <c r="GI461" s="12"/>
      <c r="GJ461" s="11">
        <v>49</v>
      </c>
      <c r="GK461" s="13">
        <v>6854.12</v>
      </c>
      <c r="GL461" s="11">
        <v>7</v>
      </c>
      <c r="GM461" s="11"/>
      <c r="GN461" s="13"/>
      <c r="GO461" s="11"/>
      <c r="GP461" s="12"/>
      <c r="GQ461" s="12"/>
      <c r="GR461" s="11">
        <v>6</v>
      </c>
      <c r="GS461" s="13">
        <v>662.4</v>
      </c>
      <c r="GT461" s="11">
        <v>10</v>
      </c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/>
      <c r="HQ461" s="13"/>
      <c r="HR461" s="11"/>
      <c r="HS461" s="11"/>
      <c r="HT461" s="13"/>
      <c r="HU461" s="11"/>
      <c r="HV461" s="12"/>
      <c r="HW461" s="12"/>
      <c r="HX461" s="11"/>
      <c r="HY461" s="13"/>
      <c r="HZ461" s="11"/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/>
      <c r="JO461" s="11"/>
      <c r="JP461" s="13"/>
      <c r="JQ461" s="11"/>
      <c r="JR461" s="12"/>
      <c r="JS461" s="12"/>
      <c r="JT461" s="11"/>
      <c r="JU461" s="13"/>
      <c r="JV461" s="11"/>
      <c r="JW461" s="11"/>
      <c r="JX461" s="13"/>
      <c r="JY461" s="11"/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/>
      <c r="KM461" s="11"/>
      <c r="KN461" s="13"/>
      <c r="KO461" s="11"/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  <c r="LH461" s="11"/>
      <c r="LI461" s="13"/>
      <c r="LJ461" s="11"/>
      <c r="LK461" s="11"/>
      <c r="LL461" s="13"/>
      <c r="LM461" s="11"/>
      <c r="LN461" s="12"/>
      <c r="LO461" s="12"/>
      <c r="LP461" s="11"/>
      <c r="LQ461" s="13"/>
      <c r="LR461" s="11"/>
      <c r="LS461" s="11"/>
      <c r="LT461" s="13"/>
      <c r="LU461" s="11"/>
      <c r="LV461" s="12"/>
      <c r="LW461" s="12"/>
    </row>
    <row r="462">
      <c r="A462" s="10" t="s">
        <v>249</v>
      </c>
      <c r="B462" s="10" t="s">
        <v>107</v>
      </c>
      <c r="C462" s="10" t="s">
        <v>250</v>
      </c>
      <c r="D462" s="11">
        <v>1881</v>
      </c>
      <c r="E462" s="11">
        <f>=ROUNDDOWN(49.7619047619048,0)</f>
      </c>
      <c r="F462" s="11">
        <v>100</v>
      </c>
      <c r="G462" s="12">
        <v>1</v>
      </c>
      <c r="H462" s="11"/>
      <c r="I462" s="11">
        <f>=ROUNDDOWN({0},0)</f>
      </c>
      <c r="J462" s="11"/>
      <c r="K462" s="12">
        <v>0.5109</v>
      </c>
      <c r="L462" s="11">
        <v>434</v>
      </c>
      <c r="M462" s="13">
        <v>59931.03</v>
      </c>
      <c r="N462" s="11">
        <v>18</v>
      </c>
      <c r="O462" s="14">
        <v>3329.5</v>
      </c>
      <c r="P462" s="11"/>
      <c r="Q462" s="13"/>
      <c r="R462" s="11"/>
      <c r="S462" s="14"/>
      <c r="T462" s="12"/>
      <c r="U462" s="12"/>
      <c r="V462" s="12"/>
      <c r="W462" s="12"/>
      <c r="X462" s="11">
        <v>77</v>
      </c>
      <c r="Y462" s="13">
        <v>11372.05</v>
      </c>
      <c r="Z462" s="11">
        <v>9</v>
      </c>
      <c r="AA462" s="11"/>
      <c r="AB462" s="13"/>
      <c r="AC462" s="11"/>
      <c r="AD462" s="12"/>
      <c r="AE462" s="12"/>
      <c r="AF462" s="11">
        <v>150</v>
      </c>
      <c r="AG462" s="13">
        <v>17869.38</v>
      </c>
      <c r="AH462" s="11">
        <v>17</v>
      </c>
      <c r="AI462" s="11"/>
      <c r="AJ462" s="13"/>
      <c r="AK462" s="11"/>
      <c r="AL462" s="12"/>
      <c r="AM462" s="12"/>
      <c r="AN462" s="11">
        <v>7</v>
      </c>
      <c r="AO462" s="13">
        <v>863.04</v>
      </c>
      <c r="AP462" s="11">
        <v>18</v>
      </c>
      <c r="AQ462" s="11"/>
      <c r="AR462" s="13"/>
      <c r="AS462" s="11"/>
      <c r="AT462" s="12"/>
      <c r="AU462" s="12"/>
      <c r="AV462" s="11">
        <v>37</v>
      </c>
      <c r="AW462" s="13">
        <v>5628.74</v>
      </c>
      <c r="AX462" s="11">
        <v>12</v>
      </c>
      <c r="AY462" s="11"/>
      <c r="AZ462" s="13"/>
      <c r="BA462" s="11"/>
      <c r="BB462" s="12"/>
      <c r="BC462" s="12"/>
      <c r="BD462" s="11">
        <v>4</v>
      </c>
      <c r="BE462" s="13">
        <v>508.92</v>
      </c>
      <c r="BF462" s="11">
        <v>17</v>
      </c>
      <c r="BG462" s="11"/>
      <c r="BH462" s="13"/>
      <c r="BI462" s="11"/>
      <c r="BJ462" s="12"/>
      <c r="BK462" s="12"/>
      <c r="BL462" s="11">
        <v>40</v>
      </c>
      <c r="BM462" s="13">
        <v>6663.25</v>
      </c>
      <c r="BN462" s="11">
        <v>17</v>
      </c>
      <c r="BO462" s="11"/>
      <c r="BP462" s="13"/>
      <c r="BQ462" s="11"/>
      <c r="BR462" s="12"/>
      <c r="BS462" s="12"/>
      <c r="BT462" s="11">
        <v>31</v>
      </c>
      <c r="BU462" s="13">
        <v>4580.55</v>
      </c>
      <c r="BV462" s="11">
        <v>18</v>
      </c>
      <c r="BW462" s="11"/>
      <c r="BX462" s="13"/>
      <c r="BY462" s="11"/>
      <c r="BZ462" s="12"/>
      <c r="CA462" s="12"/>
      <c r="CB462" s="11"/>
      <c r="CC462" s="13"/>
      <c r="CD462" s="11">
        <v>9</v>
      </c>
      <c r="CE462" s="11"/>
      <c r="CF462" s="13"/>
      <c r="CG462" s="11"/>
      <c r="CH462" s="12"/>
      <c r="CI462" s="12"/>
      <c r="CJ462" s="11"/>
      <c r="CK462" s="13"/>
      <c r="CL462" s="11">
        <v>17</v>
      </c>
      <c r="CM462" s="11"/>
      <c r="CN462" s="13"/>
      <c r="CO462" s="11"/>
      <c r="CP462" s="12"/>
      <c r="CQ462" s="12"/>
      <c r="CR462" s="11"/>
      <c r="CS462" s="13"/>
      <c r="CT462" s="11"/>
      <c r="CU462" s="11"/>
      <c r="CV462" s="13"/>
      <c r="CW462" s="11"/>
      <c r="CX462" s="12"/>
      <c r="CY462" s="12"/>
      <c r="CZ462" s="11">
        <v>26</v>
      </c>
      <c r="DA462" s="13">
        <v>2993.04</v>
      </c>
      <c r="DB462" s="11">
        <v>4</v>
      </c>
      <c r="DC462" s="11"/>
      <c r="DD462" s="13"/>
      <c r="DE462" s="11"/>
      <c r="DF462" s="12"/>
      <c r="DG462" s="12"/>
      <c r="DH462" s="11"/>
      <c r="DI462" s="13"/>
      <c r="DJ462" s="11">
        <v>1</v>
      </c>
      <c r="DK462" s="11"/>
      <c r="DL462" s="13"/>
      <c r="DM462" s="11"/>
      <c r="DN462" s="12"/>
      <c r="DO462" s="12"/>
      <c r="DP462" s="11"/>
      <c r="DQ462" s="13"/>
      <c r="DR462" s="11"/>
      <c r="DS462" s="11"/>
      <c r="DT462" s="13"/>
      <c r="DU462" s="11"/>
      <c r="DV462" s="12"/>
      <c r="DW462" s="12"/>
      <c r="DX462" s="11">
        <v>10</v>
      </c>
      <c r="DY462" s="13">
        <v>1464.1</v>
      </c>
      <c r="DZ462" s="11">
        <v>8</v>
      </c>
      <c r="EA462" s="11"/>
      <c r="EB462" s="13"/>
      <c r="EC462" s="11"/>
      <c r="ED462" s="12"/>
      <c r="EE462" s="12"/>
      <c r="EF462" s="11"/>
      <c r="EG462" s="13"/>
      <c r="EH462" s="11"/>
      <c r="EI462" s="11"/>
      <c r="EJ462" s="13"/>
      <c r="EK462" s="11"/>
      <c r="EL462" s="12"/>
      <c r="EM462" s="12"/>
      <c r="EN462" s="11"/>
      <c r="EO462" s="13"/>
      <c r="EP462" s="11">
        <v>18</v>
      </c>
      <c r="EQ462" s="11"/>
      <c r="ER462" s="13"/>
      <c r="ES462" s="11"/>
      <c r="ET462" s="12"/>
      <c r="EU462" s="12"/>
      <c r="EV462" s="11"/>
      <c r="EW462" s="13"/>
      <c r="EX462" s="11"/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>
        <v>5</v>
      </c>
      <c r="FM462" s="13">
        <v>616.35</v>
      </c>
      <c r="FN462" s="11">
        <v>8</v>
      </c>
      <c r="FO462" s="11"/>
      <c r="FP462" s="13"/>
      <c r="FQ462" s="11"/>
      <c r="FR462" s="12"/>
      <c r="FS462" s="12"/>
      <c r="FT462" s="11">
        <v>5</v>
      </c>
      <c r="FU462" s="13">
        <v>668.53</v>
      </c>
      <c r="FV462" s="11">
        <v>10</v>
      </c>
      <c r="FW462" s="11"/>
      <c r="FX462" s="13"/>
      <c r="FY462" s="11"/>
      <c r="FZ462" s="12"/>
      <c r="GA462" s="12"/>
      <c r="GB462" s="11">
        <v>6</v>
      </c>
      <c r="GC462" s="13">
        <v>1229.35</v>
      </c>
      <c r="GD462" s="11">
        <v>10</v>
      </c>
      <c r="GE462" s="11"/>
      <c r="GF462" s="13"/>
      <c r="GG462" s="11"/>
      <c r="GH462" s="12"/>
      <c r="GI462" s="12"/>
      <c r="GJ462" s="11">
        <v>25</v>
      </c>
      <c r="GK462" s="13">
        <v>3778.27</v>
      </c>
      <c r="GL462" s="11">
        <v>9</v>
      </c>
      <c r="GM462" s="11"/>
      <c r="GN462" s="13"/>
      <c r="GO462" s="11"/>
      <c r="GP462" s="12"/>
      <c r="GQ462" s="12"/>
      <c r="GR462" s="11">
        <v>11</v>
      </c>
      <c r="GS462" s="13">
        <v>1695.46</v>
      </c>
      <c r="GT462" s="11">
        <v>13</v>
      </c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/>
      <c r="HK462" s="11"/>
      <c r="HL462" s="13"/>
      <c r="HM462" s="11"/>
      <c r="HN462" s="12"/>
      <c r="HO462" s="12"/>
      <c r="HP462" s="11"/>
      <c r="HQ462" s="13"/>
      <c r="HR462" s="11"/>
      <c r="HS462" s="11"/>
      <c r="HT462" s="13"/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/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/>
      <c r="JO462" s="11"/>
      <c r="JP462" s="13"/>
      <c r="JQ462" s="11"/>
      <c r="JR462" s="12"/>
      <c r="JS462" s="12"/>
      <c r="JT462" s="11"/>
      <c r="JU462" s="13"/>
      <c r="JV462" s="11"/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/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  <c r="LH462" s="11"/>
      <c r="LI462" s="13"/>
      <c r="LJ462" s="11"/>
      <c r="LK462" s="11"/>
      <c r="LL462" s="13"/>
      <c r="LM462" s="11"/>
      <c r="LN462" s="12"/>
      <c r="LO462" s="12"/>
      <c r="LP462" s="11"/>
      <c r="LQ462" s="13"/>
      <c r="LR462" s="11"/>
      <c r="LS462" s="11"/>
      <c r="LT462" s="13"/>
      <c r="LU462" s="11"/>
      <c r="LV462" s="12"/>
      <c r="LW462" s="12"/>
    </row>
    <row r="463">
      <c r="A463" s="10" t="s">
        <v>249</v>
      </c>
      <c r="B463" s="10" t="s">
        <v>107</v>
      </c>
      <c r="C463" s="10" t="s">
        <v>251</v>
      </c>
      <c r="D463" s="11">
        <v>866</v>
      </c>
      <c r="E463" s="11">
        <f>=ROUNDDOWN(28.3006535947712,0)</f>
      </c>
      <c r="F463" s="11">
        <v>200</v>
      </c>
      <c r="G463" s="12">
        <v>1</v>
      </c>
      <c r="H463" s="11"/>
      <c r="I463" s="11">
        <f>=ROUNDDOWN({0},0)</f>
      </c>
      <c r="J463" s="11"/>
      <c r="K463" s="12"/>
      <c r="L463" s="11">
        <v>324</v>
      </c>
      <c r="M463" s="13">
        <v>29775.71</v>
      </c>
      <c r="N463" s="11">
        <v>11</v>
      </c>
      <c r="O463" s="14">
        <v>2706.88</v>
      </c>
      <c r="P463" s="11"/>
      <c r="Q463" s="13"/>
      <c r="R463" s="11"/>
      <c r="S463" s="14"/>
      <c r="T463" s="12"/>
      <c r="U463" s="12"/>
      <c r="V463" s="12"/>
      <c r="W463" s="12"/>
      <c r="X463" s="11">
        <v>11</v>
      </c>
      <c r="Y463" s="13">
        <v>1121</v>
      </c>
      <c r="Z463" s="11">
        <v>4</v>
      </c>
      <c r="AA463" s="11"/>
      <c r="AB463" s="13"/>
      <c r="AC463" s="11"/>
      <c r="AD463" s="12"/>
      <c r="AE463" s="12"/>
      <c r="AF463" s="11">
        <v>55</v>
      </c>
      <c r="AG463" s="13">
        <v>3990.55</v>
      </c>
      <c r="AH463" s="11">
        <v>11</v>
      </c>
      <c r="AI463" s="11"/>
      <c r="AJ463" s="13"/>
      <c r="AK463" s="11"/>
      <c r="AL463" s="12"/>
      <c r="AM463" s="12"/>
      <c r="AN463" s="11">
        <v>11</v>
      </c>
      <c r="AO463" s="13">
        <v>1074.78</v>
      </c>
      <c r="AP463" s="11">
        <v>11</v>
      </c>
      <c r="AQ463" s="11"/>
      <c r="AR463" s="13"/>
      <c r="AS463" s="11"/>
      <c r="AT463" s="12"/>
      <c r="AU463" s="12"/>
      <c r="AV463" s="11">
        <v>22</v>
      </c>
      <c r="AW463" s="13">
        <v>2948.61</v>
      </c>
      <c r="AX463" s="11">
        <v>8</v>
      </c>
      <c r="AY463" s="11"/>
      <c r="AZ463" s="13"/>
      <c r="BA463" s="11"/>
      <c r="BB463" s="12"/>
      <c r="BC463" s="12"/>
      <c r="BD463" s="11">
        <v>11</v>
      </c>
      <c r="BE463" s="13">
        <v>942.11</v>
      </c>
      <c r="BF463" s="11">
        <v>9</v>
      </c>
      <c r="BG463" s="11"/>
      <c r="BH463" s="13"/>
      <c r="BI463" s="11"/>
      <c r="BJ463" s="12"/>
      <c r="BK463" s="12"/>
      <c r="BL463" s="11">
        <v>37</v>
      </c>
      <c r="BM463" s="13">
        <v>3636.49</v>
      </c>
      <c r="BN463" s="11">
        <v>11</v>
      </c>
      <c r="BO463" s="11"/>
      <c r="BP463" s="13"/>
      <c r="BQ463" s="11"/>
      <c r="BR463" s="12"/>
      <c r="BS463" s="12"/>
      <c r="BT463" s="11">
        <v>69</v>
      </c>
      <c r="BU463" s="13">
        <v>7149.34</v>
      </c>
      <c r="BV463" s="11">
        <v>11</v>
      </c>
      <c r="BW463" s="11"/>
      <c r="BX463" s="13"/>
      <c r="BY463" s="11"/>
      <c r="BZ463" s="12"/>
      <c r="CA463" s="12"/>
      <c r="CB463" s="11">
        <v>15</v>
      </c>
      <c r="CC463" s="13">
        <v>1269.33</v>
      </c>
      <c r="CD463" s="11">
        <v>9</v>
      </c>
      <c r="CE463" s="11"/>
      <c r="CF463" s="13"/>
      <c r="CG463" s="11"/>
      <c r="CH463" s="12"/>
      <c r="CI463" s="12"/>
      <c r="CJ463" s="11"/>
      <c r="CK463" s="13"/>
      <c r="CL463" s="11">
        <v>11</v>
      </c>
      <c r="CM463" s="11"/>
      <c r="CN463" s="13"/>
      <c r="CO463" s="11"/>
      <c r="CP463" s="12"/>
      <c r="CQ463" s="12"/>
      <c r="CR463" s="11"/>
      <c r="CS463" s="13"/>
      <c r="CT463" s="11"/>
      <c r="CU463" s="11"/>
      <c r="CV463" s="13"/>
      <c r="CW463" s="11"/>
      <c r="CX463" s="12"/>
      <c r="CY463" s="12"/>
      <c r="CZ463" s="11">
        <v>23</v>
      </c>
      <c r="DA463" s="13">
        <v>1334.22</v>
      </c>
      <c r="DB463" s="11">
        <v>5</v>
      </c>
      <c r="DC463" s="11"/>
      <c r="DD463" s="13"/>
      <c r="DE463" s="11"/>
      <c r="DF463" s="12"/>
      <c r="DG463" s="12"/>
      <c r="DH463" s="11"/>
      <c r="DI463" s="13"/>
      <c r="DJ463" s="11">
        <v>1</v>
      </c>
      <c r="DK463" s="11"/>
      <c r="DL463" s="13"/>
      <c r="DM463" s="11"/>
      <c r="DN463" s="12"/>
      <c r="DO463" s="12"/>
      <c r="DP463" s="11"/>
      <c r="DQ463" s="13"/>
      <c r="DR463" s="11"/>
      <c r="DS463" s="11"/>
      <c r="DT463" s="13"/>
      <c r="DU463" s="11"/>
      <c r="DV463" s="12"/>
      <c r="DW463" s="12"/>
      <c r="DX463" s="11">
        <v>14</v>
      </c>
      <c r="DY463" s="13">
        <v>1199.99</v>
      </c>
      <c r="DZ463" s="11">
        <v>9</v>
      </c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>
        <v>2</v>
      </c>
      <c r="EO463" s="13">
        <v>237.48</v>
      </c>
      <c r="EP463" s="11">
        <v>11</v>
      </c>
      <c r="EQ463" s="11"/>
      <c r="ER463" s="13"/>
      <c r="ES463" s="11"/>
      <c r="ET463" s="12"/>
      <c r="EU463" s="12"/>
      <c r="EV463" s="11"/>
      <c r="EW463" s="13"/>
      <c r="EX463" s="11"/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>
        <v>26</v>
      </c>
      <c r="FM463" s="13">
        <v>2270.54</v>
      </c>
      <c r="FN463" s="11">
        <v>6</v>
      </c>
      <c r="FO463" s="11"/>
      <c r="FP463" s="13"/>
      <c r="FQ463" s="11"/>
      <c r="FR463" s="12"/>
      <c r="FS463" s="12"/>
      <c r="FT463" s="11">
        <v>8</v>
      </c>
      <c r="FU463" s="13">
        <v>703.22</v>
      </c>
      <c r="FV463" s="11">
        <v>7</v>
      </c>
      <c r="FW463" s="11"/>
      <c r="FX463" s="13"/>
      <c r="FY463" s="11"/>
      <c r="FZ463" s="12"/>
      <c r="GA463" s="12"/>
      <c r="GB463" s="11">
        <v>19</v>
      </c>
      <c r="GC463" s="13">
        <v>1796.73</v>
      </c>
      <c r="GD463" s="11">
        <v>6</v>
      </c>
      <c r="GE463" s="11"/>
      <c r="GF463" s="13"/>
      <c r="GG463" s="11"/>
      <c r="GH463" s="12"/>
      <c r="GI463" s="12"/>
      <c r="GJ463" s="11"/>
      <c r="GK463" s="13"/>
      <c r="GL463" s="11"/>
      <c r="GM463" s="11"/>
      <c r="GN463" s="13"/>
      <c r="GO463" s="11"/>
      <c r="GP463" s="12"/>
      <c r="GQ463" s="12"/>
      <c r="GR463" s="11">
        <v>1</v>
      </c>
      <c r="GS463" s="13">
        <v>101.32</v>
      </c>
      <c r="GT463" s="11">
        <v>6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/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/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/>
      <c r="JO463" s="11"/>
      <c r="JP463" s="13"/>
      <c r="JQ463" s="11"/>
      <c r="JR463" s="12"/>
      <c r="JS463" s="12"/>
      <c r="JT463" s="11"/>
      <c r="JU463" s="13"/>
      <c r="JV463" s="11"/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/>
      <c r="KM463" s="11"/>
      <c r="KN463" s="13"/>
      <c r="KO463" s="11"/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  <c r="LH463" s="11"/>
      <c r="LI463" s="13"/>
      <c r="LJ463" s="11"/>
      <c r="LK463" s="11"/>
      <c r="LL463" s="13"/>
      <c r="LM463" s="11"/>
      <c r="LN463" s="12"/>
      <c r="LO463" s="12"/>
      <c r="LP463" s="11"/>
      <c r="LQ463" s="13"/>
      <c r="LR463" s="11"/>
      <c r="LS463" s="11"/>
      <c r="LT463" s="13"/>
      <c r="LU463" s="11"/>
      <c r="LV463" s="12"/>
      <c r="LW463" s="12"/>
    </row>
    <row r="464">
      <c r="A464" s="10" t="s">
        <v>249</v>
      </c>
      <c r="B464" s="10" t="s">
        <v>107</v>
      </c>
      <c r="C464" s="10" t="s">
        <v>255</v>
      </c>
      <c r="D464" s="11">
        <v>144</v>
      </c>
      <c r="E464" s="11">
        <f>=ROUNDDOWN(25.7142857142857,0)</f>
      </c>
      <c r="F464" s="11">
        <v>100</v>
      </c>
      <c r="G464" s="12">
        <v>0.4891</v>
      </c>
      <c r="H464" s="11"/>
      <c r="I464" s="11">
        <f>=ROUNDDOWN({0},0)</f>
      </c>
      <c r="J464" s="11"/>
      <c r="K464" s="12"/>
      <c r="L464" s="11">
        <v>35</v>
      </c>
      <c r="M464" s="13">
        <v>2527.79</v>
      </c>
      <c r="N464" s="11">
        <v>1</v>
      </c>
      <c r="O464" s="14">
        <v>2527.79</v>
      </c>
      <c r="P464" s="11"/>
      <c r="Q464" s="13"/>
      <c r="R464" s="11"/>
      <c r="S464" s="14"/>
      <c r="T464" s="12"/>
      <c r="U464" s="12"/>
      <c r="V464" s="12"/>
      <c r="W464" s="12"/>
      <c r="X464" s="11"/>
      <c r="Y464" s="13"/>
      <c r="Z464" s="11"/>
      <c r="AA464" s="11"/>
      <c r="AB464" s="13"/>
      <c r="AC464" s="11"/>
      <c r="AD464" s="12"/>
      <c r="AE464" s="12"/>
      <c r="AF464" s="11">
        <v>20</v>
      </c>
      <c r="AG464" s="13">
        <v>1320.12</v>
      </c>
      <c r="AH464" s="11">
        <v>1</v>
      </c>
      <c r="AI464" s="11"/>
      <c r="AJ464" s="13"/>
      <c r="AK464" s="11"/>
      <c r="AL464" s="12"/>
      <c r="AM464" s="12"/>
      <c r="AN464" s="11">
        <v>5</v>
      </c>
      <c r="AO464" s="13">
        <v>381</v>
      </c>
      <c r="AP464" s="11">
        <v>1</v>
      </c>
      <c r="AQ464" s="11"/>
      <c r="AR464" s="13"/>
      <c r="AS464" s="11"/>
      <c r="AT464" s="12"/>
      <c r="AU464" s="12"/>
      <c r="AV464" s="11">
        <v>7</v>
      </c>
      <c r="AW464" s="13">
        <v>592.69</v>
      </c>
      <c r="AX464" s="11">
        <v>1</v>
      </c>
      <c r="AY464" s="11"/>
      <c r="AZ464" s="13"/>
      <c r="BA464" s="11"/>
      <c r="BB464" s="12"/>
      <c r="BC464" s="12"/>
      <c r="BD464" s="11"/>
      <c r="BE464" s="13"/>
      <c r="BF464" s="11">
        <v>1</v>
      </c>
      <c r="BG464" s="11"/>
      <c r="BH464" s="13"/>
      <c r="BI464" s="11"/>
      <c r="BJ464" s="12"/>
      <c r="BK464" s="12"/>
      <c r="BL464" s="11">
        <v>1</v>
      </c>
      <c r="BM464" s="13">
        <v>83.16</v>
      </c>
      <c r="BN464" s="11">
        <v>1</v>
      </c>
      <c r="BO464" s="11"/>
      <c r="BP464" s="13"/>
      <c r="BQ464" s="11"/>
      <c r="BR464" s="12"/>
      <c r="BS464" s="12"/>
      <c r="BT464" s="11">
        <v>2</v>
      </c>
      <c r="BU464" s="13">
        <v>150.82</v>
      </c>
      <c r="BV464" s="11">
        <v>1</v>
      </c>
      <c r="BW464" s="11"/>
      <c r="BX464" s="13"/>
      <c r="BY464" s="11"/>
      <c r="BZ464" s="12"/>
      <c r="CA464" s="12"/>
      <c r="CB464" s="11"/>
      <c r="CC464" s="13"/>
      <c r="CD464" s="11">
        <v>1</v>
      </c>
      <c r="CE464" s="11"/>
      <c r="CF464" s="13"/>
      <c r="CG464" s="11"/>
      <c r="CH464" s="12"/>
      <c r="CI464" s="12"/>
      <c r="CJ464" s="11"/>
      <c r="CK464" s="13"/>
      <c r="CL464" s="11">
        <v>1</v>
      </c>
      <c r="CM464" s="11"/>
      <c r="CN464" s="13"/>
      <c r="CO464" s="11"/>
      <c r="CP464" s="12"/>
      <c r="CQ464" s="12"/>
      <c r="CR464" s="11"/>
      <c r="CS464" s="13"/>
      <c r="CT464" s="11"/>
      <c r="CU464" s="11"/>
      <c r="CV464" s="13"/>
      <c r="CW464" s="11"/>
      <c r="CX464" s="12"/>
      <c r="CY464" s="12"/>
      <c r="CZ464" s="11"/>
      <c r="DA464" s="13"/>
      <c r="DB464" s="11"/>
      <c r="DC464" s="11"/>
      <c r="DD464" s="13"/>
      <c r="DE464" s="11"/>
      <c r="DF464" s="12"/>
      <c r="DG464" s="12"/>
      <c r="DH464" s="11"/>
      <c r="DI464" s="13"/>
      <c r="DJ464" s="11"/>
      <c r="DK464" s="11"/>
      <c r="DL464" s="13"/>
      <c r="DM464" s="11"/>
      <c r="DN464" s="12"/>
      <c r="DO464" s="12"/>
      <c r="DP464" s="11"/>
      <c r="DQ464" s="13"/>
      <c r="DR464" s="11"/>
      <c r="DS464" s="11"/>
      <c r="DT464" s="13"/>
      <c r="DU464" s="11"/>
      <c r="DV464" s="12"/>
      <c r="DW464" s="12"/>
      <c r="DX464" s="11"/>
      <c r="DY464" s="13"/>
      <c r="DZ464" s="11">
        <v>1</v>
      </c>
      <c r="EA464" s="11"/>
      <c r="EB464" s="13"/>
      <c r="EC464" s="11"/>
      <c r="ED464" s="12"/>
      <c r="EE464" s="12"/>
      <c r="EF464" s="11"/>
      <c r="EG464" s="13"/>
      <c r="EH464" s="11"/>
      <c r="EI464" s="11"/>
      <c r="EJ464" s="13"/>
      <c r="EK464" s="11"/>
      <c r="EL464" s="12"/>
      <c r="EM464" s="12"/>
      <c r="EN464" s="11"/>
      <c r="EO464" s="13"/>
      <c r="EP464" s="11">
        <v>1</v>
      </c>
      <c r="EQ464" s="11"/>
      <c r="ER464" s="13"/>
      <c r="ES464" s="11"/>
      <c r="ET464" s="12"/>
      <c r="EU464" s="12"/>
      <c r="EV464" s="11"/>
      <c r="EW464" s="13"/>
      <c r="EX464" s="11"/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/>
      <c r="FM464" s="13"/>
      <c r="FN464" s="11"/>
      <c r="FO464" s="11"/>
      <c r="FP464" s="13"/>
      <c r="FQ464" s="11"/>
      <c r="FR464" s="12"/>
      <c r="FS464" s="12"/>
      <c r="FT464" s="11"/>
      <c r="FU464" s="13"/>
      <c r="FV464" s="11">
        <v>1</v>
      </c>
      <c r="FW464" s="11"/>
      <c r="FX464" s="13"/>
      <c r="FY464" s="11"/>
      <c r="FZ464" s="12"/>
      <c r="GA464" s="12"/>
      <c r="GB464" s="11"/>
      <c r="GC464" s="13"/>
      <c r="GD464" s="11"/>
      <c r="GE464" s="11"/>
      <c r="GF464" s="13"/>
      <c r="GG464" s="11"/>
      <c r="GH464" s="12"/>
      <c r="GI464" s="12"/>
      <c r="GJ464" s="11"/>
      <c r="GK464" s="13"/>
      <c r="GL464" s="11"/>
      <c r="GM464" s="11"/>
      <c r="GN464" s="13"/>
      <c r="GO464" s="11"/>
      <c r="GP464" s="12"/>
      <c r="GQ464" s="12"/>
      <c r="GR464" s="11"/>
      <c r="GS464" s="13"/>
      <c r="GT464" s="11">
        <v>1</v>
      </c>
      <c r="GU464" s="11"/>
      <c r="GV464" s="13"/>
      <c r="GW464" s="11"/>
      <c r="GX464" s="12"/>
      <c r="GY464" s="12"/>
      <c r="GZ464" s="11"/>
      <c r="HA464" s="13"/>
      <c r="HB464" s="11"/>
      <c r="HC464" s="11"/>
      <c r="HD464" s="13"/>
      <c r="HE464" s="11"/>
      <c r="HF464" s="12"/>
      <c r="HG464" s="12"/>
      <c r="HH464" s="11"/>
      <c r="HI464" s="13"/>
      <c r="HJ464" s="11"/>
      <c r="HK464" s="11"/>
      <c r="HL464" s="13"/>
      <c r="HM464" s="11"/>
      <c r="HN464" s="12"/>
      <c r="HO464" s="12"/>
      <c r="HP464" s="11"/>
      <c r="HQ464" s="13"/>
      <c r="HR464" s="11"/>
      <c r="HS464" s="11"/>
      <c r="HT464" s="13"/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/>
      <c r="IG464" s="13"/>
      <c r="IH464" s="11"/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/>
      <c r="JO464" s="11"/>
      <c r="JP464" s="13"/>
      <c r="JQ464" s="11"/>
      <c r="JR464" s="12"/>
      <c r="JS464" s="12"/>
      <c r="JT464" s="11"/>
      <c r="JU464" s="13"/>
      <c r="JV464" s="11"/>
      <c r="JW464" s="11"/>
      <c r="JX464" s="13"/>
      <c r="JY464" s="11"/>
      <c r="JZ464" s="12"/>
      <c r="KA464" s="12"/>
      <c r="KB464" s="11"/>
      <c r="KC464" s="13"/>
      <c r="KD464" s="11"/>
      <c r="KE464" s="11"/>
      <c r="KF464" s="13"/>
      <c r="KG464" s="11"/>
      <c r="KH464" s="12"/>
      <c r="KI464" s="12"/>
      <c r="KJ464" s="11"/>
      <c r="KK464" s="13"/>
      <c r="KL464" s="11"/>
      <c r="KM464" s="11"/>
      <c r="KN464" s="13"/>
      <c r="KO464" s="11"/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  <c r="LH464" s="11"/>
      <c r="LI464" s="13"/>
      <c r="LJ464" s="11"/>
      <c r="LK464" s="11"/>
      <c r="LL464" s="13"/>
      <c r="LM464" s="11"/>
      <c r="LN464" s="12"/>
      <c r="LO464" s="12"/>
      <c r="LP464" s="11"/>
      <c r="LQ464" s="13"/>
      <c r="LR464" s="11"/>
      <c r="LS464" s="11"/>
      <c r="LT464" s="13"/>
      <c r="LU464" s="11"/>
      <c r="LV464" s="12"/>
      <c r="LW464" s="12"/>
    </row>
    <row r="465">
      <c r="A465" s="10" t="s">
        <v>249</v>
      </c>
      <c r="B465" s="10" t="s">
        <v>107</v>
      </c>
      <c r="C465" s="10" t="s">
        <v>254</v>
      </c>
      <c r="D465" s="11">
        <v>2711</v>
      </c>
      <c r="E465" s="11">
        <f>=ROUNDDOWN(31.7819460726846,0)</f>
      </c>
      <c r="F465" s="11">
        <v>500</v>
      </c>
      <c r="G465" s="12">
        <v>0.9475</v>
      </c>
      <c r="H465" s="11"/>
      <c r="I465" s="11">
        <f>=ROUNDDOWN({0},0)</f>
      </c>
      <c r="J465" s="11"/>
      <c r="K465" s="12"/>
      <c r="L465" s="11">
        <v>1091</v>
      </c>
      <c r="M465" s="13">
        <v>63389.17</v>
      </c>
      <c r="N465" s="11">
        <v>14</v>
      </c>
      <c r="O465" s="14">
        <v>4527.8</v>
      </c>
      <c r="P465" s="11"/>
      <c r="Q465" s="13"/>
      <c r="R465" s="11"/>
      <c r="S465" s="14"/>
      <c r="T465" s="12"/>
      <c r="U465" s="12"/>
      <c r="V465" s="12"/>
      <c r="W465" s="12"/>
      <c r="X465" s="11">
        <v>653</v>
      </c>
      <c r="Y465" s="13">
        <v>39345.07</v>
      </c>
      <c r="Z465" s="11">
        <v>13</v>
      </c>
      <c r="AA465" s="11"/>
      <c r="AB465" s="13"/>
      <c r="AC465" s="11"/>
      <c r="AD465" s="12"/>
      <c r="AE465" s="12"/>
      <c r="AF465" s="11">
        <v>94</v>
      </c>
      <c r="AG465" s="13">
        <v>4583.58</v>
      </c>
      <c r="AH465" s="11">
        <v>14</v>
      </c>
      <c r="AI465" s="11"/>
      <c r="AJ465" s="13"/>
      <c r="AK465" s="11"/>
      <c r="AL465" s="12"/>
      <c r="AM465" s="12"/>
      <c r="AN465" s="11">
        <v>25</v>
      </c>
      <c r="AO465" s="13">
        <v>1434.63</v>
      </c>
      <c r="AP465" s="11">
        <v>14</v>
      </c>
      <c r="AQ465" s="11"/>
      <c r="AR465" s="13"/>
      <c r="AS465" s="11"/>
      <c r="AT465" s="12"/>
      <c r="AU465" s="12"/>
      <c r="AV465" s="11">
        <v>16</v>
      </c>
      <c r="AW465" s="13">
        <v>1014.96</v>
      </c>
      <c r="AX465" s="11">
        <v>12</v>
      </c>
      <c r="AY465" s="11"/>
      <c r="AZ465" s="13"/>
      <c r="BA465" s="11"/>
      <c r="BB465" s="12"/>
      <c r="BC465" s="12"/>
      <c r="BD465" s="11">
        <v>6</v>
      </c>
      <c r="BE465" s="13">
        <v>349.26</v>
      </c>
      <c r="BF465" s="11">
        <v>13</v>
      </c>
      <c r="BG465" s="11"/>
      <c r="BH465" s="13"/>
      <c r="BI465" s="11"/>
      <c r="BJ465" s="12"/>
      <c r="BK465" s="12"/>
      <c r="BL465" s="11">
        <v>78</v>
      </c>
      <c r="BM465" s="13">
        <v>4745.61</v>
      </c>
      <c r="BN465" s="11">
        <v>14</v>
      </c>
      <c r="BO465" s="11"/>
      <c r="BP465" s="13"/>
      <c r="BQ465" s="11"/>
      <c r="BR465" s="12"/>
      <c r="BS465" s="12"/>
      <c r="BT465" s="11">
        <v>32</v>
      </c>
      <c r="BU465" s="13">
        <v>1973.86</v>
      </c>
      <c r="BV465" s="11">
        <v>14</v>
      </c>
      <c r="BW465" s="11"/>
      <c r="BX465" s="13"/>
      <c r="BY465" s="11"/>
      <c r="BZ465" s="12"/>
      <c r="CA465" s="12"/>
      <c r="CB465" s="11"/>
      <c r="CC465" s="13"/>
      <c r="CD465" s="11">
        <v>8</v>
      </c>
      <c r="CE465" s="11"/>
      <c r="CF465" s="13"/>
      <c r="CG465" s="11"/>
      <c r="CH465" s="12"/>
      <c r="CI465" s="12"/>
      <c r="CJ465" s="11"/>
      <c r="CK465" s="13"/>
      <c r="CL465" s="11">
        <v>10</v>
      </c>
      <c r="CM465" s="11"/>
      <c r="CN465" s="13"/>
      <c r="CO465" s="11"/>
      <c r="CP465" s="12"/>
      <c r="CQ465" s="12"/>
      <c r="CR465" s="11"/>
      <c r="CS465" s="13"/>
      <c r="CT465" s="11"/>
      <c r="CU465" s="11"/>
      <c r="CV465" s="13"/>
      <c r="CW465" s="11"/>
      <c r="CX465" s="12"/>
      <c r="CY465" s="12"/>
      <c r="CZ465" s="11">
        <v>20</v>
      </c>
      <c r="DA465" s="13">
        <v>1047.8</v>
      </c>
      <c r="DB465" s="11">
        <v>4</v>
      </c>
      <c r="DC465" s="11"/>
      <c r="DD465" s="13"/>
      <c r="DE465" s="11"/>
      <c r="DF465" s="12"/>
      <c r="DG465" s="12"/>
      <c r="DH465" s="11"/>
      <c r="DI465" s="13"/>
      <c r="DJ465" s="11">
        <v>1</v>
      </c>
      <c r="DK465" s="11"/>
      <c r="DL465" s="13"/>
      <c r="DM465" s="11"/>
      <c r="DN465" s="12"/>
      <c r="DO465" s="12"/>
      <c r="DP465" s="11"/>
      <c r="DQ465" s="13"/>
      <c r="DR465" s="11"/>
      <c r="DS465" s="11"/>
      <c r="DT465" s="13"/>
      <c r="DU465" s="11"/>
      <c r="DV465" s="12"/>
      <c r="DW465" s="12"/>
      <c r="DX465" s="11">
        <v>69</v>
      </c>
      <c r="DY465" s="13">
        <v>3608.54</v>
      </c>
      <c r="DZ465" s="11">
        <v>6</v>
      </c>
      <c r="EA465" s="11"/>
      <c r="EB465" s="13"/>
      <c r="EC465" s="11"/>
      <c r="ED465" s="12"/>
      <c r="EE465" s="12"/>
      <c r="EF465" s="11"/>
      <c r="EG465" s="13"/>
      <c r="EH465" s="11"/>
      <c r="EI465" s="11"/>
      <c r="EJ465" s="13"/>
      <c r="EK465" s="11"/>
      <c r="EL465" s="12"/>
      <c r="EM465" s="12"/>
      <c r="EN465" s="11"/>
      <c r="EO465" s="13"/>
      <c r="EP465" s="11">
        <v>14</v>
      </c>
      <c r="EQ465" s="11"/>
      <c r="ER465" s="13"/>
      <c r="ES465" s="11"/>
      <c r="ET465" s="12"/>
      <c r="EU465" s="12"/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>
        <v>7</v>
      </c>
      <c r="FM465" s="13">
        <v>393.84</v>
      </c>
      <c r="FN465" s="11">
        <v>6</v>
      </c>
      <c r="FO465" s="11"/>
      <c r="FP465" s="13"/>
      <c r="FQ465" s="11"/>
      <c r="FR465" s="12"/>
      <c r="FS465" s="12"/>
      <c r="FT465" s="11">
        <v>3</v>
      </c>
      <c r="FU465" s="13">
        <v>149.7</v>
      </c>
      <c r="FV465" s="11">
        <v>6</v>
      </c>
      <c r="FW465" s="11"/>
      <c r="FX465" s="13"/>
      <c r="FY465" s="11"/>
      <c r="FZ465" s="12"/>
      <c r="GA465" s="12"/>
      <c r="GB465" s="11"/>
      <c r="GC465" s="13"/>
      <c r="GD465" s="11">
        <v>4</v>
      </c>
      <c r="GE465" s="11"/>
      <c r="GF465" s="13"/>
      <c r="GG465" s="11"/>
      <c r="GH465" s="12"/>
      <c r="GI465" s="12"/>
      <c r="GJ465" s="11">
        <v>54</v>
      </c>
      <c r="GK465" s="13">
        <v>2910.06</v>
      </c>
      <c r="GL465" s="11">
        <v>9</v>
      </c>
      <c r="GM465" s="11"/>
      <c r="GN465" s="13"/>
      <c r="GO465" s="11"/>
      <c r="GP465" s="12"/>
      <c r="GQ465" s="12"/>
      <c r="GR465" s="11">
        <v>34</v>
      </c>
      <c r="GS465" s="13">
        <v>1832.26</v>
      </c>
      <c r="GT465" s="11">
        <v>11</v>
      </c>
      <c r="GU465" s="11"/>
      <c r="GV465" s="13"/>
      <c r="GW465" s="11"/>
      <c r="GX465" s="12"/>
      <c r="GY465" s="12"/>
      <c r="GZ465" s="11"/>
      <c r="HA465" s="13"/>
      <c r="HB465" s="11"/>
      <c r="HC465" s="11"/>
      <c r="HD465" s="13"/>
      <c r="HE465" s="11"/>
      <c r="HF465" s="12"/>
      <c r="HG465" s="12"/>
      <c r="HH465" s="11"/>
      <c r="HI465" s="13"/>
      <c r="HJ465" s="11"/>
      <c r="HK465" s="11"/>
      <c r="HL465" s="13"/>
      <c r="HM465" s="11"/>
      <c r="HN465" s="12"/>
      <c r="HO465" s="12"/>
      <c r="HP465" s="11"/>
      <c r="HQ465" s="13"/>
      <c r="HR465" s="11"/>
      <c r="HS465" s="11"/>
      <c r="HT465" s="13"/>
      <c r="HU465" s="11"/>
      <c r="HV465" s="12"/>
      <c r="HW465" s="12"/>
      <c r="HX465" s="11"/>
      <c r="HY465" s="13"/>
      <c r="HZ465" s="11"/>
      <c r="IA465" s="11"/>
      <c r="IB465" s="13"/>
      <c r="IC465" s="11"/>
      <c r="ID465" s="12"/>
      <c r="IE465" s="12"/>
      <c r="IF465" s="11"/>
      <c r="IG465" s="13"/>
      <c r="IH465" s="11"/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/>
      <c r="JO465" s="11"/>
      <c r="JP465" s="13"/>
      <c r="JQ465" s="11"/>
      <c r="JR465" s="12"/>
      <c r="JS465" s="12"/>
      <c r="JT465" s="11"/>
      <c r="JU465" s="13"/>
      <c r="JV465" s="11"/>
      <c r="JW465" s="11"/>
      <c r="JX465" s="13"/>
      <c r="JY465" s="11"/>
      <c r="JZ465" s="12"/>
      <c r="KA465" s="12"/>
      <c r="KB465" s="11"/>
      <c r="KC465" s="13"/>
      <c r="KD465" s="11"/>
      <c r="KE465" s="11"/>
      <c r="KF465" s="13"/>
      <c r="KG465" s="11"/>
      <c r="KH465" s="12"/>
      <c r="KI465" s="12"/>
      <c r="KJ465" s="11"/>
      <c r="KK465" s="13"/>
      <c r="KL465" s="11"/>
      <c r="KM465" s="11"/>
      <c r="KN465" s="13"/>
      <c r="KO465" s="11"/>
      <c r="KP465" s="12"/>
      <c r="KQ465" s="12"/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  <c r="LH465" s="11"/>
      <c r="LI465" s="13"/>
      <c r="LJ465" s="11"/>
      <c r="LK465" s="11"/>
      <c r="LL465" s="13"/>
      <c r="LM465" s="11"/>
      <c r="LN465" s="12"/>
      <c r="LO465" s="12"/>
      <c r="LP465" s="11"/>
      <c r="LQ465" s="13"/>
      <c r="LR465" s="11"/>
      <c r="LS465" s="11"/>
      <c r="LT465" s="13"/>
      <c r="LU465" s="11"/>
      <c r="LV465" s="12"/>
      <c r="LW465" s="12"/>
    </row>
    <row r="466">
      <c r="A466" s="10" t="s">
        <v>249</v>
      </c>
      <c r="B466" s="10" t="s">
        <v>107</v>
      </c>
      <c r="C466" s="10" t="s">
        <v>252</v>
      </c>
      <c r="D466" s="11">
        <v>611</v>
      </c>
      <c r="E466" s="11">
        <f>=ROUNDDOWN(49.2741935483871,0)</f>
      </c>
      <c r="F466" s="11"/>
      <c r="G466" s="12">
        <v>0.7446</v>
      </c>
      <c r="H466" s="11"/>
      <c r="I466" s="11">
        <f>=ROUNDDOWN({0},0)</f>
      </c>
      <c r="J466" s="11"/>
      <c r="K466" s="12"/>
      <c r="L466" s="11">
        <v>188</v>
      </c>
      <c r="M466" s="13">
        <v>11703.31</v>
      </c>
      <c r="N466" s="11">
        <v>3</v>
      </c>
      <c r="O466" s="14">
        <v>3901.1</v>
      </c>
      <c r="P466" s="11"/>
      <c r="Q466" s="13"/>
      <c r="R466" s="11"/>
      <c r="S466" s="14"/>
      <c r="T466" s="12"/>
      <c r="U466" s="12"/>
      <c r="V466" s="12"/>
      <c r="W466" s="12"/>
      <c r="X466" s="11">
        <v>99</v>
      </c>
      <c r="Y466" s="13">
        <v>6489.45</v>
      </c>
      <c r="Z466" s="11">
        <v>2</v>
      </c>
      <c r="AA466" s="11"/>
      <c r="AB466" s="13"/>
      <c r="AC466" s="11"/>
      <c r="AD466" s="12"/>
      <c r="AE466" s="12"/>
      <c r="AF466" s="11">
        <v>26</v>
      </c>
      <c r="AG466" s="13">
        <v>1296.09</v>
      </c>
      <c r="AH466" s="11">
        <v>3</v>
      </c>
      <c r="AI466" s="11"/>
      <c r="AJ466" s="13"/>
      <c r="AK466" s="11"/>
      <c r="AL466" s="12"/>
      <c r="AM466" s="12"/>
      <c r="AN466" s="11"/>
      <c r="AO466" s="13"/>
      <c r="AP466" s="11">
        <v>3</v>
      </c>
      <c r="AQ466" s="11"/>
      <c r="AR466" s="13"/>
      <c r="AS466" s="11"/>
      <c r="AT466" s="12"/>
      <c r="AU466" s="12"/>
      <c r="AV466" s="11">
        <v>7</v>
      </c>
      <c r="AW466" s="13">
        <v>469.21</v>
      </c>
      <c r="AX466" s="11">
        <v>1</v>
      </c>
      <c r="AY466" s="11"/>
      <c r="AZ466" s="13"/>
      <c r="BA466" s="11"/>
      <c r="BB466" s="12"/>
      <c r="BC466" s="12"/>
      <c r="BD466" s="11"/>
      <c r="BE466" s="13"/>
      <c r="BF466" s="11">
        <v>2</v>
      </c>
      <c r="BG466" s="11"/>
      <c r="BH466" s="13"/>
      <c r="BI466" s="11"/>
      <c r="BJ466" s="12"/>
      <c r="BK466" s="12"/>
      <c r="BL466" s="11">
        <v>22</v>
      </c>
      <c r="BM466" s="13">
        <v>1448.48</v>
      </c>
      <c r="BN466" s="11">
        <v>3</v>
      </c>
      <c r="BO466" s="11"/>
      <c r="BP466" s="13"/>
      <c r="BQ466" s="11"/>
      <c r="BR466" s="12"/>
      <c r="BS466" s="12"/>
      <c r="BT466" s="11">
        <v>31</v>
      </c>
      <c r="BU466" s="13">
        <v>1818.02</v>
      </c>
      <c r="BV466" s="11">
        <v>3</v>
      </c>
      <c r="BW466" s="11"/>
      <c r="BX466" s="13"/>
      <c r="BY466" s="11"/>
      <c r="BZ466" s="12"/>
      <c r="CA466" s="12"/>
      <c r="CB466" s="11"/>
      <c r="CC466" s="13"/>
      <c r="CD466" s="11">
        <v>1</v>
      </c>
      <c r="CE466" s="11"/>
      <c r="CF466" s="13"/>
      <c r="CG466" s="11"/>
      <c r="CH466" s="12"/>
      <c r="CI466" s="12"/>
      <c r="CJ466" s="11"/>
      <c r="CK466" s="13"/>
      <c r="CL466" s="11">
        <v>3</v>
      </c>
      <c r="CM466" s="11"/>
      <c r="CN466" s="13"/>
      <c r="CO466" s="11"/>
      <c r="CP466" s="12"/>
      <c r="CQ466" s="12"/>
      <c r="CR466" s="11"/>
      <c r="CS466" s="13"/>
      <c r="CT466" s="11"/>
      <c r="CU466" s="11"/>
      <c r="CV466" s="13"/>
      <c r="CW466" s="11"/>
      <c r="CX466" s="12"/>
      <c r="CY466" s="12"/>
      <c r="CZ466" s="11"/>
      <c r="DA466" s="13"/>
      <c r="DB466" s="11"/>
      <c r="DC466" s="11"/>
      <c r="DD466" s="13"/>
      <c r="DE466" s="11"/>
      <c r="DF466" s="12"/>
      <c r="DG466" s="12"/>
      <c r="DH466" s="11"/>
      <c r="DI466" s="13"/>
      <c r="DJ466" s="11"/>
      <c r="DK466" s="11"/>
      <c r="DL466" s="13"/>
      <c r="DM466" s="11"/>
      <c r="DN466" s="12"/>
      <c r="DO466" s="12"/>
      <c r="DP466" s="11"/>
      <c r="DQ466" s="13"/>
      <c r="DR466" s="11"/>
      <c r="DS466" s="11"/>
      <c r="DT466" s="13"/>
      <c r="DU466" s="11"/>
      <c r="DV466" s="12"/>
      <c r="DW466" s="12"/>
      <c r="DX466" s="11">
        <v>1</v>
      </c>
      <c r="DY466" s="13">
        <v>59.25</v>
      </c>
      <c r="DZ466" s="11">
        <v>3</v>
      </c>
      <c r="EA466" s="11"/>
      <c r="EB466" s="13"/>
      <c r="EC466" s="11"/>
      <c r="ED466" s="12"/>
      <c r="EE466" s="12"/>
      <c r="EF466" s="11"/>
      <c r="EG466" s="13"/>
      <c r="EH466" s="11"/>
      <c r="EI466" s="11"/>
      <c r="EJ466" s="13"/>
      <c r="EK466" s="11"/>
      <c r="EL466" s="12"/>
      <c r="EM466" s="12"/>
      <c r="EN466" s="11"/>
      <c r="EO466" s="13"/>
      <c r="EP466" s="11">
        <v>3</v>
      </c>
      <c r="EQ466" s="11"/>
      <c r="ER466" s="13"/>
      <c r="ES466" s="11"/>
      <c r="ET466" s="12"/>
      <c r="EU466" s="12"/>
      <c r="EV466" s="11"/>
      <c r="EW466" s="13"/>
      <c r="EX466" s="11"/>
      <c r="EY466" s="11"/>
      <c r="EZ466" s="13"/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>
        <v>1</v>
      </c>
      <c r="FM466" s="13">
        <v>58.17</v>
      </c>
      <c r="FN466" s="11">
        <v>2</v>
      </c>
      <c r="FO466" s="11"/>
      <c r="FP466" s="13"/>
      <c r="FQ466" s="11"/>
      <c r="FR466" s="12"/>
      <c r="FS466" s="12"/>
      <c r="FT466" s="11"/>
      <c r="FU466" s="13"/>
      <c r="FV466" s="11">
        <v>2</v>
      </c>
      <c r="FW466" s="11"/>
      <c r="FX466" s="13"/>
      <c r="FY466" s="11"/>
      <c r="FZ466" s="12"/>
      <c r="GA466" s="12"/>
      <c r="GB466" s="11"/>
      <c r="GC466" s="13"/>
      <c r="GD466" s="11">
        <v>2</v>
      </c>
      <c r="GE466" s="11"/>
      <c r="GF466" s="13"/>
      <c r="GG466" s="11"/>
      <c r="GH466" s="12"/>
      <c r="GI466" s="12"/>
      <c r="GJ466" s="11"/>
      <c r="GK466" s="13"/>
      <c r="GL466" s="11"/>
      <c r="GM466" s="11"/>
      <c r="GN466" s="13"/>
      <c r="GO466" s="11"/>
      <c r="GP466" s="12"/>
      <c r="GQ466" s="12"/>
      <c r="GR466" s="11">
        <v>1</v>
      </c>
      <c r="GS466" s="13">
        <v>64.64</v>
      </c>
      <c r="GT466" s="11">
        <v>2</v>
      </c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/>
      <c r="HK466" s="11"/>
      <c r="HL466" s="13"/>
      <c r="HM466" s="11"/>
      <c r="HN466" s="12"/>
      <c r="HO466" s="12"/>
      <c r="HP466" s="11"/>
      <c r="HQ466" s="13"/>
      <c r="HR466" s="11"/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/>
      <c r="JP466" s="13"/>
      <c r="JQ466" s="11"/>
      <c r="JR466" s="12"/>
      <c r="JS466" s="12"/>
      <c r="JT466" s="11"/>
      <c r="JU466" s="13"/>
      <c r="JV466" s="11"/>
      <c r="JW466" s="11"/>
      <c r="JX466" s="13"/>
      <c r="JY466" s="11"/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/>
      <c r="KM466" s="11"/>
      <c r="KN466" s="13"/>
      <c r="KO466" s="11"/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  <c r="LH466" s="11"/>
      <c r="LI466" s="13"/>
      <c r="LJ466" s="11"/>
      <c r="LK466" s="11"/>
      <c r="LL466" s="13"/>
      <c r="LM466" s="11"/>
      <c r="LN466" s="12"/>
      <c r="LO466" s="12"/>
      <c r="LP466" s="11"/>
      <c r="LQ466" s="13"/>
      <c r="LR466" s="11"/>
      <c r="LS466" s="11"/>
      <c r="LT466" s="13"/>
      <c r="LU466" s="11"/>
      <c r="LV466" s="12"/>
      <c r="LW466" s="12"/>
    </row>
    <row r="467">
      <c r="A467" s="10" t="s">
        <v>249</v>
      </c>
      <c r="B467" s="10" t="s">
        <v>107</v>
      </c>
      <c r="C467" s="10" t="s">
        <v>253</v>
      </c>
      <c r="D467" s="11">
        <v>2625</v>
      </c>
      <c r="E467" s="11">
        <f>=ROUNDDOWN(21.9115191986644,0)</f>
      </c>
      <c r="F467" s="11">
        <v>1650</v>
      </c>
      <c r="G467" s="12">
        <v>0.9796</v>
      </c>
      <c r="H467" s="11"/>
      <c r="I467" s="11">
        <f>=ROUNDDOWN({0},0)</f>
      </c>
      <c r="J467" s="11"/>
      <c r="K467" s="12"/>
      <c r="L467" s="11">
        <v>1453</v>
      </c>
      <c r="M467" s="13">
        <v>100269.63</v>
      </c>
      <c r="N467" s="11">
        <v>29</v>
      </c>
      <c r="O467" s="14">
        <v>3457.57</v>
      </c>
      <c r="P467" s="11"/>
      <c r="Q467" s="13"/>
      <c r="R467" s="11"/>
      <c r="S467" s="14"/>
      <c r="T467" s="12"/>
      <c r="U467" s="12"/>
      <c r="V467" s="12"/>
      <c r="W467" s="12"/>
      <c r="X467" s="11">
        <v>289</v>
      </c>
      <c r="Y467" s="13">
        <v>21967.29</v>
      </c>
      <c r="Z467" s="11">
        <v>11</v>
      </c>
      <c r="AA467" s="11"/>
      <c r="AB467" s="13"/>
      <c r="AC467" s="11"/>
      <c r="AD467" s="12"/>
      <c r="AE467" s="12"/>
      <c r="AF467" s="11">
        <v>321</v>
      </c>
      <c r="AG467" s="13">
        <v>20265.69</v>
      </c>
      <c r="AH467" s="11">
        <v>28</v>
      </c>
      <c r="AI467" s="11"/>
      <c r="AJ467" s="13"/>
      <c r="AK467" s="11"/>
      <c r="AL467" s="12"/>
      <c r="AM467" s="12"/>
      <c r="AN467" s="11">
        <v>74</v>
      </c>
      <c r="AO467" s="13">
        <v>4392.55</v>
      </c>
      <c r="AP467" s="11">
        <v>29</v>
      </c>
      <c r="AQ467" s="11"/>
      <c r="AR467" s="13"/>
      <c r="AS467" s="11"/>
      <c r="AT467" s="12"/>
      <c r="AU467" s="12"/>
      <c r="AV467" s="11">
        <v>113</v>
      </c>
      <c r="AW467" s="13">
        <v>8333.15</v>
      </c>
      <c r="AX467" s="11">
        <v>23</v>
      </c>
      <c r="AY467" s="11"/>
      <c r="AZ467" s="13"/>
      <c r="BA467" s="11"/>
      <c r="BB467" s="12"/>
      <c r="BC467" s="12"/>
      <c r="BD467" s="11">
        <v>10</v>
      </c>
      <c r="BE467" s="13">
        <v>480.35</v>
      </c>
      <c r="BF467" s="11">
        <v>23</v>
      </c>
      <c r="BG467" s="11"/>
      <c r="BH467" s="13"/>
      <c r="BI467" s="11"/>
      <c r="BJ467" s="12"/>
      <c r="BK467" s="12"/>
      <c r="BL467" s="11">
        <v>132</v>
      </c>
      <c r="BM467" s="13">
        <v>11706.81</v>
      </c>
      <c r="BN467" s="11">
        <v>28</v>
      </c>
      <c r="BO467" s="11"/>
      <c r="BP467" s="13"/>
      <c r="BQ467" s="11"/>
      <c r="BR467" s="12"/>
      <c r="BS467" s="12"/>
      <c r="BT467" s="11">
        <v>266</v>
      </c>
      <c r="BU467" s="13">
        <v>17551.52</v>
      </c>
      <c r="BV467" s="11">
        <v>29</v>
      </c>
      <c r="BW467" s="11"/>
      <c r="BX467" s="13"/>
      <c r="BY467" s="11"/>
      <c r="BZ467" s="12"/>
      <c r="CA467" s="12"/>
      <c r="CB467" s="11">
        <v>28</v>
      </c>
      <c r="CC467" s="13">
        <v>1459.77</v>
      </c>
      <c r="CD467" s="11">
        <v>20</v>
      </c>
      <c r="CE467" s="11"/>
      <c r="CF467" s="13"/>
      <c r="CG467" s="11"/>
      <c r="CH467" s="12"/>
      <c r="CI467" s="12"/>
      <c r="CJ467" s="11"/>
      <c r="CK467" s="13"/>
      <c r="CL467" s="11">
        <v>28</v>
      </c>
      <c r="CM467" s="11"/>
      <c r="CN467" s="13"/>
      <c r="CO467" s="11"/>
      <c r="CP467" s="12"/>
      <c r="CQ467" s="12"/>
      <c r="CR467" s="11"/>
      <c r="CS467" s="13"/>
      <c r="CT467" s="11"/>
      <c r="CU467" s="11"/>
      <c r="CV467" s="13"/>
      <c r="CW467" s="11"/>
      <c r="CX467" s="12"/>
      <c r="CY467" s="12"/>
      <c r="CZ467" s="11">
        <v>57</v>
      </c>
      <c r="DA467" s="13">
        <v>3687.38</v>
      </c>
      <c r="DB467" s="11">
        <v>15</v>
      </c>
      <c r="DC467" s="11"/>
      <c r="DD467" s="13"/>
      <c r="DE467" s="11"/>
      <c r="DF467" s="12"/>
      <c r="DG467" s="12"/>
      <c r="DH467" s="11">
        <v>3</v>
      </c>
      <c r="DI467" s="13">
        <v>298.34</v>
      </c>
      <c r="DJ467" s="11">
        <v>2</v>
      </c>
      <c r="DK467" s="11"/>
      <c r="DL467" s="13"/>
      <c r="DM467" s="11"/>
      <c r="DN467" s="12"/>
      <c r="DO467" s="12"/>
      <c r="DP467" s="11"/>
      <c r="DQ467" s="13"/>
      <c r="DR467" s="11"/>
      <c r="DS467" s="11"/>
      <c r="DT467" s="13"/>
      <c r="DU467" s="11"/>
      <c r="DV467" s="12"/>
      <c r="DW467" s="12"/>
      <c r="DX467" s="11">
        <v>43</v>
      </c>
      <c r="DY467" s="13">
        <v>2860.91</v>
      </c>
      <c r="DZ467" s="11">
        <v>29</v>
      </c>
      <c r="EA467" s="11"/>
      <c r="EB467" s="13"/>
      <c r="EC467" s="11"/>
      <c r="ED467" s="12"/>
      <c r="EE467" s="12"/>
      <c r="EF467" s="11"/>
      <c r="EG467" s="13"/>
      <c r="EH467" s="11"/>
      <c r="EI467" s="11"/>
      <c r="EJ467" s="13"/>
      <c r="EK467" s="11"/>
      <c r="EL467" s="12"/>
      <c r="EM467" s="12"/>
      <c r="EN467" s="11">
        <v>9</v>
      </c>
      <c r="EO467" s="13">
        <v>719.91</v>
      </c>
      <c r="EP467" s="11">
        <v>29</v>
      </c>
      <c r="EQ467" s="11"/>
      <c r="ER467" s="13"/>
      <c r="ES467" s="11"/>
      <c r="ET467" s="12"/>
      <c r="EU467" s="12"/>
      <c r="EV467" s="11"/>
      <c r="EW467" s="13"/>
      <c r="EX467" s="11"/>
      <c r="EY467" s="11"/>
      <c r="EZ467" s="13"/>
      <c r="FA467" s="11"/>
      <c r="FB467" s="12"/>
      <c r="FC467" s="12"/>
      <c r="FD467" s="11"/>
      <c r="FE467" s="13"/>
      <c r="FF467" s="11"/>
      <c r="FG467" s="11"/>
      <c r="FH467" s="13"/>
      <c r="FI467" s="11"/>
      <c r="FJ467" s="12"/>
      <c r="FK467" s="12"/>
      <c r="FL467" s="11">
        <v>28</v>
      </c>
      <c r="FM467" s="13">
        <v>1337.19</v>
      </c>
      <c r="FN467" s="11">
        <v>12</v>
      </c>
      <c r="FO467" s="11"/>
      <c r="FP467" s="13"/>
      <c r="FQ467" s="11"/>
      <c r="FR467" s="12"/>
      <c r="FS467" s="12"/>
      <c r="FT467" s="11">
        <v>43</v>
      </c>
      <c r="FU467" s="13">
        <v>2898.57</v>
      </c>
      <c r="FV467" s="11">
        <v>22</v>
      </c>
      <c r="FW467" s="11"/>
      <c r="FX467" s="13"/>
      <c r="FY467" s="11"/>
      <c r="FZ467" s="12"/>
      <c r="GA467" s="12"/>
      <c r="GB467" s="11">
        <v>27</v>
      </c>
      <c r="GC467" s="13">
        <v>1560.96</v>
      </c>
      <c r="GD467" s="11">
        <v>21</v>
      </c>
      <c r="GE467" s="11"/>
      <c r="GF467" s="13"/>
      <c r="GG467" s="11"/>
      <c r="GH467" s="12"/>
      <c r="GI467" s="12"/>
      <c r="GJ467" s="11"/>
      <c r="GK467" s="13"/>
      <c r="GL467" s="11"/>
      <c r="GM467" s="11"/>
      <c r="GN467" s="13"/>
      <c r="GO467" s="11"/>
      <c r="GP467" s="12"/>
      <c r="GQ467" s="12"/>
      <c r="GR467" s="11">
        <v>10</v>
      </c>
      <c r="GS467" s="13">
        <v>749.24</v>
      </c>
      <c r="GT467" s="11">
        <v>18</v>
      </c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/>
      <c r="HK467" s="11"/>
      <c r="HL467" s="13"/>
      <c r="HM467" s="11"/>
      <c r="HN467" s="12"/>
      <c r="HO467" s="12"/>
      <c r="HP467" s="11"/>
      <c r="HQ467" s="13"/>
      <c r="HR467" s="11"/>
      <c r="HS467" s="11"/>
      <c r="HT467" s="13"/>
      <c r="HU467" s="11"/>
      <c r="HV467" s="12"/>
      <c r="HW467" s="12"/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/>
      <c r="JO467" s="11"/>
      <c r="JP467" s="13"/>
      <c r="JQ467" s="11"/>
      <c r="JR467" s="12"/>
      <c r="JS467" s="12"/>
      <c r="JT467" s="11"/>
      <c r="JU467" s="13"/>
      <c r="JV467" s="11"/>
      <c r="JW467" s="11"/>
      <c r="JX467" s="13"/>
      <c r="JY467" s="11"/>
      <c r="JZ467" s="12"/>
      <c r="KA467" s="12"/>
      <c r="KB467" s="11"/>
      <c r="KC467" s="13"/>
      <c r="KD467" s="11"/>
      <c r="KE467" s="11"/>
      <c r="KF467" s="13"/>
      <c r="KG467" s="11"/>
      <c r="KH467" s="12"/>
      <c r="KI467" s="12"/>
      <c r="KJ467" s="11"/>
      <c r="KK467" s="13"/>
      <c r="KL467" s="11"/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  <c r="LH467" s="11"/>
      <c r="LI467" s="13"/>
      <c r="LJ467" s="11"/>
      <c r="LK467" s="11"/>
      <c r="LL467" s="13"/>
      <c r="LM467" s="11"/>
      <c r="LN467" s="12"/>
      <c r="LO467" s="12"/>
      <c r="LP467" s="11"/>
      <c r="LQ467" s="13"/>
      <c r="LR467" s="11"/>
      <c r="LS467" s="11"/>
      <c r="LT467" s="13"/>
      <c r="LU467" s="11"/>
      <c r="LV467" s="12"/>
      <c r="LW467" s="12"/>
    </row>
    <row r="468">
      <c r="A468" s="10" t="s">
        <v>249</v>
      </c>
      <c r="B468" s="10" t="s">
        <v>108</v>
      </c>
      <c r="C468" s="10" t="s">
        <v>77</v>
      </c>
      <c r="D468" s="11">
        <v>8838</v>
      </c>
      <c r="E468" s="11">
        <f>=ROUNDDOWN({0},0)</f>
      </c>
      <c r="F468" s="11">
        <v>2550</v>
      </c>
      <c r="G468" s="12"/>
      <c r="H468" s="11"/>
      <c r="I468" s="11">
        <f>=ROUNDDOWN({0},0)</f>
      </c>
      <c r="J468" s="11"/>
      <c r="K468" s="12"/>
      <c r="L468" s="11">
        <v>3525</v>
      </c>
      <c r="M468" s="13">
        <v>267596.64</v>
      </c>
      <c r="N468" s="11">
        <v>76</v>
      </c>
      <c r="O468" s="14">
        <v>3521.01</v>
      </c>
      <c r="P468" s="11"/>
      <c r="Q468" s="13"/>
      <c r="R468" s="11"/>
      <c r="S468" s="14"/>
      <c r="T468" s="12"/>
      <c r="U468" s="12"/>
      <c r="V468" s="12"/>
      <c r="W468" s="12"/>
      <c r="X468" s="11">
        <v>1129</v>
      </c>
      <c r="Y468" s="13">
        <v>80294.86</v>
      </c>
      <c r="Z468" s="11">
        <v>39</v>
      </c>
      <c r="AA468" s="11"/>
      <c r="AB468" s="13"/>
      <c r="AC468" s="11"/>
      <c r="AD468" s="12"/>
      <c r="AE468" s="12"/>
      <c r="AF468" s="11">
        <v>666</v>
      </c>
      <c r="AG468" s="13">
        <v>49325.41</v>
      </c>
      <c r="AH468" s="11">
        <v>74</v>
      </c>
      <c r="AI468" s="11"/>
      <c r="AJ468" s="13"/>
      <c r="AK468" s="11"/>
      <c r="AL468" s="12"/>
      <c r="AM468" s="12"/>
      <c r="AN468" s="11">
        <v>122</v>
      </c>
      <c r="AO468" s="13">
        <v>8146</v>
      </c>
      <c r="AP468" s="11">
        <v>76</v>
      </c>
      <c r="AQ468" s="11"/>
      <c r="AR468" s="13"/>
      <c r="AS468" s="11"/>
      <c r="AT468" s="12"/>
      <c r="AU468" s="12"/>
      <c r="AV468" s="11">
        <v>202</v>
      </c>
      <c r="AW468" s="13">
        <v>18987.36</v>
      </c>
      <c r="AX468" s="11">
        <v>57</v>
      </c>
      <c r="AY468" s="11"/>
      <c r="AZ468" s="13"/>
      <c r="BA468" s="11"/>
      <c r="BB468" s="12"/>
      <c r="BC468" s="12"/>
      <c r="BD468" s="11">
        <v>31</v>
      </c>
      <c r="BE468" s="13">
        <v>2280.64</v>
      </c>
      <c r="BF468" s="11">
        <v>65</v>
      </c>
      <c r="BG468" s="11"/>
      <c r="BH468" s="13"/>
      <c r="BI468" s="11"/>
      <c r="BJ468" s="12"/>
      <c r="BK468" s="12"/>
      <c r="BL468" s="11">
        <v>310</v>
      </c>
      <c r="BM468" s="13">
        <v>28283.8</v>
      </c>
      <c r="BN468" s="11">
        <v>74</v>
      </c>
      <c r="BO468" s="11"/>
      <c r="BP468" s="13"/>
      <c r="BQ468" s="11"/>
      <c r="BR468" s="12"/>
      <c r="BS468" s="12"/>
      <c r="BT468" s="11">
        <v>431</v>
      </c>
      <c r="BU468" s="13">
        <v>33224.11</v>
      </c>
      <c r="BV468" s="11">
        <v>76</v>
      </c>
      <c r="BW468" s="11"/>
      <c r="BX468" s="13"/>
      <c r="BY468" s="11"/>
      <c r="BZ468" s="12"/>
      <c r="CA468" s="12"/>
      <c r="CB468" s="11">
        <v>43</v>
      </c>
      <c r="CC468" s="13">
        <v>2729.1</v>
      </c>
      <c r="CD468" s="11">
        <v>48</v>
      </c>
      <c r="CE468" s="11"/>
      <c r="CF468" s="13"/>
      <c r="CG468" s="11"/>
      <c r="CH468" s="12"/>
      <c r="CI468" s="12"/>
      <c r="CJ468" s="11"/>
      <c r="CK468" s="13"/>
      <c r="CL468" s="11">
        <v>70</v>
      </c>
      <c r="CM468" s="11"/>
      <c r="CN468" s="13"/>
      <c r="CO468" s="11"/>
      <c r="CP468" s="12"/>
      <c r="CQ468" s="12"/>
      <c r="CR468" s="11"/>
      <c r="CS468" s="13"/>
      <c r="CT468" s="11"/>
      <c r="CU468" s="11"/>
      <c r="CV468" s="13"/>
      <c r="CW468" s="11"/>
      <c r="CX468" s="12"/>
      <c r="CY468" s="12"/>
      <c r="CZ468" s="11">
        <v>126</v>
      </c>
      <c r="DA468" s="13">
        <v>9062.44</v>
      </c>
      <c r="DB468" s="11">
        <v>28</v>
      </c>
      <c r="DC468" s="11"/>
      <c r="DD468" s="13"/>
      <c r="DE468" s="11"/>
      <c r="DF468" s="12"/>
      <c r="DG468" s="12"/>
      <c r="DH468" s="11">
        <v>3</v>
      </c>
      <c r="DI468" s="13">
        <v>298.34</v>
      </c>
      <c r="DJ468" s="11">
        <v>5</v>
      </c>
      <c r="DK468" s="11"/>
      <c r="DL468" s="13"/>
      <c r="DM468" s="11"/>
      <c r="DN468" s="12"/>
      <c r="DO468" s="12"/>
      <c r="DP468" s="11"/>
      <c r="DQ468" s="13"/>
      <c r="DR468" s="11"/>
      <c r="DS468" s="11"/>
      <c r="DT468" s="13"/>
      <c r="DU468" s="11"/>
      <c r="DV468" s="12"/>
      <c r="DW468" s="12"/>
      <c r="DX468" s="11">
        <v>137</v>
      </c>
      <c r="DY468" s="13">
        <v>9192.79</v>
      </c>
      <c r="DZ468" s="11">
        <v>56</v>
      </c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>
        <v>11</v>
      </c>
      <c r="EO468" s="13">
        <v>957.39</v>
      </c>
      <c r="EP468" s="11">
        <v>76</v>
      </c>
      <c r="EQ468" s="11"/>
      <c r="ER468" s="13"/>
      <c r="ES468" s="11"/>
      <c r="ET468" s="12"/>
      <c r="EU468" s="12"/>
      <c r="EV468" s="11"/>
      <c r="EW468" s="13"/>
      <c r="EX468" s="11"/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>
        <v>67</v>
      </c>
      <c r="FM468" s="13">
        <v>4676.09</v>
      </c>
      <c r="FN468" s="11">
        <v>34</v>
      </c>
      <c r="FO468" s="11"/>
      <c r="FP468" s="13"/>
      <c r="FQ468" s="11"/>
      <c r="FR468" s="12"/>
      <c r="FS468" s="12"/>
      <c r="FT468" s="11">
        <v>59</v>
      </c>
      <c r="FU468" s="13">
        <v>4420.02</v>
      </c>
      <c r="FV468" s="11">
        <v>48</v>
      </c>
      <c r="FW468" s="11"/>
      <c r="FX468" s="13"/>
      <c r="FY468" s="11"/>
      <c r="FZ468" s="12"/>
      <c r="GA468" s="12"/>
      <c r="GB468" s="11">
        <v>52</v>
      </c>
      <c r="GC468" s="13">
        <v>4587.04</v>
      </c>
      <c r="GD468" s="11">
        <v>43</v>
      </c>
      <c r="GE468" s="11"/>
      <c r="GF468" s="13"/>
      <c r="GG468" s="11"/>
      <c r="GH468" s="12"/>
      <c r="GI468" s="12"/>
      <c r="GJ468" s="11">
        <v>79</v>
      </c>
      <c r="GK468" s="13">
        <v>6688.33</v>
      </c>
      <c r="GL468" s="11">
        <v>18</v>
      </c>
      <c r="GM468" s="11"/>
      <c r="GN468" s="13"/>
      <c r="GO468" s="11"/>
      <c r="GP468" s="12"/>
      <c r="GQ468" s="12"/>
      <c r="GR468" s="11">
        <v>57</v>
      </c>
      <c r="GS468" s="13">
        <v>4442.92</v>
      </c>
      <c r="GT468" s="11">
        <v>51</v>
      </c>
      <c r="GU468" s="11"/>
      <c r="GV468" s="13"/>
      <c r="GW468" s="11"/>
      <c r="GX468" s="12"/>
      <c r="GY468" s="12"/>
      <c r="GZ468" s="11"/>
      <c r="HA468" s="13"/>
      <c r="HB468" s="11"/>
      <c r="HC468" s="11"/>
      <c r="HD468" s="13"/>
      <c r="HE468" s="11"/>
      <c r="HF468" s="12"/>
      <c r="HG468" s="12"/>
      <c r="HH468" s="11"/>
      <c r="HI468" s="13"/>
      <c r="HJ468" s="11"/>
      <c r="HK468" s="11"/>
      <c r="HL468" s="13"/>
      <c r="HM468" s="11"/>
      <c r="HN468" s="12"/>
      <c r="HO468" s="12"/>
      <c r="HP468" s="11"/>
      <c r="HQ468" s="13"/>
      <c r="HR468" s="11"/>
      <c r="HS468" s="11"/>
      <c r="HT468" s="13"/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/>
      <c r="JP468" s="13"/>
      <c r="JQ468" s="11"/>
      <c r="JR468" s="12"/>
      <c r="JS468" s="12"/>
      <c r="JT468" s="11"/>
      <c r="JU468" s="13"/>
      <c r="JV468" s="11"/>
      <c r="JW468" s="11"/>
      <c r="JX468" s="13"/>
      <c r="JY468" s="11"/>
      <c r="JZ468" s="12"/>
      <c r="KA468" s="12"/>
      <c r="KB468" s="11"/>
      <c r="KC468" s="13"/>
      <c r="KD468" s="11"/>
      <c r="KE468" s="11"/>
      <c r="KF468" s="13"/>
      <c r="KG468" s="11"/>
      <c r="KH468" s="12"/>
      <c r="KI468" s="12"/>
      <c r="KJ468" s="11"/>
      <c r="KK468" s="13"/>
      <c r="KL468" s="11"/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  <c r="LH468" s="11"/>
      <c r="LI468" s="13"/>
      <c r="LJ468" s="11"/>
      <c r="LK468" s="11"/>
      <c r="LL468" s="13"/>
      <c r="LM468" s="11"/>
      <c r="LN468" s="12"/>
      <c r="LO468" s="12"/>
      <c r="LP468" s="11"/>
      <c r="LQ468" s="13"/>
      <c r="LR468" s="11"/>
      <c r="LS468" s="11"/>
      <c r="LT468" s="13"/>
      <c r="LU468" s="11"/>
      <c r="LV468" s="12"/>
      <c r="LW468" s="12"/>
    </row>
    <row r="469">
      <c r="A469" s="10" t="s">
        <v>249</v>
      </c>
      <c r="B469" s="10" t="s">
        <v>163</v>
      </c>
      <c r="C469" s="10" t="s">
        <v>250</v>
      </c>
      <c r="D469" s="11">
        <v>133</v>
      </c>
      <c r="E469" s="11">
        <f>=ROUNDDOWN(44.3333333333333,0)</f>
      </c>
      <c r="F469" s="11"/>
      <c r="G469" s="12"/>
      <c r="H469" s="11"/>
      <c r="I469" s="11">
        <f>=ROUNDDOWN({0},0)</f>
      </c>
      <c r="J469" s="11"/>
      <c r="K469" s="12"/>
      <c r="L469" s="11">
        <v>19</v>
      </c>
      <c r="M469" s="13">
        <v>1287.33</v>
      </c>
      <c r="N469" s="11">
        <v>2</v>
      </c>
      <c r="O469" s="14">
        <v>643.66</v>
      </c>
      <c r="P469" s="11"/>
      <c r="Q469" s="13"/>
      <c r="R469" s="11"/>
      <c r="S469" s="14"/>
      <c r="T469" s="12"/>
      <c r="U469" s="12"/>
      <c r="V469" s="12"/>
      <c r="W469" s="12"/>
      <c r="X469" s="11">
        <v>10</v>
      </c>
      <c r="Y469" s="13">
        <v>796.9</v>
      </c>
      <c r="Z469" s="11">
        <v>2</v>
      </c>
      <c r="AA469" s="11"/>
      <c r="AB469" s="13"/>
      <c r="AC469" s="11"/>
      <c r="AD469" s="12"/>
      <c r="AE469" s="12"/>
      <c r="AF469" s="11">
        <v>7</v>
      </c>
      <c r="AG469" s="13">
        <v>268.6</v>
      </c>
      <c r="AH469" s="11">
        <v>2</v>
      </c>
      <c r="AI469" s="11"/>
      <c r="AJ469" s="13"/>
      <c r="AK469" s="11"/>
      <c r="AL469" s="12"/>
      <c r="AM469" s="12"/>
      <c r="AN469" s="11"/>
      <c r="AO469" s="13"/>
      <c r="AP469" s="11">
        <v>2</v>
      </c>
      <c r="AQ469" s="11"/>
      <c r="AR469" s="13"/>
      <c r="AS469" s="11"/>
      <c r="AT469" s="12"/>
      <c r="AU469" s="12"/>
      <c r="AV469" s="11"/>
      <c r="AW469" s="13"/>
      <c r="AX469" s="11"/>
      <c r="AY469" s="11"/>
      <c r="AZ469" s="13"/>
      <c r="BA469" s="11"/>
      <c r="BB469" s="12"/>
      <c r="BC469" s="12"/>
      <c r="BD469" s="11">
        <v>1</v>
      </c>
      <c r="BE469" s="13">
        <v>92.78</v>
      </c>
      <c r="BF469" s="11">
        <v>2</v>
      </c>
      <c r="BG469" s="11"/>
      <c r="BH469" s="13"/>
      <c r="BI469" s="11"/>
      <c r="BJ469" s="12"/>
      <c r="BK469" s="12"/>
      <c r="BL469" s="11"/>
      <c r="BM469" s="13"/>
      <c r="BN469" s="11">
        <v>2</v>
      </c>
      <c r="BO469" s="11"/>
      <c r="BP469" s="13"/>
      <c r="BQ469" s="11"/>
      <c r="BR469" s="12"/>
      <c r="BS469" s="12"/>
      <c r="BT469" s="11">
        <v>1</v>
      </c>
      <c r="BU469" s="13">
        <v>129.05</v>
      </c>
      <c r="BV469" s="11">
        <v>2</v>
      </c>
      <c r="BW469" s="11"/>
      <c r="BX469" s="13"/>
      <c r="BY469" s="11"/>
      <c r="BZ469" s="12"/>
      <c r="CA469" s="12"/>
      <c r="CB469" s="11"/>
      <c r="CC469" s="13"/>
      <c r="CD469" s="11">
        <v>2</v>
      </c>
      <c r="CE469" s="11"/>
      <c r="CF469" s="13"/>
      <c r="CG469" s="11"/>
      <c r="CH469" s="12"/>
      <c r="CI469" s="12"/>
      <c r="CJ469" s="11"/>
      <c r="CK469" s="13"/>
      <c r="CL469" s="11"/>
      <c r="CM469" s="11"/>
      <c r="CN469" s="13"/>
      <c r="CO469" s="11"/>
      <c r="CP469" s="12"/>
      <c r="CQ469" s="12"/>
      <c r="CR469" s="11"/>
      <c r="CS469" s="13"/>
      <c r="CT469" s="11"/>
      <c r="CU469" s="11"/>
      <c r="CV469" s="13"/>
      <c r="CW469" s="11"/>
      <c r="CX469" s="12"/>
      <c r="CY469" s="12"/>
      <c r="CZ469" s="11"/>
      <c r="DA469" s="13"/>
      <c r="DB469" s="11">
        <v>2</v>
      </c>
      <c r="DC469" s="11"/>
      <c r="DD469" s="13"/>
      <c r="DE469" s="11"/>
      <c r="DF469" s="12"/>
      <c r="DG469" s="12"/>
      <c r="DH469" s="11"/>
      <c r="DI469" s="13"/>
      <c r="DJ469" s="11"/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>
        <v>2</v>
      </c>
      <c r="EQ469" s="11"/>
      <c r="ER469" s="13"/>
      <c r="ES469" s="11"/>
      <c r="ET469" s="12"/>
      <c r="EU469" s="12"/>
      <c r="EV469" s="11"/>
      <c r="EW469" s="13"/>
      <c r="EX469" s="11"/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/>
      <c r="FO469" s="11"/>
      <c r="FP469" s="13"/>
      <c r="FQ469" s="11"/>
      <c r="FR469" s="12"/>
      <c r="FS469" s="12"/>
      <c r="FT469" s="11"/>
      <c r="FU469" s="13"/>
      <c r="FV469" s="11">
        <v>2</v>
      </c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>
        <v>1</v>
      </c>
      <c r="GM469" s="11"/>
      <c r="GN469" s="13"/>
      <c r="GO469" s="11"/>
      <c r="GP469" s="12"/>
      <c r="GQ469" s="12"/>
      <c r="GR469" s="11"/>
      <c r="GS469" s="13"/>
      <c r="GT469" s="11">
        <v>2</v>
      </c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/>
      <c r="HK469" s="11"/>
      <c r="HL469" s="13"/>
      <c r="HM469" s="11"/>
      <c r="HN469" s="12"/>
      <c r="HO469" s="12"/>
      <c r="HP469" s="11"/>
      <c r="HQ469" s="13"/>
      <c r="HR469" s="11"/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/>
      <c r="JP469" s="13"/>
      <c r="JQ469" s="11"/>
      <c r="JR469" s="12"/>
      <c r="JS469" s="12"/>
      <c r="JT469" s="11"/>
      <c r="JU469" s="13"/>
      <c r="JV469" s="11"/>
      <c r="JW469" s="11"/>
      <c r="JX469" s="13"/>
      <c r="JY469" s="11"/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/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  <c r="LH469" s="11"/>
      <c r="LI469" s="13"/>
      <c r="LJ469" s="11"/>
      <c r="LK469" s="11"/>
      <c r="LL469" s="13"/>
      <c r="LM469" s="11"/>
      <c r="LN469" s="12"/>
      <c r="LO469" s="12"/>
      <c r="LP469" s="11"/>
      <c r="LQ469" s="13"/>
      <c r="LR469" s="11"/>
      <c r="LS469" s="11"/>
      <c r="LT469" s="13"/>
      <c r="LU469" s="11"/>
      <c r="LV469" s="12"/>
      <c r="LW469" s="12"/>
    </row>
    <row r="470">
      <c r="A470" s="10" t="s">
        <v>249</v>
      </c>
      <c r="B470" s="10" t="s">
        <v>163</v>
      </c>
      <c r="C470" s="10" t="s">
        <v>251</v>
      </c>
      <c r="D470" s="11">
        <v>105</v>
      </c>
      <c r="E470" s="11">
        <f>=ROUNDDOWN(33.8709677419355,0)</f>
      </c>
      <c r="F470" s="11"/>
      <c r="G470" s="12"/>
      <c r="H470" s="11"/>
      <c r="I470" s="11">
        <f>=ROUNDDOWN({0},0)</f>
      </c>
      <c r="J470" s="11"/>
      <c r="K470" s="12"/>
      <c r="L470" s="11">
        <v>30</v>
      </c>
      <c r="M470" s="13">
        <v>2819.83</v>
      </c>
      <c r="N470" s="11">
        <v>5</v>
      </c>
      <c r="O470" s="14">
        <v>563.97</v>
      </c>
      <c r="P470" s="11"/>
      <c r="Q470" s="13"/>
      <c r="R470" s="11"/>
      <c r="S470" s="14"/>
      <c r="T470" s="12"/>
      <c r="U470" s="12"/>
      <c r="V470" s="12"/>
      <c r="W470" s="12"/>
      <c r="X470" s="11">
        <v>4</v>
      </c>
      <c r="Y470" s="13">
        <v>465.52</v>
      </c>
      <c r="Z470" s="11">
        <v>4</v>
      </c>
      <c r="AA470" s="11"/>
      <c r="AB470" s="13"/>
      <c r="AC470" s="11"/>
      <c r="AD470" s="12"/>
      <c r="AE470" s="12"/>
      <c r="AF470" s="11">
        <v>8</v>
      </c>
      <c r="AG470" s="13">
        <v>607.47</v>
      </c>
      <c r="AH470" s="11">
        <v>5</v>
      </c>
      <c r="AI470" s="11"/>
      <c r="AJ470" s="13"/>
      <c r="AK470" s="11"/>
      <c r="AL470" s="12"/>
      <c r="AM470" s="12"/>
      <c r="AN470" s="11">
        <v>2</v>
      </c>
      <c r="AO470" s="13">
        <v>172.32</v>
      </c>
      <c r="AP470" s="11">
        <v>5</v>
      </c>
      <c r="AQ470" s="11"/>
      <c r="AR470" s="13"/>
      <c r="AS470" s="11"/>
      <c r="AT470" s="12"/>
      <c r="AU470" s="12"/>
      <c r="AV470" s="11">
        <v>2</v>
      </c>
      <c r="AW470" s="13">
        <v>216.85</v>
      </c>
      <c r="AX470" s="11">
        <v>4</v>
      </c>
      <c r="AY470" s="11"/>
      <c r="AZ470" s="13"/>
      <c r="BA470" s="11"/>
      <c r="BB470" s="12"/>
      <c r="BC470" s="12"/>
      <c r="BD470" s="11"/>
      <c r="BE470" s="13"/>
      <c r="BF470" s="11">
        <v>5</v>
      </c>
      <c r="BG470" s="11"/>
      <c r="BH470" s="13"/>
      <c r="BI470" s="11"/>
      <c r="BJ470" s="12"/>
      <c r="BK470" s="12"/>
      <c r="BL470" s="11">
        <v>4</v>
      </c>
      <c r="BM470" s="13">
        <v>392.72</v>
      </c>
      <c r="BN470" s="11">
        <v>5</v>
      </c>
      <c r="BO470" s="11"/>
      <c r="BP470" s="13"/>
      <c r="BQ470" s="11"/>
      <c r="BR470" s="12"/>
      <c r="BS470" s="12"/>
      <c r="BT470" s="11">
        <v>5</v>
      </c>
      <c r="BU470" s="13">
        <v>489.69</v>
      </c>
      <c r="BV470" s="11">
        <v>5</v>
      </c>
      <c r="BW470" s="11"/>
      <c r="BX470" s="13"/>
      <c r="BY470" s="11"/>
      <c r="BZ470" s="12"/>
      <c r="CA470" s="12"/>
      <c r="CB470" s="11">
        <v>3</v>
      </c>
      <c r="CC470" s="13">
        <v>287.84</v>
      </c>
      <c r="CD470" s="11">
        <v>5</v>
      </c>
      <c r="CE470" s="11"/>
      <c r="CF470" s="13"/>
      <c r="CG470" s="11"/>
      <c r="CH470" s="12"/>
      <c r="CI470" s="12"/>
      <c r="CJ470" s="11"/>
      <c r="CK470" s="13"/>
      <c r="CL470" s="11"/>
      <c r="CM470" s="11"/>
      <c r="CN470" s="13"/>
      <c r="CO470" s="11"/>
      <c r="CP470" s="12"/>
      <c r="CQ470" s="12"/>
      <c r="CR470" s="11"/>
      <c r="CS470" s="13"/>
      <c r="CT470" s="11"/>
      <c r="CU470" s="11"/>
      <c r="CV470" s="13"/>
      <c r="CW470" s="11"/>
      <c r="CX470" s="12"/>
      <c r="CY470" s="12"/>
      <c r="CZ470" s="11">
        <v>2</v>
      </c>
      <c r="DA470" s="13">
        <v>187.42</v>
      </c>
      <c r="DB470" s="11">
        <v>1</v>
      </c>
      <c r="DC470" s="11"/>
      <c r="DD470" s="13"/>
      <c r="DE470" s="11"/>
      <c r="DF470" s="12"/>
      <c r="DG470" s="12"/>
      <c r="DH470" s="11"/>
      <c r="DI470" s="13"/>
      <c r="DJ470" s="11"/>
      <c r="DK470" s="11"/>
      <c r="DL470" s="13"/>
      <c r="DM470" s="11"/>
      <c r="DN470" s="12"/>
      <c r="DO470" s="12"/>
      <c r="DP470" s="11"/>
      <c r="DQ470" s="13"/>
      <c r="DR470" s="11"/>
      <c r="DS470" s="11"/>
      <c r="DT470" s="13"/>
      <c r="DU470" s="11"/>
      <c r="DV470" s="12"/>
      <c r="DW470" s="12"/>
      <c r="DX470" s="11"/>
      <c r="DY470" s="13"/>
      <c r="DZ470" s="11">
        <v>4</v>
      </c>
      <c r="EA470" s="11"/>
      <c r="EB470" s="13"/>
      <c r="EC470" s="11"/>
      <c r="ED470" s="12"/>
      <c r="EE470" s="12"/>
      <c r="EF470" s="11"/>
      <c r="EG470" s="13"/>
      <c r="EH470" s="11"/>
      <c r="EI470" s="11"/>
      <c r="EJ470" s="13"/>
      <c r="EK470" s="11"/>
      <c r="EL470" s="12"/>
      <c r="EM470" s="12"/>
      <c r="EN470" s="11"/>
      <c r="EO470" s="13"/>
      <c r="EP470" s="11">
        <v>5</v>
      </c>
      <c r="EQ470" s="11"/>
      <c r="ER470" s="13"/>
      <c r="ES470" s="11"/>
      <c r="ET470" s="12"/>
      <c r="EU470" s="12"/>
      <c r="EV470" s="11"/>
      <c r="EW470" s="13"/>
      <c r="EX470" s="11"/>
      <c r="EY470" s="11"/>
      <c r="EZ470" s="13"/>
      <c r="FA470" s="11"/>
      <c r="FB470" s="12"/>
      <c r="FC470" s="12"/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>
        <v>2</v>
      </c>
      <c r="FO470" s="11"/>
      <c r="FP470" s="13"/>
      <c r="FQ470" s="11"/>
      <c r="FR470" s="12"/>
      <c r="FS470" s="12"/>
      <c r="FT470" s="11"/>
      <c r="FU470" s="13"/>
      <c r="FV470" s="11">
        <v>5</v>
      </c>
      <c r="FW470" s="11"/>
      <c r="FX470" s="13"/>
      <c r="FY470" s="11"/>
      <c r="FZ470" s="12"/>
      <c r="GA470" s="12"/>
      <c r="GB470" s="11"/>
      <c r="GC470" s="13"/>
      <c r="GD470" s="11"/>
      <c r="GE470" s="11"/>
      <c r="GF470" s="13"/>
      <c r="GG470" s="11"/>
      <c r="GH470" s="12"/>
      <c r="GI470" s="12"/>
      <c r="GJ470" s="11"/>
      <c r="GK470" s="13"/>
      <c r="GL470" s="11"/>
      <c r="GM470" s="11"/>
      <c r="GN470" s="13"/>
      <c r="GO470" s="11"/>
      <c r="GP470" s="12"/>
      <c r="GQ470" s="12"/>
      <c r="GR470" s="11"/>
      <c r="GS470" s="13"/>
      <c r="GT470" s="11">
        <v>4</v>
      </c>
      <c r="GU470" s="11"/>
      <c r="GV470" s="13"/>
      <c r="GW470" s="11"/>
      <c r="GX470" s="12"/>
      <c r="GY470" s="12"/>
      <c r="GZ470" s="11"/>
      <c r="HA470" s="13"/>
      <c r="HB470" s="11"/>
      <c r="HC470" s="11"/>
      <c r="HD470" s="13"/>
      <c r="HE470" s="11"/>
      <c r="HF470" s="12"/>
      <c r="HG470" s="12"/>
      <c r="HH470" s="11"/>
      <c r="HI470" s="13"/>
      <c r="HJ470" s="11"/>
      <c r="HK470" s="11"/>
      <c r="HL470" s="13"/>
      <c r="HM470" s="11"/>
      <c r="HN470" s="12"/>
      <c r="HO470" s="12"/>
      <c r="HP470" s="11"/>
      <c r="HQ470" s="13"/>
      <c r="HR470" s="11"/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/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/>
      <c r="JO470" s="11"/>
      <c r="JP470" s="13"/>
      <c r="JQ470" s="11"/>
      <c r="JR470" s="12"/>
      <c r="JS470" s="12"/>
      <c r="JT470" s="11"/>
      <c r="JU470" s="13"/>
      <c r="JV470" s="11"/>
      <c r="JW470" s="11"/>
      <c r="JX470" s="13"/>
      <c r="JY470" s="11"/>
      <c r="JZ470" s="12"/>
      <c r="KA470" s="12"/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/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  <c r="LH470" s="11"/>
      <c r="LI470" s="13"/>
      <c r="LJ470" s="11"/>
      <c r="LK470" s="11"/>
      <c r="LL470" s="13"/>
      <c r="LM470" s="11"/>
      <c r="LN470" s="12"/>
      <c r="LO470" s="12"/>
      <c r="LP470" s="11"/>
      <c r="LQ470" s="13"/>
      <c r="LR470" s="11"/>
      <c r="LS470" s="11"/>
      <c r="LT470" s="13"/>
      <c r="LU470" s="11"/>
      <c r="LV470" s="12"/>
      <c r="LW470" s="12"/>
    </row>
    <row r="471">
      <c r="A471" s="10" t="s">
        <v>249</v>
      </c>
      <c r="B471" s="10" t="s">
        <v>163</v>
      </c>
      <c r="C471" s="10" t="s">
        <v>253</v>
      </c>
      <c r="D471" s="11">
        <v>140</v>
      </c>
      <c r="E471" s="11">
        <f>=ROUNDDOWN(24.1379310344828,0)</f>
      </c>
      <c r="F471" s="11"/>
      <c r="G471" s="12"/>
      <c r="H471" s="11"/>
      <c r="I471" s="11">
        <f>=ROUNDDOWN({0},0)</f>
      </c>
      <c r="J471" s="11"/>
      <c r="K471" s="12"/>
      <c r="L471" s="11">
        <v>59</v>
      </c>
      <c r="M471" s="13">
        <v>4038.27</v>
      </c>
      <c r="N471" s="11">
        <v>10</v>
      </c>
      <c r="O471" s="14">
        <v>403.83</v>
      </c>
      <c r="P471" s="11"/>
      <c r="Q471" s="13"/>
      <c r="R471" s="11"/>
      <c r="S471" s="14"/>
      <c r="T471" s="12"/>
      <c r="U471" s="12"/>
      <c r="V471" s="12"/>
      <c r="W471" s="12"/>
      <c r="X471" s="11">
        <v>8</v>
      </c>
      <c r="Y471" s="13">
        <v>1150.95</v>
      </c>
      <c r="Z471" s="11">
        <v>9</v>
      </c>
      <c r="AA471" s="11"/>
      <c r="AB471" s="13"/>
      <c r="AC471" s="11"/>
      <c r="AD471" s="12"/>
      <c r="AE471" s="12"/>
      <c r="AF471" s="11">
        <v>14</v>
      </c>
      <c r="AG471" s="13">
        <v>685.94</v>
      </c>
      <c r="AH471" s="11">
        <v>10</v>
      </c>
      <c r="AI471" s="11"/>
      <c r="AJ471" s="13"/>
      <c r="AK471" s="11"/>
      <c r="AL471" s="12"/>
      <c r="AM471" s="12"/>
      <c r="AN471" s="11">
        <v>5</v>
      </c>
      <c r="AO471" s="13">
        <v>275.2</v>
      </c>
      <c r="AP471" s="11">
        <v>10</v>
      </c>
      <c r="AQ471" s="11"/>
      <c r="AR471" s="13"/>
      <c r="AS471" s="11"/>
      <c r="AT471" s="12"/>
      <c r="AU471" s="12"/>
      <c r="AV471" s="11">
        <v>1</v>
      </c>
      <c r="AW471" s="13">
        <v>52.92</v>
      </c>
      <c r="AX471" s="11">
        <v>8</v>
      </c>
      <c r="AY471" s="11"/>
      <c r="AZ471" s="13"/>
      <c r="BA471" s="11"/>
      <c r="BB471" s="12"/>
      <c r="BC471" s="12"/>
      <c r="BD471" s="11">
        <v>1</v>
      </c>
      <c r="BE471" s="13">
        <v>89.3</v>
      </c>
      <c r="BF471" s="11">
        <v>9</v>
      </c>
      <c r="BG471" s="11"/>
      <c r="BH471" s="13"/>
      <c r="BI471" s="11"/>
      <c r="BJ471" s="12"/>
      <c r="BK471" s="12"/>
      <c r="BL471" s="11">
        <v>2</v>
      </c>
      <c r="BM471" s="13">
        <v>126.24</v>
      </c>
      <c r="BN471" s="11">
        <v>10</v>
      </c>
      <c r="BO471" s="11"/>
      <c r="BP471" s="13"/>
      <c r="BQ471" s="11"/>
      <c r="BR471" s="12"/>
      <c r="BS471" s="12"/>
      <c r="BT471" s="11"/>
      <c r="BU471" s="13"/>
      <c r="BV471" s="11">
        <v>10</v>
      </c>
      <c r="BW471" s="11"/>
      <c r="BX471" s="13"/>
      <c r="BY471" s="11"/>
      <c r="BZ471" s="12"/>
      <c r="CA471" s="12"/>
      <c r="CB471" s="11">
        <v>4</v>
      </c>
      <c r="CC471" s="13">
        <v>198.44</v>
      </c>
      <c r="CD471" s="11">
        <v>8</v>
      </c>
      <c r="CE471" s="11"/>
      <c r="CF471" s="13"/>
      <c r="CG471" s="11"/>
      <c r="CH471" s="12"/>
      <c r="CI471" s="12"/>
      <c r="CJ471" s="11"/>
      <c r="CK471" s="13"/>
      <c r="CL471" s="11">
        <v>2</v>
      </c>
      <c r="CM471" s="11"/>
      <c r="CN471" s="13"/>
      <c r="CO471" s="11"/>
      <c r="CP471" s="12"/>
      <c r="CQ471" s="12"/>
      <c r="CR471" s="11"/>
      <c r="CS471" s="13"/>
      <c r="CT471" s="11"/>
      <c r="CU471" s="11"/>
      <c r="CV471" s="13"/>
      <c r="CW471" s="11"/>
      <c r="CX471" s="12"/>
      <c r="CY471" s="12"/>
      <c r="CZ471" s="11">
        <v>9</v>
      </c>
      <c r="DA471" s="13">
        <v>683.08</v>
      </c>
      <c r="DB471" s="11">
        <v>3</v>
      </c>
      <c r="DC471" s="11"/>
      <c r="DD471" s="13"/>
      <c r="DE471" s="11"/>
      <c r="DF471" s="12"/>
      <c r="DG471" s="12"/>
      <c r="DH471" s="11"/>
      <c r="DI471" s="13"/>
      <c r="DJ471" s="11"/>
      <c r="DK471" s="11"/>
      <c r="DL471" s="13"/>
      <c r="DM471" s="11"/>
      <c r="DN471" s="12"/>
      <c r="DO471" s="12"/>
      <c r="DP471" s="11"/>
      <c r="DQ471" s="13"/>
      <c r="DR471" s="11"/>
      <c r="DS471" s="11"/>
      <c r="DT471" s="13"/>
      <c r="DU471" s="11"/>
      <c r="DV471" s="12"/>
      <c r="DW471" s="12"/>
      <c r="DX471" s="11">
        <v>5</v>
      </c>
      <c r="DY471" s="13">
        <v>179.9</v>
      </c>
      <c r="DZ471" s="11">
        <v>9</v>
      </c>
      <c r="EA471" s="11"/>
      <c r="EB471" s="13"/>
      <c r="EC471" s="11"/>
      <c r="ED471" s="12"/>
      <c r="EE471" s="12"/>
      <c r="EF471" s="11"/>
      <c r="EG471" s="13"/>
      <c r="EH471" s="11"/>
      <c r="EI471" s="11"/>
      <c r="EJ471" s="13"/>
      <c r="EK471" s="11"/>
      <c r="EL471" s="12"/>
      <c r="EM471" s="12"/>
      <c r="EN471" s="11"/>
      <c r="EO471" s="13"/>
      <c r="EP471" s="11">
        <v>10</v>
      </c>
      <c r="EQ471" s="11"/>
      <c r="ER471" s="13"/>
      <c r="ES471" s="11"/>
      <c r="ET471" s="12"/>
      <c r="EU471" s="12"/>
      <c r="EV471" s="11"/>
      <c r="EW471" s="13"/>
      <c r="EX471" s="11"/>
      <c r="EY471" s="11"/>
      <c r="EZ471" s="13"/>
      <c r="FA471" s="11"/>
      <c r="FB471" s="12"/>
      <c r="FC471" s="12"/>
      <c r="FD471" s="11"/>
      <c r="FE471" s="13"/>
      <c r="FF471" s="11"/>
      <c r="FG471" s="11"/>
      <c r="FH471" s="13"/>
      <c r="FI471" s="11"/>
      <c r="FJ471" s="12"/>
      <c r="FK471" s="12"/>
      <c r="FL471" s="11"/>
      <c r="FM471" s="13"/>
      <c r="FN471" s="11">
        <v>1</v>
      </c>
      <c r="FO471" s="11"/>
      <c r="FP471" s="13"/>
      <c r="FQ471" s="11"/>
      <c r="FR471" s="12"/>
      <c r="FS471" s="12"/>
      <c r="FT471" s="11">
        <v>6</v>
      </c>
      <c r="FU471" s="13">
        <v>290.76</v>
      </c>
      <c r="FV471" s="11">
        <v>7</v>
      </c>
      <c r="FW471" s="11"/>
      <c r="FX471" s="13"/>
      <c r="FY471" s="11"/>
      <c r="FZ471" s="12"/>
      <c r="GA471" s="12"/>
      <c r="GB471" s="11"/>
      <c r="GC471" s="13"/>
      <c r="GD471" s="11"/>
      <c r="GE471" s="11"/>
      <c r="GF471" s="13"/>
      <c r="GG471" s="11"/>
      <c r="GH471" s="12"/>
      <c r="GI471" s="12"/>
      <c r="GJ471" s="11"/>
      <c r="GK471" s="13"/>
      <c r="GL471" s="11"/>
      <c r="GM471" s="11"/>
      <c r="GN471" s="13"/>
      <c r="GO471" s="11"/>
      <c r="GP471" s="12"/>
      <c r="GQ471" s="12"/>
      <c r="GR471" s="11">
        <v>4</v>
      </c>
      <c r="GS471" s="13">
        <v>305.54</v>
      </c>
      <c r="GT471" s="11">
        <v>8</v>
      </c>
      <c r="GU471" s="11"/>
      <c r="GV471" s="13"/>
      <c r="GW471" s="11"/>
      <c r="GX471" s="12"/>
      <c r="GY471" s="12"/>
      <c r="GZ471" s="11"/>
      <c r="HA471" s="13"/>
      <c r="HB471" s="11"/>
      <c r="HC471" s="11"/>
      <c r="HD471" s="13"/>
      <c r="HE471" s="11"/>
      <c r="HF471" s="12"/>
      <c r="HG471" s="12"/>
      <c r="HH471" s="11"/>
      <c r="HI471" s="13"/>
      <c r="HJ471" s="11"/>
      <c r="HK471" s="11"/>
      <c r="HL471" s="13"/>
      <c r="HM471" s="11"/>
      <c r="HN471" s="12"/>
      <c r="HO471" s="12"/>
      <c r="HP471" s="11"/>
      <c r="HQ471" s="13"/>
      <c r="HR471" s="11"/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/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/>
      <c r="JO471" s="11"/>
      <c r="JP471" s="13"/>
      <c r="JQ471" s="11"/>
      <c r="JR471" s="12"/>
      <c r="JS471" s="12"/>
      <c r="JT471" s="11"/>
      <c r="JU471" s="13"/>
      <c r="JV471" s="11"/>
      <c r="JW471" s="11"/>
      <c r="JX471" s="13"/>
      <c r="JY471" s="11"/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/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  <c r="LH471" s="11"/>
      <c r="LI471" s="13"/>
      <c r="LJ471" s="11"/>
      <c r="LK471" s="11"/>
      <c r="LL471" s="13"/>
      <c r="LM471" s="11"/>
      <c r="LN471" s="12"/>
      <c r="LO471" s="12"/>
      <c r="LP471" s="11"/>
      <c r="LQ471" s="13"/>
      <c r="LR471" s="11"/>
      <c r="LS471" s="11"/>
      <c r="LT471" s="13"/>
      <c r="LU471" s="11"/>
      <c r="LV471" s="12"/>
      <c r="LW471" s="12"/>
    </row>
    <row r="472">
      <c r="A472" s="10" t="s">
        <v>249</v>
      </c>
      <c r="B472" s="10" t="s">
        <v>164</v>
      </c>
      <c r="C472" s="10" t="s">
        <v>77</v>
      </c>
      <c r="D472" s="11">
        <v>378</v>
      </c>
      <c r="E472" s="11">
        <f>=ROUNDDOWN({0},0)</f>
      </c>
      <c r="F472" s="11"/>
      <c r="G472" s="12"/>
      <c r="H472" s="11"/>
      <c r="I472" s="11">
        <f>=ROUNDDOWN({0},0)</f>
      </c>
      <c r="J472" s="11"/>
      <c r="K472" s="12"/>
      <c r="L472" s="11">
        <v>108</v>
      </c>
      <c r="M472" s="13">
        <v>8145.43</v>
      </c>
      <c r="N472" s="11">
        <v>17</v>
      </c>
      <c r="O472" s="14">
        <v>479.14</v>
      </c>
      <c r="P472" s="11"/>
      <c r="Q472" s="13"/>
      <c r="R472" s="11"/>
      <c r="S472" s="14"/>
      <c r="T472" s="12"/>
      <c r="U472" s="12"/>
      <c r="V472" s="12"/>
      <c r="W472" s="12"/>
      <c r="X472" s="11">
        <v>22</v>
      </c>
      <c r="Y472" s="13">
        <v>2413.37</v>
      </c>
      <c r="Z472" s="11">
        <v>15</v>
      </c>
      <c r="AA472" s="11"/>
      <c r="AB472" s="13"/>
      <c r="AC472" s="11"/>
      <c r="AD472" s="12"/>
      <c r="AE472" s="12"/>
      <c r="AF472" s="11">
        <v>29</v>
      </c>
      <c r="AG472" s="13">
        <v>1562.01</v>
      </c>
      <c r="AH472" s="11">
        <v>17</v>
      </c>
      <c r="AI472" s="11"/>
      <c r="AJ472" s="13"/>
      <c r="AK472" s="11"/>
      <c r="AL472" s="12"/>
      <c r="AM472" s="12"/>
      <c r="AN472" s="11">
        <v>7</v>
      </c>
      <c r="AO472" s="13">
        <v>447.52</v>
      </c>
      <c r="AP472" s="11">
        <v>17</v>
      </c>
      <c r="AQ472" s="11"/>
      <c r="AR472" s="13"/>
      <c r="AS472" s="11"/>
      <c r="AT472" s="12"/>
      <c r="AU472" s="12"/>
      <c r="AV472" s="11">
        <v>3</v>
      </c>
      <c r="AW472" s="13">
        <v>269.77</v>
      </c>
      <c r="AX472" s="11">
        <v>12</v>
      </c>
      <c r="AY472" s="11"/>
      <c r="AZ472" s="13"/>
      <c r="BA472" s="11"/>
      <c r="BB472" s="12"/>
      <c r="BC472" s="12"/>
      <c r="BD472" s="11">
        <v>2</v>
      </c>
      <c r="BE472" s="13">
        <v>182.08</v>
      </c>
      <c r="BF472" s="11">
        <v>16</v>
      </c>
      <c r="BG472" s="11"/>
      <c r="BH472" s="13"/>
      <c r="BI472" s="11"/>
      <c r="BJ472" s="12"/>
      <c r="BK472" s="12"/>
      <c r="BL472" s="11">
        <v>6</v>
      </c>
      <c r="BM472" s="13">
        <v>518.96</v>
      </c>
      <c r="BN472" s="11">
        <v>17</v>
      </c>
      <c r="BO472" s="11"/>
      <c r="BP472" s="13"/>
      <c r="BQ472" s="11"/>
      <c r="BR472" s="12"/>
      <c r="BS472" s="12"/>
      <c r="BT472" s="11">
        <v>6</v>
      </c>
      <c r="BU472" s="13">
        <v>618.74</v>
      </c>
      <c r="BV472" s="11">
        <v>17</v>
      </c>
      <c r="BW472" s="11"/>
      <c r="BX472" s="13"/>
      <c r="BY472" s="11"/>
      <c r="BZ472" s="12"/>
      <c r="CA472" s="12"/>
      <c r="CB472" s="11">
        <v>7</v>
      </c>
      <c r="CC472" s="13">
        <v>486.28</v>
      </c>
      <c r="CD472" s="11">
        <v>15</v>
      </c>
      <c r="CE472" s="11"/>
      <c r="CF472" s="13"/>
      <c r="CG472" s="11"/>
      <c r="CH472" s="12"/>
      <c r="CI472" s="12"/>
      <c r="CJ472" s="11"/>
      <c r="CK472" s="13"/>
      <c r="CL472" s="11">
        <v>2</v>
      </c>
      <c r="CM472" s="11"/>
      <c r="CN472" s="13"/>
      <c r="CO472" s="11"/>
      <c r="CP472" s="12"/>
      <c r="CQ472" s="12"/>
      <c r="CR472" s="11"/>
      <c r="CS472" s="13"/>
      <c r="CT472" s="11"/>
      <c r="CU472" s="11"/>
      <c r="CV472" s="13"/>
      <c r="CW472" s="11"/>
      <c r="CX472" s="12"/>
      <c r="CY472" s="12"/>
      <c r="CZ472" s="11">
        <v>11</v>
      </c>
      <c r="DA472" s="13">
        <v>870.5</v>
      </c>
      <c r="DB472" s="11">
        <v>6</v>
      </c>
      <c r="DC472" s="11"/>
      <c r="DD472" s="13"/>
      <c r="DE472" s="11"/>
      <c r="DF472" s="12"/>
      <c r="DG472" s="12"/>
      <c r="DH472" s="11"/>
      <c r="DI472" s="13"/>
      <c r="DJ472" s="11"/>
      <c r="DK472" s="11"/>
      <c r="DL472" s="13"/>
      <c r="DM472" s="11"/>
      <c r="DN472" s="12"/>
      <c r="DO472" s="12"/>
      <c r="DP472" s="11"/>
      <c r="DQ472" s="13"/>
      <c r="DR472" s="11"/>
      <c r="DS472" s="11"/>
      <c r="DT472" s="13"/>
      <c r="DU472" s="11"/>
      <c r="DV472" s="12"/>
      <c r="DW472" s="12"/>
      <c r="DX472" s="11">
        <v>5</v>
      </c>
      <c r="DY472" s="13">
        <v>179.9</v>
      </c>
      <c r="DZ472" s="11">
        <v>13</v>
      </c>
      <c r="EA472" s="11"/>
      <c r="EB472" s="13"/>
      <c r="EC472" s="11"/>
      <c r="ED472" s="12"/>
      <c r="EE472" s="12"/>
      <c r="EF472" s="11"/>
      <c r="EG472" s="13"/>
      <c r="EH472" s="11"/>
      <c r="EI472" s="11"/>
      <c r="EJ472" s="13"/>
      <c r="EK472" s="11"/>
      <c r="EL472" s="12"/>
      <c r="EM472" s="12"/>
      <c r="EN472" s="11"/>
      <c r="EO472" s="13"/>
      <c r="EP472" s="11">
        <v>17</v>
      </c>
      <c r="EQ472" s="11"/>
      <c r="ER472" s="13"/>
      <c r="ES472" s="11"/>
      <c r="ET472" s="12"/>
      <c r="EU472" s="12"/>
      <c r="EV472" s="11"/>
      <c r="EW472" s="13"/>
      <c r="EX472" s="11"/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/>
      <c r="FM472" s="13"/>
      <c r="FN472" s="11">
        <v>3</v>
      </c>
      <c r="FO472" s="11"/>
      <c r="FP472" s="13"/>
      <c r="FQ472" s="11"/>
      <c r="FR472" s="12"/>
      <c r="FS472" s="12"/>
      <c r="FT472" s="11">
        <v>6</v>
      </c>
      <c r="FU472" s="13">
        <v>290.76</v>
      </c>
      <c r="FV472" s="11">
        <v>14</v>
      </c>
      <c r="FW472" s="11"/>
      <c r="FX472" s="13"/>
      <c r="FY472" s="11"/>
      <c r="FZ472" s="12"/>
      <c r="GA472" s="12"/>
      <c r="GB472" s="11"/>
      <c r="GC472" s="13"/>
      <c r="GD472" s="11"/>
      <c r="GE472" s="11"/>
      <c r="GF472" s="13"/>
      <c r="GG472" s="11"/>
      <c r="GH472" s="12"/>
      <c r="GI472" s="12"/>
      <c r="GJ472" s="11"/>
      <c r="GK472" s="13"/>
      <c r="GL472" s="11">
        <v>1</v>
      </c>
      <c r="GM472" s="11"/>
      <c r="GN472" s="13"/>
      <c r="GO472" s="11"/>
      <c r="GP472" s="12"/>
      <c r="GQ472" s="12"/>
      <c r="GR472" s="11">
        <v>4</v>
      </c>
      <c r="GS472" s="13">
        <v>305.54</v>
      </c>
      <c r="GT472" s="11">
        <v>14</v>
      </c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/>
      <c r="JO472" s="11"/>
      <c r="JP472" s="13"/>
      <c r="JQ472" s="11"/>
      <c r="JR472" s="12"/>
      <c r="JS472" s="12"/>
      <c r="JT472" s="11"/>
      <c r="JU472" s="13"/>
      <c r="JV472" s="11"/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/>
      <c r="KN472" s="13"/>
      <c r="KO472" s="11"/>
      <c r="KP472" s="12"/>
      <c r="KQ472" s="12"/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  <c r="LH472" s="11"/>
      <c r="LI472" s="13"/>
      <c r="LJ472" s="11"/>
      <c r="LK472" s="11"/>
      <c r="LL472" s="13"/>
      <c r="LM472" s="11"/>
      <c r="LN472" s="12"/>
      <c r="LO472" s="12"/>
      <c r="LP472" s="11"/>
      <c r="LQ472" s="13"/>
      <c r="LR472" s="11"/>
      <c r="LS472" s="11"/>
      <c r="LT472" s="13"/>
      <c r="LU472" s="11"/>
      <c r="LV472" s="12"/>
      <c r="LW472" s="12"/>
    </row>
    <row r="473">
      <c r="A473" s="10" t="s">
        <v>256</v>
      </c>
      <c r="B473" s="10" t="s">
        <v>77</v>
      </c>
      <c r="C473" s="10" t="s">
        <v>77</v>
      </c>
      <c r="D473" s="11">
        <v>15553</v>
      </c>
      <c r="E473" s="11">
        <f>=ROUNDDOWN({0},0)</f>
      </c>
      <c r="F473" s="11">
        <v>5758</v>
      </c>
      <c r="G473" s="12"/>
      <c r="H473" s="11"/>
      <c r="I473" s="11">
        <f>=ROUNDDOWN({0},0)</f>
      </c>
      <c r="J473" s="11"/>
      <c r="K473" s="12"/>
      <c r="L473" s="11">
        <v>6329</v>
      </c>
      <c r="M473" s="13">
        <v>451011.97</v>
      </c>
      <c r="N473" s="11">
        <v>152</v>
      </c>
      <c r="O473" s="14">
        <v>2967.18</v>
      </c>
      <c r="P473" s="11"/>
      <c r="Q473" s="13"/>
      <c r="R473" s="11"/>
      <c r="S473" s="14"/>
      <c r="T473" s="12"/>
      <c r="U473" s="12"/>
      <c r="V473" s="12"/>
      <c r="W473" s="12"/>
      <c r="X473" s="11">
        <v>1468</v>
      </c>
      <c r="Y473" s="13">
        <v>105248.23</v>
      </c>
      <c r="Z473" s="11">
        <v>78</v>
      </c>
      <c r="AA473" s="11"/>
      <c r="AB473" s="13"/>
      <c r="AC473" s="11"/>
      <c r="AD473" s="12"/>
      <c r="AE473" s="12"/>
      <c r="AF473" s="11">
        <v>1268</v>
      </c>
      <c r="AG473" s="13">
        <v>84572.88</v>
      </c>
      <c r="AH473" s="11">
        <v>149</v>
      </c>
      <c r="AI473" s="11"/>
      <c r="AJ473" s="13"/>
      <c r="AK473" s="11"/>
      <c r="AL473" s="12"/>
      <c r="AM473" s="12"/>
      <c r="AN473" s="11">
        <v>310</v>
      </c>
      <c r="AO473" s="13">
        <v>17453.84</v>
      </c>
      <c r="AP473" s="11">
        <v>152</v>
      </c>
      <c r="AQ473" s="11"/>
      <c r="AR473" s="13"/>
      <c r="AS473" s="11"/>
      <c r="AT473" s="12"/>
      <c r="AU473" s="12"/>
      <c r="AV473" s="11">
        <v>390</v>
      </c>
      <c r="AW473" s="13">
        <v>31729.44</v>
      </c>
      <c r="AX473" s="11">
        <v>112</v>
      </c>
      <c r="AY473" s="11"/>
      <c r="AZ473" s="13"/>
      <c r="BA473" s="11"/>
      <c r="BB473" s="12"/>
      <c r="BC473" s="12"/>
      <c r="BD473" s="11">
        <v>48</v>
      </c>
      <c r="BE473" s="13">
        <v>3231.48</v>
      </c>
      <c r="BF473" s="11">
        <v>129</v>
      </c>
      <c r="BG473" s="11"/>
      <c r="BH473" s="13"/>
      <c r="BI473" s="11"/>
      <c r="BJ473" s="12"/>
      <c r="BK473" s="12"/>
      <c r="BL473" s="11">
        <v>585</v>
      </c>
      <c r="BM473" s="13">
        <v>49840.78</v>
      </c>
      <c r="BN473" s="11">
        <v>149</v>
      </c>
      <c r="BO473" s="11"/>
      <c r="BP473" s="13"/>
      <c r="BQ473" s="11"/>
      <c r="BR473" s="12"/>
      <c r="BS473" s="12"/>
      <c r="BT473" s="11">
        <v>845</v>
      </c>
      <c r="BU473" s="13">
        <v>60364.46</v>
      </c>
      <c r="BV473" s="11">
        <v>152</v>
      </c>
      <c r="BW473" s="11"/>
      <c r="BX473" s="13"/>
      <c r="BY473" s="11"/>
      <c r="BZ473" s="12"/>
      <c r="CA473" s="12"/>
      <c r="CB473" s="11">
        <v>156</v>
      </c>
      <c r="CC473" s="13">
        <v>10112.93</v>
      </c>
      <c r="CD473" s="11">
        <v>108</v>
      </c>
      <c r="CE473" s="11"/>
      <c r="CF473" s="13"/>
      <c r="CG473" s="11"/>
      <c r="CH473" s="12"/>
      <c r="CI473" s="12"/>
      <c r="CJ473" s="11">
        <v>1</v>
      </c>
      <c r="CK473" s="13">
        <v>82.99</v>
      </c>
      <c r="CL473" s="11">
        <v>123</v>
      </c>
      <c r="CM473" s="11"/>
      <c r="CN473" s="13"/>
      <c r="CO473" s="11"/>
      <c r="CP473" s="12"/>
      <c r="CQ473" s="12"/>
      <c r="CR473" s="11"/>
      <c r="CS473" s="13"/>
      <c r="CT473" s="11"/>
      <c r="CU473" s="11"/>
      <c r="CV473" s="13"/>
      <c r="CW473" s="11"/>
      <c r="CX473" s="12"/>
      <c r="CY473" s="12"/>
      <c r="CZ473" s="11">
        <v>410</v>
      </c>
      <c r="DA473" s="13">
        <v>27167.74</v>
      </c>
      <c r="DB473" s="11">
        <v>63</v>
      </c>
      <c r="DC473" s="11"/>
      <c r="DD473" s="13"/>
      <c r="DE473" s="11"/>
      <c r="DF473" s="12"/>
      <c r="DG473" s="12"/>
      <c r="DH473" s="11">
        <v>9</v>
      </c>
      <c r="DI473" s="13">
        <v>747.87</v>
      </c>
      <c r="DJ473" s="11">
        <v>10</v>
      </c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/>
      <c r="DV473" s="12"/>
      <c r="DW473" s="12"/>
      <c r="DX473" s="11">
        <v>195</v>
      </c>
      <c r="DY473" s="13">
        <v>12091.3</v>
      </c>
      <c r="DZ473" s="11">
        <v>114</v>
      </c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>
        <v>14</v>
      </c>
      <c r="EO473" s="13">
        <v>1163.87</v>
      </c>
      <c r="EP473" s="11">
        <v>152</v>
      </c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>
        <v>108</v>
      </c>
      <c r="FM473" s="13">
        <v>7526.14</v>
      </c>
      <c r="FN473" s="11">
        <v>47</v>
      </c>
      <c r="FO473" s="11"/>
      <c r="FP473" s="13"/>
      <c r="FQ473" s="11"/>
      <c r="FR473" s="12"/>
      <c r="FS473" s="12"/>
      <c r="FT473" s="11">
        <v>190</v>
      </c>
      <c r="FU473" s="13">
        <v>10824.63</v>
      </c>
      <c r="FV473" s="11">
        <v>97</v>
      </c>
      <c r="FW473" s="11"/>
      <c r="FX473" s="13"/>
      <c r="FY473" s="11"/>
      <c r="FZ473" s="12"/>
      <c r="GA473" s="12"/>
      <c r="GB473" s="11">
        <v>130</v>
      </c>
      <c r="GC473" s="13">
        <v>9525.19</v>
      </c>
      <c r="GD473" s="11">
        <v>74</v>
      </c>
      <c r="GE473" s="11"/>
      <c r="GF473" s="13"/>
      <c r="GG473" s="11"/>
      <c r="GH473" s="12"/>
      <c r="GI473" s="12"/>
      <c r="GJ473" s="11">
        <v>128</v>
      </c>
      <c r="GK473" s="13">
        <v>13542.45</v>
      </c>
      <c r="GL473" s="11">
        <v>26</v>
      </c>
      <c r="GM473" s="11"/>
      <c r="GN473" s="13"/>
      <c r="GO473" s="11"/>
      <c r="GP473" s="12"/>
      <c r="GQ473" s="12"/>
      <c r="GR473" s="11">
        <v>74</v>
      </c>
      <c r="GS473" s="13">
        <v>5785.75</v>
      </c>
      <c r="GT473" s="11">
        <v>98</v>
      </c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/>
      <c r="HL473" s="13"/>
      <c r="HM473" s="11"/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/>
      <c r="JR473" s="12"/>
      <c r="JS473" s="12"/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/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  <c r="LH473" s="11"/>
      <c r="LI473" s="13"/>
      <c r="LJ473" s="11"/>
      <c r="LK473" s="11"/>
      <c r="LL473" s="13"/>
      <c r="LM473" s="11"/>
      <c r="LN473" s="12"/>
      <c r="LO473" s="12"/>
      <c r="LP473" s="11"/>
      <c r="LQ473" s="13"/>
      <c r="LR473" s="11"/>
      <c r="LS473" s="11"/>
      <c r="LT473" s="13"/>
      <c r="LU473" s="11"/>
      <c r="LV473" s="12"/>
      <c r="LW473" s="12"/>
    </row>
    <row r="474">
      <c r="A474" s="10" t="s">
        <v>257</v>
      </c>
      <c r="B474" s="10" t="s">
        <v>258</v>
      </c>
      <c r="C474" s="10" t="s">
        <v>259</v>
      </c>
      <c r="D474" s="11">
        <v>115</v>
      </c>
      <c r="E474" s="11">
        <f>=ROUNDDOWN(46,0)</f>
      </c>
      <c r="F474" s="11"/>
      <c r="G474" s="12"/>
      <c r="H474" s="11"/>
      <c r="I474" s="11">
        <f>=ROUNDDOWN({0},0)</f>
      </c>
      <c r="J474" s="11"/>
      <c r="K474" s="12"/>
      <c r="L474" s="11"/>
      <c r="M474" s="13"/>
      <c r="N474" s="11"/>
      <c r="O474" s="14"/>
      <c r="P474" s="11"/>
      <c r="Q474" s="13"/>
      <c r="R474" s="11"/>
      <c r="S474" s="14"/>
      <c r="T474" s="12"/>
      <c r="U474" s="12"/>
      <c r="V474" s="12"/>
      <c r="W474" s="12"/>
      <c r="X474" s="11"/>
      <c r="Y474" s="13"/>
      <c r="Z474" s="11"/>
      <c r="AA474" s="11"/>
      <c r="AB474" s="13"/>
      <c r="AC474" s="11"/>
      <c r="AD474" s="12"/>
      <c r="AE474" s="12"/>
      <c r="AF474" s="11"/>
      <c r="AG474" s="13"/>
      <c r="AH474" s="11"/>
      <c r="AI474" s="11"/>
      <c r="AJ474" s="13"/>
      <c r="AK474" s="11"/>
      <c r="AL474" s="12"/>
      <c r="AM474" s="12"/>
      <c r="AN474" s="11"/>
      <c r="AO474" s="13"/>
      <c r="AP474" s="11"/>
      <c r="AQ474" s="11"/>
      <c r="AR474" s="13"/>
      <c r="AS474" s="11"/>
      <c r="AT474" s="12"/>
      <c r="AU474" s="12"/>
      <c r="AV474" s="11"/>
      <c r="AW474" s="13"/>
      <c r="AX474" s="11"/>
      <c r="AY474" s="11"/>
      <c r="AZ474" s="13"/>
      <c r="BA474" s="11"/>
      <c r="BB474" s="12"/>
      <c r="BC474" s="12"/>
      <c r="BD474" s="11"/>
      <c r="BE474" s="13"/>
      <c r="BF474" s="11"/>
      <c r="BG474" s="11"/>
      <c r="BH474" s="13"/>
      <c r="BI474" s="11"/>
      <c r="BJ474" s="12"/>
      <c r="BK474" s="12"/>
      <c r="BL474" s="11"/>
      <c r="BM474" s="13"/>
      <c r="BN474" s="11"/>
      <c r="BO474" s="11"/>
      <c r="BP474" s="13"/>
      <c r="BQ474" s="11"/>
      <c r="BR474" s="12"/>
      <c r="BS474" s="12"/>
      <c r="BT474" s="11"/>
      <c r="BU474" s="13"/>
      <c r="BV474" s="11"/>
      <c r="BW474" s="11"/>
      <c r="BX474" s="13"/>
      <c r="BY474" s="11"/>
      <c r="BZ474" s="12"/>
      <c r="CA474" s="12"/>
      <c r="CB474" s="11"/>
      <c r="CC474" s="13"/>
      <c r="CD474" s="11"/>
      <c r="CE474" s="11"/>
      <c r="CF474" s="13"/>
      <c r="CG474" s="11"/>
      <c r="CH474" s="12"/>
      <c r="CI474" s="12"/>
      <c r="CJ474" s="11"/>
      <c r="CK474" s="13"/>
      <c r="CL474" s="11"/>
      <c r="CM474" s="11"/>
      <c r="CN474" s="13"/>
      <c r="CO474" s="11"/>
      <c r="CP474" s="12"/>
      <c r="CQ474" s="12"/>
      <c r="CR474" s="11"/>
      <c r="CS474" s="13"/>
      <c r="CT474" s="11"/>
      <c r="CU474" s="11"/>
      <c r="CV474" s="13"/>
      <c r="CW474" s="11"/>
      <c r="CX474" s="12"/>
      <c r="CY474" s="12"/>
      <c r="CZ474" s="11"/>
      <c r="DA474" s="13"/>
      <c r="DB474" s="11"/>
      <c r="DC474" s="11"/>
      <c r="DD474" s="13"/>
      <c r="DE474" s="11"/>
      <c r="DF474" s="12"/>
      <c r="DG474" s="12"/>
      <c r="DH474" s="11"/>
      <c r="DI474" s="13"/>
      <c r="DJ474" s="11"/>
      <c r="DK474" s="11"/>
      <c r="DL474" s="13"/>
      <c r="DM474" s="11"/>
      <c r="DN474" s="12"/>
      <c r="DO474" s="12"/>
      <c r="DP474" s="11"/>
      <c r="DQ474" s="13"/>
      <c r="DR474" s="11"/>
      <c r="DS474" s="11"/>
      <c r="DT474" s="13"/>
      <c r="DU474" s="11"/>
      <c r="DV474" s="12"/>
      <c r="DW474" s="12"/>
      <c r="DX474" s="11"/>
      <c r="DY474" s="13"/>
      <c r="DZ474" s="11"/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/>
      <c r="EW474" s="13"/>
      <c r="EX474" s="11"/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/>
      <c r="FU474" s="13"/>
      <c r="FV474" s="11"/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/>
      <c r="GM474" s="11"/>
      <c r="GN474" s="13"/>
      <c r="GO474" s="11"/>
      <c r="GP474" s="12"/>
      <c r="GQ474" s="12"/>
      <c r="GR474" s="11"/>
      <c r="GS474" s="13"/>
      <c r="GT474" s="11"/>
      <c r="GU474" s="11"/>
      <c r="GV474" s="13"/>
      <c r="GW474" s="11"/>
      <c r="GX474" s="12"/>
      <c r="GY474" s="12"/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/>
      <c r="HK474" s="11"/>
      <c r="HL474" s="13"/>
      <c r="HM474" s="11"/>
      <c r="HN474" s="12"/>
      <c r="HO474" s="12"/>
      <c r="HP474" s="11"/>
      <c r="HQ474" s="13"/>
      <c r="HR474" s="11"/>
      <c r="HS474" s="11"/>
      <c r="HT474" s="13"/>
      <c r="HU474" s="11"/>
      <c r="HV474" s="12"/>
      <c r="HW474" s="12"/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/>
      <c r="JO474" s="11"/>
      <c r="JP474" s="13"/>
      <c r="JQ474" s="11"/>
      <c r="JR474" s="12"/>
      <c r="JS474" s="12"/>
      <c r="JT474" s="11"/>
      <c r="JU474" s="13"/>
      <c r="JV474" s="11"/>
      <c r="JW474" s="11"/>
      <c r="JX474" s="13"/>
      <c r="JY474" s="11"/>
      <c r="JZ474" s="12"/>
      <c r="KA474" s="12"/>
      <c r="KB474" s="11"/>
      <c r="KC474" s="13"/>
      <c r="KD474" s="11"/>
      <c r="KE474" s="11"/>
      <c r="KF474" s="13"/>
      <c r="KG474" s="11"/>
      <c r="KH474" s="12"/>
      <c r="KI474" s="12"/>
      <c r="KJ474" s="11"/>
      <c r="KK474" s="13"/>
      <c r="KL474" s="11"/>
      <c r="KM474" s="11"/>
      <c r="KN474" s="13"/>
      <c r="KO474" s="11"/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  <c r="LH474" s="11"/>
      <c r="LI474" s="13"/>
      <c r="LJ474" s="11"/>
      <c r="LK474" s="11"/>
      <c r="LL474" s="13"/>
      <c r="LM474" s="11"/>
      <c r="LN474" s="12"/>
      <c r="LO474" s="12"/>
      <c r="LP474" s="11"/>
      <c r="LQ474" s="13"/>
      <c r="LR474" s="11"/>
      <c r="LS474" s="11"/>
      <c r="LT474" s="13"/>
      <c r="LU474" s="11"/>
      <c r="LV474" s="12"/>
      <c r="LW474" s="12"/>
    </row>
    <row r="475">
      <c r="A475" s="10" t="s">
        <v>257</v>
      </c>
      <c r="B475" s="10" t="s">
        <v>260</v>
      </c>
      <c r="C475" s="10" t="s">
        <v>77</v>
      </c>
      <c r="D475" s="11">
        <v>115</v>
      </c>
      <c r="E475" s="11">
        <f>=ROUNDDOWN({0},0)</f>
      </c>
      <c r="F475" s="11"/>
      <c r="G475" s="12"/>
      <c r="H475" s="11"/>
      <c r="I475" s="11">
        <f>=ROUNDDOWN({0},0)</f>
      </c>
      <c r="J475" s="11"/>
      <c r="K475" s="12"/>
      <c r="L475" s="11"/>
      <c r="M475" s="13"/>
      <c r="N475" s="11"/>
      <c r="O475" s="14"/>
      <c r="P475" s="11"/>
      <c r="Q475" s="13"/>
      <c r="R475" s="11"/>
      <c r="S475" s="14"/>
      <c r="T475" s="12"/>
      <c r="U475" s="12"/>
      <c r="V475" s="12"/>
      <c r="W475" s="12"/>
      <c r="X475" s="11"/>
      <c r="Y475" s="13"/>
      <c r="Z475" s="11"/>
      <c r="AA475" s="11"/>
      <c r="AB475" s="13"/>
      <c r="AC475" s="11"/>
      <c r="AD475" s="12"/>
      <c r="AE475" s="12"/>
      <c r="AF475" s="11"/>
      <c r="AG475" s="13"/>
      <c r="AH475" s="11"/>
      <c r="AI475" s="11"/>
      <c r="AJ475" s="13"/>
      <c r="AK475" s="11"/>
      <c r="AL475" s="12"/>
      <c r="AM475" s="12"/>
      <c r="AN475" s="11"/>
      <c r="AO475" s="13"/>
      <c r="AP475" s="11"/>
      <c r="AQ475" s="11"/>
      <c r="AR475" s="13"/>
      <c r="AS475" s="11"/>
      <c r="AT475" s="12"/>
      <c r="AU475" s="12"/>
      <c r="AV475" s="11"/>
      <c r="AW475" s="13"/>
      <c r="AX475" s="11"/>
      <c r="AY475" s="11"/>
      <c r="AZ475" s="13"/>
      <c r="BA475" s="11"/>
      <c r="BB475" s="12"/>
      <c r="BC475" s="12"/>
      <c r="BD475" s="11"/>
      <c r="BE475" s="13"/>
      <c r="BF475" s="11"/>
      <c r="BG475" s="11"/>
      <c r="BH475" s="13"/>
      <c r="BI475" s="11"/>
      <c r="BJ475" s="12"/>
      <c r="BK475" s="12"/>
      <c r="BL475" s="11"/>
      <c r="BM475" s="13"/>
      <c r="BN475" s="11"/>
      <c r="BO475" s="11"/>
      <c r="BP475" s="13"/>
      <c r="BQ475" s="11"/>
      <c r="BR475" s="12"/>
      <c r="BS475" s="12"/>
      <c r="BT475" s="11"/>
      <c r="BU475" s="13"/>
      <c r="BV475" s="11"/>
      <c r="BW475" s="11"/>
      <c r="BX475" s="13"/>
      <c r="BY475" s="11"/>
      <c r="BZ475" s="12"/>
      <c r="CA475" s="12"/>
      <c r="CB475" s="11"/>
      <c r="CC475" s="13"/>
      <c r="CD475" s="11"/>
      <c r="CE475" s="11"/>
      <c r="CF475" s="13"/>
      <c r="CG475" s="11"/>
      <c r="CH475" s="12"/>
      <c r="CI475" s="12"/>
      <c r="CJ475" s="11"/>
      <c r="CK475" s="13"/>
      <c r="CL475" s="11"/>
      <c r="CM475" s="11"/>
      <c r="CN475" s="13"/>
      <c r="CO475" s="11"/>
      <c r="CP475" s="12"/>
      <c r="CQ475" s="12"/>
      <c r="CR475" s="11"/>
      <c r="CS475" s="13"/>
      <c r="CT475" s="11"/>
      <c r="CU475" s="11"/>
      <c r="CV475" s="13"/>
      <c r="CW475" s="11"/>
      <c r="CX475" s="12"/>
      <c r="CY475" s="12"/>
      <c r="CZ475" s="11"/>
      <c r="DA475" s="13"/>
      <c r="DB475" s="11"/>
      <c r="DC475" s="11"/>
      <c r="DD475" s="13"/>
      <c r="DE475" s="11"/>
      <c r="DF475" s="12"/>
      <c r="DG475" s="12"/>
      <c r="DH475" s="11"/>
      <c r="DI475" s="13"/>
      <c r="DJ475" s="11"/>
      <c r="DK475" s="11"/>
      <c r="DL475" s="13"/>
      <c r="DM475" s="11"/>
      <c r="DN475" s="12"/>
      <c r="DO475" s="12"/>
      <c r="DP475" s="11"/>
      <c r="DQ475" s="13"/>
      <c r="DR475" s="11"/>
      <c r="DS475" s="11"/>
      <c r="DT475" s="13"/>
      <c r="DU475" s="11"/>
      <c r="DV475" s="12"/>
      <c r="DW475" s="12"/>
      <c r="DX475" s="11"/>
      <c r="DY475" s="13"/>
      <c r="DZ475" s="11"/>
      <c r="EA475" s="11"/>
      <c r="EB475" s="13"/>
      <c r="EC475" s="11"/>
      <c r="ED475" s="12"/>
      <c r="EE475" s="12"/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/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/>
      <c r="FW475" s="11"/>
      <c r="FX475" s="13"/>
      <c r="FY475" s="11"/>
      <c r="FZ475" s="12"/>
      <c r="GA475" s="12"/>
      <c r="GB475" s="11"/>
      <c r="GC475" s="13"/>
      <c r="GD475" s="11"/>
      <c r="GE475" s="11"/>
      <c r="GF475" s="13"/>
      <c r="GG475" s="11"/>
      <c r="GH475" s="12"/>
      <c r="GI475" s="12"/>
      <c r="GJ475" s="11"/>
      <c r="GK475" s="13"/>
      <c r="GL475" s="11"/>
      <c r="GM475" s="11"/>
      <c r="GN475" s="13"/>
      <c r="GO475" s="11"/>
      <c r="GP475" s="12"/>
      <c r="GQ475" s="12"/>
      <c r="GR475" s="11"/>
      <c r="GS475" s="13"/>
      <c r="GT475" s="11"/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/>
      <c r="HK475" s="11"/>
      <c r="HL475" s="13"/>
      <c r="HM475" s="11"/>
      <c r="HN475" s="12"/>
      <c r="HO475" s="12"/>
      <c r="HP475" s="11"/>
      <c r="HQ475" s="13"/>
      <c r="HR475" s="11"/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/>
      <c r="JP475" s="13"/>
      <c r="JQ475" s="11"/>
      <c r="JR475" s="12"/>
      <c r="JS475" s="12"/>
      <c r="JT475" s="11"/>
      <c r="JU475" s="13"/>
      <c r="JV475" s="11"/>
      <c r="JW475" s="11"/>
      <c r="JX475" s="13"/>
      <c r="JY475" s="11"/>
      <c r="JZ475" s="12"/>
      <c r="KA475" s="12"/>
      <c r="KB475" s="11"/>
      <c r="KC475" s="13"/>
      <c r="KD475" s="11"/>
      <c r="KE475" s="11"/>
      <c r="KF475" s="13"/>
      <c r="KG475" s="11"/>
      <c r="KH475" s="12"/>
      <c r="KI475" s="12"/>
      <c r="KJ475" s="11"/>
      <c r="KK475" s="13"/>
      <c r="KL475" s="11"/>
      <c r="KM475" s="11"/>
      <c r="KN475" s="13"/>
      <c r="KO475" s="11"/>
      <c r="KP475" s="12"/>
      <c r="KQ475" s="12"/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  <c r="LH475" s="11"/>
      <c r="LI475" s="13"/>
      <c r="LJ475" s="11"/>
      <c r="LK475" s="11"/>
      <c r="LL475" s="13"/>
      <c r="LM475" s="11"/>
      <c r="LN475" s="12"/>
      <c r="LO475" s="12"/>
      <c r="LP475" s="11"/>
      <c r="LQ475" s="13"/>
      <c r="LR475" s="11"/>
      <c r="LS475" s="11"/>
      <c r="LT475" s="13"/>
      <c r="LU475" s="11"/>
      <c r="LV475" s="12"/>
      <c r="LW475" s="12"/>
    </row>
    <row r="476">
      <c r="A476" s="10" t="s">
        <v>261</v>
      </c>
      <c r="B476" s="10" t="s">
        <v>77</v>
      </c>
      <c r="C476" s="10" t="s">
        <v>77</v>
      </c>
      <c r="D476" s="11">
        <v>115</v>
      </c>
      <c r="E476" s="11">
        <f>=ROUNDDOWN({0},0)</f>
      </c>
      <c r="F476" s="11"/>
      <c r="G476" s="12"/>
      <c r="H476" s="11"/>
      <c r="I476" s="11">
        <f>=ROUNDDOWN({0},0)</f>
      </c>
      <c r="J476" s="11"/>
      <c r="K476" s="12"/>
      <c r="L476" s="11"/>
      <c r="M476" s="13"/>
      <c r="N476" s="11"/>
      <c r="O476" s="14"/>
      <c r="P476" s="11"/>
      <c r="Q476" s="13"/>
      <c r="R476" s="11"/>
      <c r="S476" s="14"/>
      <c r="T476" s="12"/>
      <c r="U476" s="12"/>
      <c r="V476" s="12"/>
      <c r="W476" s="12"/>
      <c r="X476" s="11"/>
      <c r="Y476" s="13"/>
      <c r="Z476" s="11"/>
      <c r="AA476" s="11"/>
      <c r="AB476" s="13"/>
      <c r="AC476" s="11"/>
      <c r="AD476" s="12"/>
      <c r="AE476" s="12"/>
      <c r="AF476" s="11"/>
      <c r="AG476" s="13"/>
      <c r="AH476" s="11"/>
      <c r="AI476" s="11"/>
      <c r="AJ476" s="13"/>
      <c r="AK476" s="11"/>
      <c r="AL476" s="12"/>
      <c r="AM476" s="12"/>
      <c r="AN476" s="11"/>
      <c r="AO476" s="13"/>
      <c r="AP476" s="11"/>
      <c r="AQ476" s="11"/>
      <c r="AR476" s="13"/>
      <c r="AS476" s="11"/>
      <c r="AT476" s="12"/>
      <c r="AU476" s="12"/>
      <c r="AV476" s="11"/>
      <c r="AW476" s="13"/>
      <c r="AX476" s="11"/>
      <c r="AY476" s="11"/>
      <c r="AZ476" s="13"/>
      <c r="BA476" s="11"/>
      <c r="BB476" s="12"/>
      <c r="BC476" s="12"/>
      <c r="BD476" s="11"/>
      <c r="BE476" s="13"/>
      <c r="BF476" s="11"/>
      <c r="BG476" s="11"/>
      <c r="BH476" s="13"/>
      <c r="BI476" s="11"/>
      <c r="BJ476" s="12"/>
      <c r="BK476" s="12"/>
      <c r="BL476" s="11"/>
      <c r="BM476" s="13"/>
      <c r="BN476" s="11"/>
      <c r="BO476" s="11"/>
      <c r="BP476" s="13"/>
      <c r="BQ476" s="11"/>
      <c r="BR476" s="12"/>
      <c r="BS476" s="12"/>
      <c r="BT476" s="11"/>
      <c r="BU476" s="13"/>
      <c r="BV476" s="11"/>
      <c r="BW476" s="11"/>
      <c r="BX476" s="13"/>
      <c r="BY476" s="11"/>
      <c r="BZ476" s="12"/>
      <c r="CA476" s="12"/>
      <c r="CB476" s="11"/>
      <c r="CC476" s="13"/>
      <c r="CD476" s="11"/>
      <c r="CE476" s="11"/>
      <c r="CF476" s="13"/>
      <c r="CG476" s="11"/>
      <c r="CH476" s="12"/>
      <c r="CI476" s="12"/>
      <c r="CJ476" s="11"/>
      <c r="CK476" s="13"/>
      <c r="CL476" s="11"/>
      <c r="CM476" s="11"/>
      <c r="CN476" s="13"/>
      <c r="CO476" s="11"/>
      <c r="CP476" s="12"/>
      <c r="CQ476" s="12"/>
      <c r="CR476" s="11"/>
      <c r="CS476" s="13"/>
      <c r="CT476" s="11"/>
      <c r="CU476" s="11"/>
      <c r="CV476" s="13"/>
      <c r="CW476" s="11"/>
      <c r="CX476" s="12"/>
      <c r="CY476" s="12"/>
      <c r="CZ476" s="11"/>
      <c r="DA476" s="13"/>
      <c r="DB476" s="11"/>
      <c r="DC476" s="11"/>
      <c r="DD476" s="13"/>
      <c r="DE476" s="11"/>
      <c r="DF476" s="12"/>
      <c r="DG476" s="12"/>
      <c r="DH476" s="11"/>
      <c r="DI476" s="13"/>
      <c r="DJ476" s="11"/>
      <c r="DK476" s="11"/>
      <c r="DL476" s="13"/>
      <c r="DM476" s="11"/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/>
      <c r="DY476" s="13"/>
      <c r="DZ476" s="11"/>
      <c r="EA476" s="11"/>
      <c r="EB476" s="13"/>
      <c r="EC476" s="11"/>
      <c r="ED476" s="12"/>
      <c r="EE476" s="12"/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/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/>
      <c r="FW476" s="11"/>
      <c r="FX476" s="13"/>
      <c r="FY476" s="11"/>
      <c r="FZ476" s="12"/>
      <c r="GA476" s="12"/>
      <c r="GB476" s="11"/>
      <c r="GC476" s="13"/>
      <c r="GD476" s="11"/>
      <c r="GE476" s="11"/>
      <c r="GF476" s="13"/>
      <c r="GG476" s="11"/>
      <c r="GH476" s="12"/>
      <c r="GI476" s="12"/>
      <c r="GJ476" s="11"/>
      <c r="GK476" s="13"/>
      <c r="GL476" s="11"/>
      <c r="GM476" s="11"/>
      <c r="GN476" s="13"/>
      <c r="GO476" s="11"/>
      <c r="GP476" s="12"/>
      <c r="GQ476" s="12"/>
      <c r="GR476" s="11"/>
      <c r="GS476" s="13"/>
      <c r="GT476" s="11"/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/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/>
      <c r="JW476" s="11"/>
      <c r="JX476" s="13"/>
      <c r="JY476" s="11"/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/>
      <c r="KM476" s="11"/>
      <c r="KN476" s="13"/>
      <c r="KO476" s="11"/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  <c r="LH476" s="11"/>
      <c r="LI476" s="13"/>
      <c r="LJ476" s="11"/>
      <c r="LK476" s="11"/>
      <c r="LL476" s="13"/>
      <c r="LM476" s="11"/>
      <c r="LN476" s="12"/>
      <c r="LO476" s="12"/>
      <c r="LP476" s="11"/>
      <c r="LQ476" s="13"/>
      <c r="LR476" s="11"/>
      <c r="LS476" s="11"/>
      <c r="LT476" s="13"/>
      <c r="LU476" s="11"/>
      <c r="LV476" s="12"/>
      <c r="LW476" s="12"/>
    </row>
    <row r="477">
      <c r="A477" s="10" t="s">
        <v>262</v>
      </c>
      <c r="B477" s="10" t="s">
        <v>263</v>
      </c>
      <c r="C477" s="10" t="s">
        <v>264</v>
      </c>
      <c r="D477" s="11">
        <v>16074</v>
      </c>
      <c r="E477" s="11">
        <f>=ROUNDDOWN(63.0352941176471,0)</f>
      </c>
      <c r="F477" s="11">
        <v>1728</v>
      </c>
      <c r="G477" s="12">
        <v>1</v>
      </c>
      <c r="H477" s="11"/>
      <c r="I477" s="11">
        <f>=ROUNDDOWN({0},0)</f>
      </c>
      <c r="J477" s="11"/>
      <c r="K477" s="12"/>
      <c r="L477" s="11">
        <v>3538</v>
      </c>
      <c r="M477" s="13">
        <v>35867.6</v>
      </c>
      <c r="N477" s="11">
        <v>22</v>
      </c>
      <c r="O477" s="14">
        <v>1630.35</v>
      </c>
      <c r="P477" s="11"/>
      <c r="Q477" s="13"/>
      <c r="R477" s="11"/>
      <c r="S477" s="14"/>
      <c r="T477" s="12"/>
      <c r="U477" s="12"/>
      <c r="V477" s="12"/>
      <c r="W477" s="12"/>
      <c r="X477" s="11">
        <v>3521</v>
      </c>
      <c r="Y477" s="13">
        <v>35666.24</v>
      </c>
      <c r="Z477" s="11">
        <v>22</v>
      </c>
      <c r="AA477" s="11"/>
      <c r="AB477" s="13"/>
      <c r="AC477" s="11"/>
      <c r="AD477" s="12"/>
      <c r="AE477" s="12"/>
      <c r="AF477" s="11"/>
      <c r="AG477" s="13"/>
      <c r="AH477" s="11"/>
      <c r="AI477" s="11"/>
      <c r="AJ477" s="13"/>
      <c r="AK477" s="11"/>
      <c r="AL477" s="12"/>
      <c r="AM477" s="12"/>
      <c r="AN477" s="11"/>
      <c r="AO477" s="13"/>
      <c r="AP477" s="11">
        <v>4</v>
      </c>
      <c r="AQ477" s="11"/>
      <c r="AR477" s="13"/>
      <c r="AS477" s="11"/>
      <c r="AT477" s="12"/>
      <c r="AU477" s="12"/>
      <c r="AV477" s="11"/>
      <c r="AW477" s="13"/>
      <c r="AX477" s="11"/>
      <c r="AY477" s="11"/>
      <c r="AZ477" s="13"/>
      <c r="BA477" s="11"/>
      <c r="BB477" s="12"/>
      <c r="BC477" s="12"/>
      <c r="BD477" s="11"/>
      <c r="BE477" s="13"/>
      <c r="BF477" s="11"/>
      <c r="BG477" s="11"/>
      <c r="BH477" s="13"/>
      <c r="BI477" s="11"/>
      <c r="BJ477" s="12"/>
      <c r="BK477" s="12"/>
      <c r="BL477" s="11">
        <v>17</v>
      </c>
      <c r="BM477" s="13">
        <v>201.36</v>
      </c>
      <c r="BN477" s="11">
        <v>15</v>
      </c>
      <c r="BO477" s="11"/>
      <c r="BP477" s="13"/>
      <c r="BQ477" s="11"/>
      <c r="BR477" s="12"/>
      <c r="BS477" s="12"/>
      <c r="BT477" s="11"/>
      <c r="BU477" s="13"/>
      <c r="BV477" s="11"/>
      <c r="BW477" s="11"/>
      <c r="BX477" s="13"/>
      <c r="BY477" s="11"/>
      <c r="BZ477" s="12"/>
      <c r="CA477" s="12"/>
      <c r="CB477" s="11"/>
      <c r="CC477" s="13"/>
      <c r="CD477" s="11"/>
      <c r="CE477" s="11"/>
      <c r="CF477" s="13"/>
      <c r="CG477" s="11"/>
      <c r="CH477" s="12"/>
      <c r="CI477" s="12"/>
      <c r="CJ477" s="11"/>
      <c r="CK477" s="13"/>
      <c r="CL477" s="11">
        <v>1</v>
      </c>
      <c r="CM477" s="11"/>
      <c r="CN477" s="13"/>
      <c r="CO477" s="11"/>
      <c r="CP477" s="12"/>
      <c r="CQ477" s="12"/>
      <c r="CR477" s="11"/>
      <c r="CS477" s="13"/>
      <c r="CT477" s="11"/>
      <c r="CU477" s="11"/>
      <c r="CV477" s="13"/>
      <c r="CW477" s="11"/>
      <c r="CX477" s="12"/>
      <c r="CY477" s="12"/>
      <c r="CZ477" s="11"/>
      <c r="DA477" s="13"/>
      <c r="DB477" s="11"/>
      <c r="DC477" s="11"/>
      <c r="DD477" s="13"/>
      <c r="DE477" s="11"/>
      <c r="DF477" s="12"/>
      <c r="DG477" s="12"/>
      <c r="DH477" s="11"/>
      <c r="DI477" s="13"/>
      <c r="DJ477" s="11"/>
      <c r="DK477" s="11"/>
      <c r="DL477" s="13"/>
      <c r="DM477" s="11"/>
      <c r="DN477" s="12"/>
      <c r="DO477" s="12"/>
      <c r="DP477" s="11"/>
      <c r="DQ477" s="13"/>
      <c r="DR477" s="11"/>
      <c r="DS477" s="11"/>
      <c r="DT477" s="13"/>
      <c r="DU477" s="11"/>
      <c r="DV477" s="12"/>
      <c r="DW477" s="12"/>
      <c r="DX477" s="11"/>
      <c r="DY477" s="13"/>
      <c r="DZ477" s="11"/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>
        <v>14</v>
      </c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/>
      <c r="FM477" s="13"/>
      <c r="FN477" s="11"/>
      <c r="FO477" s="11"/>
      <c r="FP477" s="13"/>
      <c r="FQ477" s="11"/>
      <c r="FR477" s="12"/>
      <c r="FS477" s="12"/>
      <c r="FT477" s="11"/>
      <c r="FU477" s="13"/>
      <c r="FV477" s="11"/>
      <c r="FW477" s="11"/>
      <c r="FX477" s="13"/>
      <c r="FY477" s="11"/>
      <c r="FZ477" s="12"/>
      <c r="GA477" s="12"/>
      <c r="GB477" s="11"/>
      <c r="GC477" s="13"/>
      <c r="GD477" s="11"/>
      <c r="GE477" s="11"/>
      <c r="GF477" s="13"/>
      <c r="GG477" s="11"/>
      <c r="GH477" s="12"/>
      <c r="GI477" s="12"/>
      <c r="GJ477" s="11"/>
      <c r="GK477" s="13"/>
      <c r="GL477" s="11"/>
      <c r="GM477" s="11"/>
      <c r="GN477" s="13"/>
      <c r="GO477" s="11"/>
      <c r="GP477" s="12"/>
      <c r="GQ477" s="12"/>
      <c r="GR477" s="11"/>
      <c r="GS477" s="13"/>
      <c r="GT477" s="11"/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/>
      <c r="HQ477" s="13"/>
      <c r="HR477" s="11"/>
      <c r="HS477" s="11"/>
      <c r="HT477" s="13"/>
      <c r="HU477" s="11"/>
      <c r="HV477" s="12"/>
      <c r="HW477" s="12"/>
      <c r="HX477" s="11"/>
      <c r="HY477" s="13"/>
      <c r="HZ477" s="11"/>
      <c r="IA477" s="11"/>
      <c r="IB477" s="13"/>
      <c r="IC477" s="11"/>
      <c r="ID477" s="12"/>
      <c r="IE477" s="12"/>
      <c r="IF477" s="11"/>
      <c r="IG477" s="13"/>
      <c r="IH477" s="11"/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/>
      <c r="JO477" s="11"/>
      <c r="JP477" s="13"/>
      <c r="JQ477" s="11"/>
      <c r="JR477" s="12"/>
      <c r="JS477" s="12"/>
      <c r="JT477" s="11"/>
      <c r="JU477" s="13"/>
      <c r="JV477" s="11"/>
      <c r="JW477" s="11"/>
      <c r="JX477" s="13"/>
      <c r="JY477" s="11"/>
      <c r="JZ477" s="12"/>
      <c r="KA477" s="12"/>
      <c r="KB477" s="11"/>
      <c r="KC477" s="13"/>
      <c r="KD477" s="11"/>
      <c r="KE477" s="11"/>
      <c r="KF477" s="13"/>
      <c r="KG477" s="11"/>
      <c r="KH477" s="12"/>
      <c r="KI477" s="12"/>
      <c r="KJ477" s="11"/>
      <c r="KK477" s="13"/>
      <c r="KL477" s="11"/>
      <c r="KM477" s="11"/>
      <c r="KN477" s="13"/>
      <c r="KO477" s="11"/>
      <c r="KP477" s="12"/>
      <c r="KQ477" s="12"/>
      <c r="KR477" s="11"/>
      <c r="KS477" s="13"/>
      <c r="KT477" s="11"/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  <c r="LH477" s="11"/>
      <c r="LI477" s="13"/>
      <c r="LJ477" s="11"/>
      <c r="LK477" s="11"/>
      <c r="LL477" s="13"/>
      <c r="LM477" s="11"/>
      <c r="LN477" s="12"/>
      <c r="LO477" s="12"/>
      <c r="LP477" s="11"/>
      <c r="LQ477" s="13"/>
      <c r="LR477" s="11"/>
      <c r="LS477" s="11"/>
      <c r="LT477" s="13"/>
      <c r="LU477" s="11"/>
      <c r="LV477" s="12"/>
      <c r="LW477" s="12"/>
    </row>
    <row r="478">
      <c r="A478" s="10" t="s">
        <v>262</v>
      </c>
      <c r="B478" s="10" t="s">
        <v>265</v>
      </c>
      <c r="C478" s="10" t="s">
        <v>77</v>
      </c>
      <c r="D478" s="11">
        <v>16074</v>
      </c>
      <c r="E478" s="11">
        <f>=ROUNDDOWN({0},0)</f>
      </c>
      <c r="F478" s="11">
        <v>1728</v>
      </c>
      <c r="G478" s="12"/>
      <c r="H478" s="11"/>
      <c r="I478" s="11">
        <f>=ROUNDDOWN({0},0)</f>
      </c>
      <c r="J478" s="11"/>
      <c r="K478" s="12"/>
      <c r="L478" s="11">
        <v>3538</v>
      </c>
      <c r="M478" s="13">
        <v>35867.6</v>
      </c>
      <c r="N478" s="11">
        <v>22</v>
      </c>
      <c r="O478" s="14">
        <v>1630.35</v>
      </c>
      <c r="P478" s="11"/>
      <c r="Q478" s="13"/>
      <c r="R478" s="11"/>
      <c r="S478" s="14"/>
      <c r="T478" s="12"/>
      <c r="U478" s="12"/>
      <c r="V478" s="12"/>
      <c r="W478" s="12"/>
      <c r="X478" s="11">
        <v>3521</v>
      </c>
      <c r="Y478" s="13">
        <v>35666.24</v>
      </c>
      <c r="Z478" s="11">
        <v>22</v>
      </c>
      <c r="AA478" s="11"/>
      <c r="AB478" s="13"/>
      <c r="AC478" s="11"/>
      <c r="AD478" s="12"/>
      <c r="AE478" s="12"/>
      <c r="AF478" s="11"/>
      <c r="AG478" s="13"/>
      <c r="AH478" s="11"/>
      <c r="AI478" s="11"/>
      <c r="AJ478" s="13"/>
      <c r="AK478" s="11"/>
      <c r="AL478" s="12"/>
      <c r="AM478" s="12"/>
      <c r="AN478" s="11"/>
      <c r="AO478" s="13"/>
      <c r="AP478" s="11">
        <v>4</v>
      </c>
      <c r="AQ478" s="11"/>
      <c r="AR478" s="13"/>
      <c r="AS478" s="11"/>
      <c r="AT478" s="12"/>
      <c r="AU478" s="12"/>
      <c r="AV478" s="11"/>
      <c r="AW478" s="13"/>
      <c r="AX478" s="11"/>
      <c r="AY478" s="11"/>
      <c r="AZ478" s="13"/>
      <c r="BA478" s="11"/>
      <c r="BB478" s="12"/>
      <c r="BC478" s="12"/>
      <c r="BD478" s="11"/>
      <c r="BE478" s="13"/>
      <c r="BF478" s="11"/>
      <c r="BG478" s="11"/>
      <c r="BH478" s="13"/>
      <c r="BI478" s="11"/>
      <c r="BJ478" s="12"/>
      <c r="BK478" s="12"/>
      <c r="BL478" s="11">
        <v>17</v>
      </c>
      <c r="BM478" s="13">
        <v>201.36</v>
      </c>
      <c r="BN478" s="11">
        <v>15</v>
      </c>
      <c r="BO478" s="11"/>
      <c r="BP478" s="13"/>
      <c r="BQ478" s="11"/>
      <c r="BR478" s="12"/>
      <c r="BS478" s="12"/>
      <c r="BT478" s="11"/>
      <c r="BU478" s="13"/>
      <c r="BV478" s="11"/>
      <c r="BW478" s="11"/>
      <c r="BX478" s="13"/>
      <c r="BY478" s="11"/>
      <c r="BZ478" s="12"/>
      <c r="CA478" s="12"/>
      <c r="CB478" s="11"/>
      <c r="CC478" s="13"/>
      <c r="CD478" s="11"/>
      <c r="CE478" s="11"/>
      <c r="CF478" s="13"/>
      <c r="CG478" s="11"/>
      <c r="CH478" s="12"/>
      <c r="CI478" s="12"/>
      <c r="CJ478" s="11"/>
      <c r="CK478" s="13"/>
      <c r="CL478" s="11">
        <v>1</v>
      </c>
      <c r="CM478" s="11"/>
      <c r="CN478" s="13"/>
      <c r="CO478" s="11"/>
      <c r="CP478" s="12"/>
      <c r="CQ478" s="12"/>
      <c r="CR478" s="11"/>
      <c r="CS478" s="13"/>
      <c r="CT478" s="11"/>
      <c r="CU478" s="11"/>
      <c r="CV478" s="13"/>
      <c r="CW478" s="11"/>
      <c r="CX478" s="12"/>
      <c r="CY478" s="12"/>
      <c r="CZ478" s="11"/>
      <c r="DA478" s="13"/>
      <c r="DB478" s="11"/>
      <c r="DC478" s="11"/>
      <c r="DD478" s="13"/>
      <c r="DE478" s="11"/>
      <c r="DF478" s="12"/>
      <c r="DG478" s="12"/>
      <c r="DH478" s="11"/>
      <c r="DI478" s="13"/>
      <c r="DJ478" s="11"/>
      <c r="DK478" s="11"/>
      <c r="DL478" s="13"/>
      <c r="DM478" s="11"/>
      <c r="DN478" s="12"/>
      <c r="DO478" s="12"/>
      <c r="DP478" s="11"/>
      <c r="DQ478" s="13"/>
      <c r="DR478" s="11"/>
      <c r="DS478" s="11"/>
      <c r="DT478" s="13"/>
      <c r="DU478" s="11"/>
      <c r="DV478" s="12"/>
      <c r="DW478" s="12"/>
      <c r="DX478" s="11"/>
      <c r="DY478" s="13"/>
      <c r="DZ478" s="11"/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>
        <v>14</v>
      </c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/>
      <c r="FM478" s="13"/>
      <c r="FN478" s="11"/>
      <c r="FO478" s="11"/>
      <c r="FP478" s="13"/>
      <c r="FQ478" s="11"/>
      <c r="FR478" s="12"/>
      <c r="FS478" s="12"/>
      <c r="FT478" s="11"/>
      <c r="FU478" s="13"/>
      <c r="FV478" s="11"/>
      <c r="FW478" s="11"/>
      <c r="FX478" s="13"/>
      <c r="FY478" s="11"/>
      <c r="FZ478" s="12"/>
      <c r="GA478" s="12"/>
      <c r="GB478" s="11"/>
      <c r="GC478" s="13"/>
      <c r="GD478" s="11"/>
      <c r="GE478" s="11"/>
      <c r="GF478" s="13"/>
      <c r="GG478" s="11"/>
      <c r="GH478" s="12"/>
      <c r="GI478" s="12"/>
      <c r="GJ478" s="11"/>
      <c r="GK478" s="13"/>
      <c r="GL478" s="11"/>
      <c r="GM478" s="11"/>
      <c r="GN478" s="13"/>
      <c r="GO478" s="11"/>
      <c r="GP478" s="12"/>
      <c r="GQ478" s="12"/>
      <c r="GR478" s="11"/>
      <c r="GS478" s="13"/>
      <c r="GT478" s="11"/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/>
      <c r="HQ478" s="13"/>
      <c r="HR478" s="11"/>
      <c r="HS478" s="11"/>
      <c r="HT478" s="13"/>
      <c r="HU478" s="11"/>
      <c r="HV478" s="12"/>
      <c r="HW478" s="12"/>
      <c r="HX478" s="11"/>
      <c r="HY478" s="13"/>
      <c r="HZ478" s="11"/>
      <c r="IA478" s="11"/>
      <c r="IB478" s="13"/>
      <c r="IC478" s="11"/>
      <c r="ID478" s="12"/>
      <c r="IE478" s="12"/>
      <c r="IF478" s="11"/>
      <c r="IG478" s="13"/>
      <c r="IH478" s="11"/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/>
      <c r="JO478" s="11"/>
      <c r="JP478" s="13"/>
      <c r="JQ478" s="11"/>
      <c r="JR478" s="12"/>
      <c r="JS478" s="12"/>
      <c r="JT478" s="11"/>
      <c r="JU478" s="13"/>
      <c r="JV478" s="11"/>
      <c r="JW478" s="11"/>
      <c r="JX478" s="13"/>
      <c r="JY478" s="11"/>
      <c r="JZ478" s="12"/>
      <c r="KA478" s="12"/>
      <c r="KB478" s="11"/>
      <c r="KC478" s="13"/>
      <c r="KD478" s="11"/>
      <c r="KE478" s="11"/>
      <c r="KF478" s="13"/>
      <c r="KG478" s="11"/>
      <c r="KH478" s="12"/>
      <c r="KI478" s="12"/>
      <c r="KJ478" s="11"/>
      <c r="KK478" s="13"/>
      <c r="KL478" s="11"/>
      <c r="KM478" s="11"/>
      <c r="KN478" s="13"/>
      <c r="KO478" s="11"/>
      <c r="KP478" s="12"/>
      <c r="KQ478" s="12"/>
      <c r="KR478" s="11"/>
      <c r="KS478" s="13"/>
      <c r="KT478" s="11"/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  <c r="LH478" s="11"/>
      <c r="LI478" s="13"/>
      <c r="LJ478" s="11"/>
      <c r="LK478" s="11"/>
      <c r="LL478" s="13"/>
      <c r="LM478" s="11"/>
      <c r="LN478" s="12"/>
      <c r="LO478" s="12"/>
      <c r="LP478" s="11"/>
      <c r="LQ478" s="13"/>
      <c r="LR478" s="11"/>
      <c r="LS478" s="11"/>
      <c r="LT478" s="13"/>
      <c r="LU478" s="11"/>
      <c r="LV478" s="12"/>
      <c r="LW478" s="12"/>
    </row>
    <row r="479">
      <c r="A479" s="10" t="s">
        <v>266</v>
      </c>
      <c r="B479" s="10" t="s">
        <v>77</v>
      </c>
      <c r="C479" s="10" t="s">
        <v>77</v>
      </c>
      <c r="D479" s="11">
        <v>16074</v>
      </c>
      <c r="E479" s="11">
        <f>=ROUNDDOWN({0},0)</f>
      </c>
      <c r="F479" s="11">
        <v>1728</v>
      </c>
      <c r="G479" s="12"/>
      <c r="H479" s="11"/>
      <c r="I479" s="11">
        <f>=ROUNDDOWN({0},0)</f>
      </c>
      <c r="J479" s="11"/>
      <c r="K479" s="12"/>
      <c r="L479" s="11">
        <v>3538</v>
      </c>
      <c r="M479" s="13">
        <v>35867.6</v>
      </c>
      <c r="N479" s="11">
        <v>22</v>
      </c>
      <c r="O479" s="14">
        <v>1630.35</v>
      </c>
      <c r="P479" s="11"/>
      <c r="Q479" s="13"/>
      <c r="R479" s="11"/>
      <c r="S479" s="14"/>
      <c r="T479" s="12"/>
      <c r="U479" s="12"/>
      <c r="V479" s="12"/>
      <c r="W479" s="12"/>
      <c r="X479" s="11">
        <v>3521</v>
      </c>
      <c r="Y479" s="13">
        <v>35666.24</v>
      </c>
      <c r="Z479" s="11">
        <v>22</v>
      </c>
      <c r="AA479" s="11"/>
      <c r="AB479" s="13"/>
      <c r="AC479" s="11"/>
      <c r="AD479" s="12"/>
      <c r="AE479" s="12"/>
      <c r="AF479" s="11"/>
      <c r="AG479" s="13"/>
      <c r="AH479" s="11"/>
      <c r="AI479" s="11"/>
      <c r="AJ479" s="13"/>
      <c r="AK479" s="11"/>
      <c r="AL479" s="12"/>
      <c r="AM479" s="12"/>
      <c r="AN479" s="11"/>
      <c r="AO479" s="13"/>
      <c r="AP479" s="11">
        <v>4</v>
      </c>
      <c r="AQ479" s="11"/>
      <c r="AR479" s="13"/>
      <c r="AS479" s="11"/>
      <c r="AT479" s="12"/>
      <c r="AU479" s="12"/>
      <c r="AV479" s="11"/>
      <c r="AW479" s="13"/>
      <c r="AX479" s="11"/>
      <c r="AY479" s="11"/>
      <c r="AZ479" s="13"/>
      <c r="BA479" s="11"/>
      <c r="BB479" s="12"/>
      <c r="BC479" s="12"/>
      <c r="BD479" s="11"/>
      <c r="BE479" s="13"/>
      <c r="BF479" s="11"/>
      <c r="BG479" s="11"/>
      <c r="BH479" s="13"/>
      <c r="BI479" s="11"/>
      <c r="BJ479" s="12"/>
      <c r="BK479" s="12"/>
      <c r="BL479" s="11">
        <v>17</v>
      </c>
      <c r="BM479" s="13">
        <v>201.36</v>
      </c>
      <c r="BN479" s="11">
        <v>15</v>
      </c>
      <c r="BO479" s="11"/>
      <c r="BP479" s="13"/>
      <c r="BQ479" s="11"/>
      <c r="BR479" s="12"/>
      <c r="BS479" s="12"/>
      <c r="BT479" s="11"/>
      <c r="BU479" s="13"/>
      <c r="BV479" s="11"/>
      <c r="BW479" s="11"/>
      <c r="BX479" s="13"/>
      <c r="BY479" s="11"/>
      <c r="BZ479" s="12"/>
      <c r="CA479" s="12"/>
      <c r="CB479" s="11"/>
      <c r="CC479" s="13"/>
      <c r="CD479" s="11"/>
      <c r="CE479" s="11"/>
      <c r="CF479" s="13"/>
      <c r="CG479" s="11"/>
      <c r="CH479" s="12"/>
      <c r="CI479" s="12"/>
      <c r="CJ479" s="11"/>
      <c r="CK479" s="13"/>
      <c r="CL479" s="11">
        <v>1</v>
      </c>
      <c r="CM479" s="11"/>
      <c r="CN479" s="13"/>
      <c r="CO479" s="11"/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/>
      <c r="DF479" s="12"/>
      <c r="DG479" s="12"/>
      <c r="DH479" s="11"/>
      <c r="DI479" s="13"/>
      <c r="DJ479" s="11"/>
      <c r="DK479" s="11"/>
      <c r="DL479" s="13"/>
      <c r="DM479" s="11"/>
      <c r="DN479" s="12"/>
      <c r="DO479" s="12"/>
      <c r="DP479" s="11"/>
      <c r="DQ479" s="13"/>
      <c r="DR479" s="11"/>
      <c r="DS479" s="11"/>
      <c r="DT479" s="13"/>
      <c r="DU479" s="11"/>
      <c r="DV479" s="12"/>
      <c r="DW479" s="12"/>
      <c r="DX479" s="11"/>
      <c r="DY479" s="13"/>
      <c r="DZ479" s="11"/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/>
      <c r="EL479" s="12"/>
      <c r="EM479" s="12"/>
      <c r="EN479" s="11"/>
      <c r="EO479" s="13"/>
      <c r="EP479" s="11">
        <v>14</v>
      </c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/>
      <c r="FO479" s="11"/>
      <c r="FP479" s="13"/>
      <c r="FQ479" s="11"/>
      <c r="FR479" s="12"/>
      <c r="FS479" s="12"/>
      <c r="FT479" s="11"/>
      <c r="FU479" s="13"/>
      <c r="FV479" s="11"/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/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/>
      <c r="HI479" s="13"/>
      <c r="HJ479" s="11"/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/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/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/>
      <c r="KN479" s="13"/>
      <c r="KO479" s="11"/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  <c r="LH479" s="11"/>
      <c r="LI479" s="13"/>
      <c r="LJ479" s="11"/>
      <c r="LK479" s="11"/>
      <c r="LL479" s="13"/>
      <c r="LM479" s="11"/>
      <c r="LN479" s="12"/>
      <c r="LO479" s="12"/>
      <c r="LP479" s="11"/>
      <c r="LQ479" s="13"/>
      <c r="LR479" s="11"/>
      <c r="LS479" s="11"/>
      <c r="LT479" s="13"/>
      <c r="LU479" s="11"/>
      <c r="LV479" s="12"/>
      <c r="LW479" s="12"/>
    </row>
    <row r="480">
      <c r="A480" s="10" t="s">
        <v>267</v>
      </c>
      <c r="B480" s="10" t="s">
        <v>263</v>
      </c>
      <c r="C480" s="10" t="s">
        <v>268</v>
      </c>
      <c r="D480" s="11">
        <v>39458</v>
      </c>
      <c r="E480" s="11">
        <f>=ROUNDDOWN(51.3041217006891,0)</f>
      </c>
      <c r="F480" s="11">
        <v>9058</v>
      </c>
      <c r="G480" s="12">
        <v>0.9628</v>
      </c>
      <c r="H480" s="11"/>
      <c r="I480" s="11">
        <f>=ROUNDDOWN({0},0)</f>
      </c>
      <c r="J480" s="11"/>
      <c r="K480" s="12"/>
      <c r="L480" s="11">
        <v>6290</v>
      </c>
      <c r="M480" s="13">
        <v>182160</v>
      </c>
      <c r="N480" s="11">
        <v>75</v>
      </c>
      <c r="O480" s="14">
        <v>2428.8</v>
      </c>
      <c r="P480" s="11"/>
      <c r="Q480" s="13"/>
      <c r="R480" s="11"/>
      <c r="S480" s="14"/>
      <c r="T480" s="12"/>
      <c r="U480" s="12"/>
      <c r="V480" s="12"/>
      <c r="W480" s="12"/>
      <c r="X480" s="11">
        <v>4444</v>
      </c>
      <c r="Y480" s="13">
        <v>131215.93</v>
      </c>
      <c r="Z480" s="11">
        <v>75</v>
      </c>
      <c r="AA480" s="11"/>
      <c r="AB480" s="13"/>
      <c r="AC480" s="11"/>
      <c r="AD480" s="12"/>
      <c r="AE480" s="12"/>
      <c r="AF480" s="11">
        <v>310</v>
      </c>
      <c r="AG480" s="13">
        <v>7668.08</v>
      </c>
      <c r="AH480" s="11">
        <v>75</v>
      </c>
      <c r="AI480" s="11"/>
      <c r="AJ480" s="13"/>
      <c r="AK480" s="11"/>
      <c r="AL480" s="12"/>
      <c r="AM480" s="12"/>
      <c r="AN480" s="11">
        <v>463</v>
      </c>
      <c r="AO480" s="13">
        <v>14005.06</v>
      </c>
      <c r="AP480" s="11">
        <v>32</v>
      </c>
      <c r="AQ480" s="11"/>
      <c r="AR480" s="13"/>
      <c r="AS480" s="11"/>
      <c r="AT480" s="12"/>
      <c r="AU480" s="12"/>
      <c r="AV480" s="11"/>
      <c r="AW480" s="13"/>
      <c r="AX480" s="11"/>
      <c r="AY480" s="11"/>
      <c r="AZ480" s="13"/>
      <c r="BA480" s="11"/>
      <c r="BB480" s="12"/>
      <c r="BC480" s="12"/>
      <c r="BD480" s="11"/>
      <c r="BE480" s="13"/>
      <c r="BF480" s="11"/>
      <c r="BG480" s="11"/>
      <c r="BH480" s="13"/>
      <c r="BI480" s="11"/>
      <c r="BJ480" s="12"/>
      <c r="BK480" s="12"/>
      <c r="BL480" s="11">
        <v>36</v>
      </c>
      <c r="BM480" s="13">
        <v>1091.43</v>
      </c>
      <c r="BN480" s="11">
        <v>27</v>
      </c>
      <c r="BO480" s="11"/>
      <c r="BP480" s="13"/>
      <c r="BQ480" s="11"/>
      <c r="BR480" s="12"/>
      <c r="BS480" s="12"/>
      <c r="BT480" s="11">
        <v>24</v>
      </c>
      <c r="BU480" s="13">
        <v>430.94</v>
      </c>
      <c r="BV480" s="11">
        <v>2</v>
      </c>
      <c r="BW480" s="11"/>
      <c r="BX480" s="13"/>
      <c r="BY480" s="11"/>
      <c r="BZ480" s="12"/>
      <c r="CA480" s="12"/>
      <c r="CB480" s="11"/>
      <c r="CC480" s="13"/>
      <c r="CD480" s="11"/>
      <c r="CE480" s="11"/>
      <c r="CF480" s="13"/>
      <c r="CG480" s="11"/>
      <c r="CH480" s="12"/>
      <c r="CI480" s="12"/>
      <c r="CJ480" s="11"/>
      <c r="CK480" s="13"/>
      <c r="CL480" s="11"/>
      <c r="CM480" s="11"/>
      <c r="CN480" s="13"/>
      <c r="CO480" s="11"/>
      <c r="CP480" s="12"/>
      <c r="CQ480" s="12"/>
      <c r="CR480" s="11"/>
      <c r="CS480" s="13"/>
      <c r="CT480" s="11"/>
      <c r="CU480" s="11"/>
      <c r="CV480" s="13"/>
      <c r="CW480" s="11"/>
      <c r="CX480" s="12"/>
      <c r="CY480" s="12"/>
      <c r="CZ480" s="11"/>
      <c r="DA480" s="13"/>
      <c r="DB480" s="11"/>
      <c r="DC480" s="11"/>
      <c r="DD480" s="13"/>
      <c r="DE480" s="11"/>
      <c r="DF480" s="12"/>
      <c r="DG480" s="12"/>
      <c r="DH480" s="11"/>
      <c r="DI480" s="13"/>
      <c r="DJ480" s="11"/>
      <c r="DK480" s="11"/>
      <c r="DL480" s="13"/>
      <c r="DM480" s="11"/>
      <c r="DN480" s="12"/>
      <c r="DO480" s="12"/>
      <c r="DP480" s="11"/>
      <c r="DQ480" s="13"/>
      <c r="DR480" s="11"/>
      <c r="DS480" s="11"/>
      <c r="DT480" s="13"/>
      <c r="DU480" s="11"/>
      <c r="DV480" s="12"/>
      <c r="DW480" s="12"/>
      <c r="DX480" s="11"/>
      <c r="DY480" s="13"/>
      <c r="DZ480" s="11"/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>
        <v>1</v>
      </c>
      <c r="EO480" s="13">
        <v>38.49</v>
      </c>
      <c r="EP480" s="11">
        <v>70</v>
      </c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/>
      <c r="FU480" s="13"/>
      <c r="FV480" s="11"/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/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/>
      <c r="HI480" s="13"/>
      <c r="HJ480" s="11"/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>
        <v>1012</v>
      </c>
      <c r="IG480" s="13">
        <v>27710.07</v>
      </c>
      <c r="IH480" s="11">
        <v>21</v>
      </c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/>
      <c r="JR480" s="12"/>
      <c r="JS480" s="12"/>
      <c r="JT480" s="11"/>
      <c r="JU480" s="13"/>
      <c r="JV480" s="11"/>
      <c r="JW480" s="11"/>
      <c r="JX480" s="13"/>
      <c r="JY480" s="11"/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/>
      <c r="KN480" s="13"/>
      <c r="KO480" s="11"/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  <c r="LH480" s="11"/>
      <c r="LI480" s="13"/>
      <c r="LJ480" s="11"/>
      <c r="LK480" s="11"/>
      <c r="LL480" s="13"/>
      <c r="LM480" s="11"/>
      <c r="LN480" s="12"/>
      <c r="LO480" s="12"/>
      <c r="LP480" s="11"/>
      <c r="LQ480" s="13"/>
      <c r="LR480" s="11"/>
      <c r="LS480" s="11"/>
      <c r="LT480" s="13"/>
      <c r="LU480" s="11"/>
      <c r="LV480" s="12"/>
      <c r="LW480" s="12"/>
    </row>
    <row r="481">
      <c r="A481" s="10" t="s">
        <v>267</v>
      </c>
      <c r="B481" s="10" t="s">
        <v>265</v>
      </c>
      <c r="C481" s="10" t="s">
        <v>77</v>
      </c>
      <c r="D481" s="11">
        <v>39458</v>
      </c>
      <c r="E481" s="11">
        <f>=ROUNDDOWN({0},0)</f>
      </c>
      <c r="F481" s="11">
        <v>9058</v>
      </c>
      <c r="G481" s="12"/>
      <c r="H481" s="11"/>
      <c r="I481" s="11">
        <f>=ROUNDDOWN({0},0)</f>
      </c>
      <c r="J481" s="11"/>
      <c r="K481" s="12"/>
      <c r="L481" s="11">
        <v>6290</v>
      </c>
      <c r="M481" s="13">
        <v>182160</v>
      </c>
      <c r="N481" s="11">
        <v>75</v>
      </c>
      <c r="O481" s="14">
        <v>2428.8</v>
      </c>
      <c r="P481" s="11"/>
      <c r="Q481" s="13"/>
      <c r="R481" s="11"/>
      <c r="S481" s="14"/>
      <c r="T481" s="12"/>
      <c r="U481" s="12"/>
      <c r="V481" s="12"/>
      <c r="W481" s="12"/>
      <c r="X481" s="11">
        <v>4444</v>
      </c>
      <c r="Y481" s="13">
        <v>131215.93</v>
      </c>
      <c r="Z481" s="11">
        <v>75</v>
      </c>
      <c r="AA481" s="11"/>
      <c r="AB481" s="13"/>
      <c r="AC481" s="11"/>
      <c r="AD481" s="12"/>
      <c r="AE481" s="12"/>
      <c r="AF481" s="11">
        <v>310</v>
      </c>
      <c r="AG481" s="13">
        <v>7668.08</v>
      </c>
      <c r="AH481" s="11">
        <v>75</v>
      </c>
      <c r="AI481" s="11"/>
      <c r="AJ481" s="13"/>
      <c r="AK481" s="11"/>
      <c r="AL481" s="12"/>
      <c r="AM481" s="12"/>
      <c r="AN481" s="11">
        <v>463</v>
      </c>
      <c r="AO481" s="13">
        <v>14005.06</v>
      </c>
      <c r="AP481" s="11">
        <v>32</v>
      </c>
      <c r="AQ481" s="11"/>
      <c r="AR481" s="13"/>
      <c r="AS481" s="11"/>
      <c r="AT481" s="12"/>
      <c r="AU481" s="12"/>
      <c r="AV481" s="11"/>
      <c r="AW481" s="13"/>
      <c r="AX481" s="11"/>
      <c r="AY481" s="11"/>
      <c r="AZ481" s="13"/>
      <c r="BA481" s="11"/>
      <c r="BB481" s="12"/>
      <c r="BC481" s="12"/>
      <c r="BD481" s="11"/>
      <c r="BE481" s="13"/>
      <c r="BF481" s="11"/>
      <c r="BG481" s="11"/>
      <c r="BH481" s="13"/>
      <c r="BI481" s="11"/>
      <c r="BJ481" s="12"/>
      <c r="BK481" s="12"/>
      <c r="BL481" s="11">
        <v>36</v>
      </c>
      <c r="BM481" s="13">
        <v>1091.43</v>
      </c>
      <c r="BN481" s="11">
        <v>27</v>
      </c>
      <c r="BO481" s="11"/>
      <c r="BP481" s="13"/>
      <c r="BQ481" s="11"/>
      <c r="BR481" s="12"/>
      <c r="BS481" s="12"/>
      <c r="BT481" s="11">
        <v>24</v>
      </c>
      <c r="BU481" s="13">
        <v>430.94</v>
      </c>
      <c r="BV481" s="11">
        <v>2</v>
      </c>
      <c r="BW481" s="11"/>
      <c r="BX481" s="13"/>
      <c r="BY481" s="11"/>
      <c r="BZ481" s="12"/>
      <c r="CA481" s="12"/>
      <c r="CB481" s="11"/>
      <c r="CC481" s="13"/>
      <c r="CD481" s="11"/>
      <c r="CE481" s="11"/>
      <c r="CF481" s="13"/>
      <c r="CG481" s="11"/>
      <c r="CH481" s="12"/>
      <c r="CI481" s="12"/>
      <c r="CJ481" s="11"/>
      <c r="CK481" s="13"/>
      <c r="CL481" s="11"/>
      <c r="CM481" s="11"/>
      <c r="CN481" s="13"/>
      <c r="CO481" s="11"/>
      <c r="CP481" s="12"/>
      <c r="CQ481" s="12"/>
      <c r="CR481" s="11"/>
      <c r="CS481" s="13"/>
      <c r="CT481" s="11"/>
      <c r="CU481" s="11"/>
      <c r="CV481" s="13"/>
      <c r="CW481" s="11"/>
      <c r="CX481" s="12"/>
      <c r="CY481" s="12"/>
      <c r="CZ481" s="11"/>
      <c r="DA481" s="13"/>
      <c r="DB481" s="11"/>
      <c r="DC481" s="11"/>
      <c r="DD481" s="13"/>
      <c r="DE481" s="11"/>
      <c r="DF481" s="12"/>
      <c r="DG481" s="12"/>
      <c r="DH481" s="11"/>
      <c r="DI481" s="13"/>
      <c r="DJ481" s="11"/>
      <c r="DK481" s="11"/>
      <c r="DL481" s="13"/>
      <c r="DM481" s="11"/>
      <c r="DN481" s="12"/>
      <c r="DO481" s="12"/>
      <c r="DP481" s="11"/>
      <c r="DQ481" s="13"/>
      <c r="DR481" s="11"/>
      <c r="DS481" s="11"/>
      <c r="DT481" s="13"/>
      <c r="DU481" s="11"/>
      <c r="DV481" s="12"/>
      <c r="DW481" s="12"/>
      <c r="DX481" s="11"/>
      <c r="DY481" s="13"/>
      <c r="DZ481" s="11"/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>
        <v>1</v>
      </c>
      <c r="EO481" s="13">
        <v>38.49</v>
      </c>
      <c r="EP481" s="11">
        <v>70</v>
      </c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/>
      <c r="FU481" s="13"/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/>
      <c r="GS481" s="13"/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/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>
        <v>1012</v>
      </c>
      <c r="IG481" s="13">
        <v>27710.07</v>
      </c>
      <c r="IH481" s="11">
        <v>21</v>
      </c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/>
      <c r="JG481" s="11"/>
      <c r="JH481" s="13"/>
      <c r="JI481" s="11"/>
      <c r="JJ481" s="12"/>
      <c r="JK481" s="12"/>
      <c r="JL481" s="11"/>
      <c r="JM481" s="13"/>
      <c r="JN481" s="11"/>
      <c r="JO481" s="11"/>
      <c r="JP481" s="13"/>
      <c r="JQ481" s="11"/>
      <c r="JR481" s="12"/>
      <c r="JS481" s="12"/>
      <c r="JT481" s="11"/>
      <c r="JU481" s="13"/>
      <c r="JV481" s="11"/>
      <c r="JW481" s="11"/>
      <c r="JX481" s="13"/>
      <c r="JY481" s="11"/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/>
      <c r="KN481" s="13"/>
      <c r="KO481" s="11"/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  <c r="LH481" s="11"/>
      <c r="LI481" s="13"/>
      <c r="LJ481" s="11"/>
      <c r="LK481" s="11"/>
      <c r="LL481" s="13"/>
      <c r="LM481" s="11"/>
      <c r="LN481" s="12"/>
      <c r="LO481" s="12"/>
      <c r="LP481" s="11"/>
      <c r="LQ481" s="13"/>
      <c r="LR481" s="11"/>
      <c r="LS481" s="11"/>
      <c r="LT481" s="13"/>
      <c r="LU481" s="11"/>
      <c r="LV481" s="12"/>
      <c r="LW481" s="12"/>
    </row>
    <row r="482">
      <c r="A482" s="10" t="s">
        <v>267</v>
      </c>
      <c r="B482" s="10" t="s">
        <v>113</v>
      </c>
      <c r="C482" s="10" t="s">
        <v>268</v>
      </c>
      <c r="D482" s="11">
        <v>1612</v>
      </c>
      <c r="E482" s="11">
        <f>=ROUNDDOWN(82.2448979591837,0)</f>
      </c>
      <c r="F482" s="11"/>
      <c r="G482" s="12"/>
      <c r="H482" s="11"/>
      <c r="I482" s="11">
        <f>=ROUNDDOWN({0},0)</f>
      </c>
      <c r="J482" s="11"/>
      <c r="K482" s="12"/>
      <c r="L482" s="11">
        <v>85</v>
      </c>
      <c r="M482" s="13">
        <v>2480.29</v>
      </c>
      <c r="N482" s="11">
        <v>21</v>
      </c>
      <c r="O482" s="14">
        <v>118.11</v>
      </c>
      <c r="P482" s="11"/>
      <c r="Q482" s="13"/>
      <c r="R482" s="11"/>
      <c r="S482" s="14"/>
      <c r="T482" s="12"/>
      <c r="U482" s="12"/>
      <c r="V482" s="12"/>
      <c r="W482" s="12"/>
      <c r="X482" s="11"/>
      <c r="Y482" s="13"/>
      <c r="Z482" s="11"/>
      <c r="AA482" s="11"/>
      <c r="AB482" s="13"/>
      <c r="AC482" s="11"/>
      <c r="AD482" s="12"/>
      <c r="AE482" s="12"/>
      <c r="AF482" s="11"/>
      <c r="AG482" s="13"/>
      <c r="AH482" s="11"/>
      <c r="AI482" s="11"/>
      <c r="AJ482" s="13"/>
      <c r="AK482" s="11"/>
      <c r="AL482" s="12"/>
      <c r="AM482" s="12"/>
      <c r="AN482" s="11">
        <v>85</v>
      </c>
      <c r="AO482" s="13">
        <v>2480.29</v>
      </c>
      <c r="AP482" s="11">
        <v>21</v>
      </c>
      <c r="AQ482" s="11"/>
      <c r="AR482" s="13"/>
      <c r="AS482" s="11"/>
      <c r="AT482" s="12"/>
      <c r="AU482" s="12"/>
      <c r="AV482" s="11"/>
      <c r="AW482" s="13"/>
      <c r="AX482" s="11"/>
      <c r="AY482" s="11"/>
      <c r="AZ482" s="13"/>
      <c r="BA482" s="11"/>
      <c r="BB482" s="12"/>
      <c r="BC482" s="12"/>
      <c r="BD482" s="11"/>
      <c r="BE482" s="13"/>
      <c r="BF482" s="11"/>
      <c r="BG482" s="11"/>
      <c r="BH482" s="13"/>
      <c r="BI482" s="11"/>
      <c r="BJ482" s="12"/>
      <c r="BK482" s="12"/>
      <c r="BL482" s="11"/>
      <c r="BM482" s="13"/>
      <c r="BN482" s="11"/>
      <c r="BO482" s="11"/>
      <c r="BP482" s="13"/>
      <c r="BQ482" s="11"/>
      <c r="BR482" s="12"/>
      <c r="BS482" s="12"/>
      <c r="BT482" s="11"/>
      <c r="BU482" s="13"/>
      <c r="BV482" s="11"/>
      <c r="BW482" s="11"/>
      <c r="BX482" s="13"/>
      <c r="BY482" s="11"/>
      <c r="BZ482" s="12"/>
      <c r="CA482" s="12"/>
      <c r="CB482" s="11"/>
      <c r="CC482" s="13"/>
      <c r="CD482" s="11"/>
      <c r="CE482" s="11"/>
      <c r="CF482" s="13"/>
      <c r="CG482" s="11"/>
      <c r="CH482" s="12"/>
      <c r="CI482" s="12"/>
      <c r="CJ482" s="11"/>
      <c r="CK482" s="13"/>
      <c r="CL482" s="11">
        <v>20</v>
      </c>
      <c r="CM482" s="11"/>
      <c r="CN482" s="13"/>
      <c r="CO482" s="11"/>
      <c r="CP482" s="12"/>
      <c r="CQ482" s="12"/>
      <c r="CR482" s="11"/>
      <c r="CS482" s="13"/>
      <c r="CT482" s="11"/>
      <c r="CU482" s="11"/>
      <c r="CV482" s="13"/>
      <c r="CW482" s="11"/>
      <c r="CX482" s="12"/>
      <c r="CY482" s="12"/>
      <c r="CZ482" s="11"/>
      <c r="DA482" s="13"/>
      <c r="DB482" s="11"/>
      <c r="DC482" s="11"/>
      <c r="DD482" s="13"/>
      <c r="DE482" s="11"/>
      <c r="DF482" s="12"/>
      <c r="DG482" s="12"/>
      <c r="DH482" s="11"/>
      <c r="DI482" s="13"/>
      <c r="DJ482" s="11"/>
      <c r="DK482" s="11"/>
      <c r="DL482" s="13"/>
      <c r="DM482" s="11"/>
      <c r="DN482" s="12"/>
      <c r="DO482" s="12"/>
      <c r="DP482" s="11"/>
      <c r="DQ482" s="13"/>
      <c r="DR482" s="11"/>
      <c r="DS482" s="11"/>
      <c r="DT482" s="13"/>
      <c r="DU482" s="11"/>
      <c r="DV482" s="12"/>
      <c r="DW482" s="12"/>
      <c r="DX482" s="11"/>
      <c r="DY482" s="13"/>
      <c r="DZ482" s="11"/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/>
      <c r="EL482" s="12"/>
      <c r="EM482" s="12"/>
      <c r="EN482" s="11"/>
      <c r="EO482" s="13"/>
      <c r="EP482" s="11">
        <v>21</v>
      </c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/>
      <c r="FO482" s="11"/>
      <c r="FP482" s="13"/>
      <c r="FQ482" s="11"/>
      <c r="FR482" s="12"/>
      <c r="FS482" s="12"/>
      <c r="FT482" s="11"/>
      <c r="FU482" s="13"/>
      <c r="FV482" s="11"/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/>
      <c r="GS482" s="13"/>
      <c r="GT482" s="11"/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/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/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/>
      <c r="JG482" s="11"/>
      <c r="JH482" s="13"/>
      <c r="JI482" s="11"/>
      <c r="JJ482" s="12"/>
      <c r="JK482" s="12"/>
      <c r="JL482" s="11"/>
      <c r="JM482" s="13"/>
      <c r="JN482" s="11"/>
      <c r="JO482" s="11"/>
      <c r="JP482" s="13"/>
      <c r="JQ482" s="11"/>
      <c r="JR482" s="12"/>
      <c r="JS482" s="12"/>
      <c r="JT482" s="11"/>
      <c r="JU482" s="13"/>
      <c r="JV482" s="11"/>
      <c r="JW482" s="11"/>
      <c r="JX482" s="13"/>
      <c r="JY482" s="11"/>
      <c r="JZ482" s="12"/>
      <c r="KA482" s="12"/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/>
      <c r="KN482" s="13"/>
      <c r="KO482" s="11"/>
      <c r="KP482" s="12"/>
      <c r="KQ482" s="12"/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  <c r="LH482" s="11"/>
      <c r="LI482" s="13"/>
      <c r="LJ482" s="11"/>
      <c r="LK482" s="11"/>
      <c r="LL482" s="13"/>
      <c r="LM482" s="11"/>
      <c r="LN482" s="12"/>
      <c r="LO482" s="12"/>
      <c r="LP482" s="11"/>
      <c r="LQ482" s="13"/>
      <c r="LR482" s="11"/>
      <c r="LS482" s="11"/>
      <c r="LT482" s="13"/>
      <c r="LU482" s="11"/>
      <c r="LV482" s="12"/>
      <c r="LW482" s="12"/>
    </row>
    <row r="483">
      <c r="A483" s="10" t="s">
        <v>267</v>
      </c>
      <c r="B483" s="10" t="s">
        <v>116</v>
      </c>
      <c r="C483" s="10" t="s">
        <v>77</v>
      </c>
      <c r="D483" s="11">
        <v>1612</v>
      </c>
      <c r="E483" s="11">
        <f>=ROUNDDOWN({0},0)</f>
      </c>
      <c r="F483" s="11"/>
      <c r="G483" s="12"/>
      <c r="H483" s="11"/>
      <c r="I483" s="11">
        <f>=ROUNDDOWN({0},0)</f>
      </c>
      <c r="J483" s="11"/>
      <c r="K483" s="12"/>
      <c r="L483" s="11">
        <v>85</v>
      </c>
      <c r="M483" s="13">
        <v>2480.29</v>
      </c>
      <c r="N483" s="11">
        <v>21</v>
      </c>
      <c r="O483" s="14">
        <v>118.11</v>
      </c>
      <c r="P483" s="11"/>
      <c r="Q483" s="13"/>
      <c r="R483" s="11"/>
      <c r="S483" s="14"/>
      <c r="T483" s="12"/>
      <c r="U483" s="12"/>
      <c r="V483" s="12"/>
      <c r="W483" s="12"/>
      <c r="X483" s="11"/>
      <c r="Y483" s="13"/>
      <c r="Z483" s="11"/>
      <c r="AA483" s="11"/>
      <c r="AB483" s="13"/>
      <c r="AC483" s="11"/>
      <c r="AD483" s="12"/>
      <c r="AE483" s="12"/>
      <c r="AF483" s="11"/>
      <c r="AG483" s="13"/>
      <c r="AH483" s="11"/>
      <c r="AI483" s="11"/>
      <c r="AJ483" s="13"/>
      <c r="AK483" s="11"/>
      <c r="AL483" s="12"/>
      <c r="AM483" s="12"/>
      <c r="AN483" s="11">
        <v>85</v>
      </c>
      <c r="AO483" s="13">
        <v>2480.29</v>
      </c>
      <c r="AP483" s="11">
        <v>21</v>
      </c>
      <c r="AQ483" s="11"/>
      <c r="AR483" s="13"/>
      <c r="AS483" s="11"/>
      <c r="AT483" s="12"/>
      <c r="AU483" s="12"/>
      <c r="AV483" s="11"/>
      <c r="AW483" s="13"/>
      <c r="AX483" s="11"/>
      <c r="AY483" s="11"/>
      <c r="AZ483" s="13"/>
      <c r="BA483" s="11"/>
      <c r="BB483" s="12"/>
      <c r="BC483" s="12"/>
      <c r="BD483" s="11"/>
      <c r="BE483" s="13"/>
      <c r="BF483" s="11"/>
      <c r="BG483" s="11"/>
      <c r="BH483" s="13"/>
      <c r="BI483" s="11"/>
      <c r="BJ483" s="12"/>
      <c r="BK483" s="12"/>
      <c r="BL483" s="11"/>
      <c r="BM483" s="13"/>
      <c r="BN483" s="11"/>
      <c r="BO483" s="11"/>
      <c r="BP483" s="13"/>
      <c r="BQ483" s="11"/>
      <c r="BR483" s="12"/>
      <c r="BS483" s="12"/>
      <c r="BT483" s="11"/>
      <c r="BU483" s="13"/>
      <c r="BV483" s="11"/>
      <c r="BW483" s="11"/>
      <c r="BX483" s="13"/>
      <c r="BY483" s="11"/>
      <c r="BZ483" s="12"/>
      <c r="CA483" s="12"/>
      <c r="CB483" s="11"/>
      <c r="CC483" s="13"/>
      <c r="CD483" s="11"/>
      <c r="CE483" s="11"/>
      <c r="CF483" s="13"/>
      <c r="CG483" s="11"/>
      <c r="CH483" s="12"/>
      <c r="CI483" s="12"/>
      <c r="CJ483" s="11"/>
      <c r="CK483" s="13"/>
      <c r="CL483" s="11">
        <v>20</v>
      </c>
      <c r="CM483" s="11"/>
      <c r="CN483" s="13"/>
      <c r="CO483" s="11"/>
      <c r="CP483" s="12"/>
      <c r="CQ483" s="12"/>
      <c r="CR483" s="11"/>
      <c r="CS483" s="13"/>
      <c r="CT483" s="11"/>
      <c r="CU483" s="11"/>
      <c r="CV483" s="13"/>
      <c r="CW483" s="11"/>
      <c r="CX483" s="12"/>
      <c r="CY483" s="12"/>
      <c r="CZ483" s="11"/>
      <c r="DA483" s="13"/>
      <c r="DB483" s="11"/>
      <c r="DC483" s="11"/>
      <c r="DD483" s="13"/>
      <c r="DE483" s="11"/>
      <c r="DF483" s="12"/>
      <c r="DG483" s="12"/>
      <c r="DH483" s="11"/>
      <c r="DI483" s="13"/>
      <c r="DJ483" s="11"/>
      <c r="DK483" s="11"/>
      <c r="DL483" s="13"/>
      <c r="DM483" s="11"/>
      <c r="DN483" s="12"/>
      <c r="DO483" s="12"/>
      <c r="DP483" s="11"/>
      <c r="DQ483" s="13"/>
      <c r="DR483" s="11"/>
      <c r="DS483" s="11"/>
      <c r="DT483" s="13"/>
      <c r="DU483" s="11"/>
      <c r="DV483" s="12"/>
      <c r="DW483" s="12"/>
      <c r="DX483" s="11"/>
      <c r="DY483" s="13"/>
      <c r="DZ483" s="11"/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>
        <v>21</v>
      </c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/>
      <c r="FM483" s="13"/>
      <c r="FN483" s="11"/>
      <c r="FO483" s="11"/>
      <c r="FP483" s="13"/>
      <c r="FQ483" s="11"/>
      <c r="FR483" s="12"/>
      <c r="FS483" s="12"/>
      <c r="FT483" s="11"/>
      <c r="FU483" s="13"/>
      <c r="FV483" s="11"/>
      <c r="FW483" s="11"/>
      <c r="FX483" s="13"/>
      <c r="FY483" s="11"/>
      <c r="FZ483" s="12"/>
      <c r="GA483" s="12"/>
      <c r="GB483" s="11"/>
      <c r="GC483" s="13"/>
      <c r="GD483" s="11"/>
      <c r="GE483" s="11"/>
      <c r="GF483" s="13"/>
      <c r="GG483" s="11"/>
      <c r="GH483" s="12"/>
      <c r="GI483" s="12"/>
      <c r="GJ483" s="11"/>
      <c r="GK483" s="13"/>
      <c r="GL483" s="11"/>
      <c r="GM483" s="11"/>
      <c r="GN483" s="13"/>
      <c r="GO483" s="11"/>
      <c r="GP483" s="12"/>
      <c r="GQ483" s="12"/>
      <c r="GR483" s="11"/>
      <c r="GS483" s="13"/>
      <c r="GT483" s="11"/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/>
      <c r="JG483" s="11"/>
      <c r="JH483" s="13"/>
      <c r="JI483" s="11"/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/>
      <c r="JX483" s="13"/>
      <c r="JY483" s="11"/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/>
      <c r="KN483" s="13"/>
      <c r="KO483" s="11"/>
      <c r="KP483" s="12"/>
      <c r="KQ483" s="12"/>
      <c r="KR483" s="11"/>
      <c r="KS483" s="13"/>
      <c r="KT483" s="11"/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  <c r="LH483" s="11"/>
      <c r="LI483" s="13"/>
      <c r="LJ483" s="11"/>
      <c r="LK483" s="11"/>
      <c r="LL483" s="13"/>
      <c r="LM483" s="11"/>
      <c r="LN483" s="12"/>
      <c r="LO483" s="12"/>
      <c r="LP483" s="11"/>
      <c r="LQ483" s="13"/>
      <c r="LR483" s="11"/>
      <c r="LS483" s="11"/>
      <c r="LT483" s="13"/>
      <c r="LU483" s="11"/>
      <c r="LV483" s="12"/>
      <c r="LW483" s="12"/>
    </row>
    <row r="484">
      <c r="A484" s="10" t="s">
        <v>267</v>
      </c>
      <c r="B484" s="10" t="s">
        <v>163</v>
      </c>
      <c r="C484" s="10" t="s">
        <v>268</v>
      </c>
      <c r="D484" s="11">
        <v>1</v>
      </c>
      <c r="E484" s="11">
        <f>=ROUNDDOWN(0.192307692307692,0)</f>
      </c>
      <c r="F484" s="11"/>
      <c r="G484" s="12"/>
      <c r="H484" s="11"/>
      <c r="I484" s="11">
        <f>=ROUNDDOWN({0},0)</f>
      </c>
      <c r="J484" s="11"/>
      <c r="K484" s="12"/>
      <c r="L484" s="11">
        <v>133</v>
      </c>
      <c r="M484" s="13">
        <v>3745.28</v>
      </c>
      <c r="N484" s="11"/>
      <c r="O484" s="14"/>
      <c r="P484" s="11"/>
      <c r="Q484" s="13"/>
      <c r="R484" s="11"/>
      <c r="S484" s="14"/>
      <c r="T484" s="12"/>
      <c r="U484" s="12"/>
      <c r="V484" s="12"/>
      <c r="W484" s="12"/>
      <c r="X484" s="11">
        <v>41</v>
      </c>
      <c r="Y484" s="13">
        <v>1290.69</v>
      </c>
      <c r="Z484" s="11"/>
      <c r="AA484" s="11"/>
      <c r="AB484" s="13"/>
      <c r="AC484" s="11"/>
      <c r="AD484" s="12"/>
      <c r="AE484" s="12"/>
      <c r="AF484" s="11">
        <v>48</v>
      </c>
      <c r="AG484" s="13">
        <v>998</v>
      </c>
      <c r="AH484" s="11"/>
      <c r="AI484" s="11"/>
      <c r="AJ484" s="13"/>
      <c r="AK484" s="11"/>
      <c r="AL484" s="12"/>
      <c r="AM484" s="12"/>
      <c r="AN484" s="11">
        <v>17</v>
      </c>
      <c r="AO484" s="13">
        <v>584.81</v>
      </c>
      <c r="AP484" s="11"/>
      <c r="AQ484" s="11"/>
      <c r="AR484" s="13"/>
      <c r="AS484" s="11"/>
      <c r="AT484" s="12"/>
      <c r="AU484" s="12"/>
      <c r="AV484" s="11"/>
      <c r="AW484" s="13"/>
      <c r="AX484" s="11"/>
      <c r="AY484" s="11"/>
      <c r="AZ484" s="13"/>
      <c r="BA484" s="11"/>
      <c r="BB484" s="12"/>
      <c r="BC484" s="12"/>
      <c r="BD484" s="11"/>
      <c r="BE484" s="13"/>
      <c r="BF484" s="11"/>
      <c r="BG484" s="11"/>
      <c r="BH484" s="13"/>
      <c r="BI484" s="11"/>
      <c r="BJ484" s="12"/>
      <c r="BK484" s="12"/>
      <c r="BL484" s="11"/>
      <c r="BM484" s="13"/>
      <c r="BN484" s="11"/>
      <c r="BO484" s="11"/>
      <c r="BP484" s="13"/>
      <c r="BQ484" s="11"/>
      <c r="BR484" s="12"/>
      <c r="BS484" s="12"/>
      <c r="BT484" s="11">
        <v>12</v>
      </c>
      <c r="BU484" s="13">
        <v>401.82</v>
      </c>
      <c r="BV484" s="11"/>
      <c r="BW484" s="11"/>
      <c r="BX484" s="13"/>
      <c r="BY484" s="11"/>
      <c r="BZ484" s="12"/>
      <c r="CA484" s="12"/>
      <c r="CB484" s="11"/>
      <c r="CC484" s="13"/>
      <c r="CD484" s="11"/>
      <c r="CE484" s="11"/>
      <c r="CF484" s="13"/>
      <c r="CG484" s="11"/>
      <c r="CH484" s="12"/>
      <c r="CI484" s="12"/>
      <c r="CJ484" s="11"/>
      <c r="CK484" s="13"/>
      <c r="CL484" s="11"/>
      <c r="CM484" s="11"/>
      <c r="CN484" s="13"/>
      <c r="CO484" s="11"/>
      <c r="CP484" s="12"/>
      <c r="CQ484" s="12"/>
      <c r="CR484" s="11"/>
      <c r="CS484" s="13"/>
      <c r="CT484" s="11"/>
      <c r="CU484" s="11"/>
      <c r="CV484" s="13"/>
      <c r="CW484" s="11"/>
      <c r="CX484" s="12"/>
      <c r="CY484" s="12"/>
      <c r="CZ484" s="11"/>
      <c r="DA484" s="13"/>
      <c r="DB484" s="11"/>
      <c r="DC484" s="11"/>
      <c r="DD484" s="13"/>
      <c r="DE484" s="11"/>
      <c r="DF484" s="12"/>
      <c r="DG484" s="12"/>
      <c r="DH484" s="11"/>
      <c r="DI484" s="13"/>
      <c r="DJ484" s="11"/>
      <c r="DK484" s="11"/>
      <c r="DL484" s="13"/>
      <c r="DM484" s="11"/>
      <c r="DN484" s="12"/>
      <c r="DO484" s="12"/>
      <c r="DP484" s="11">
        <v>15</v>
      </c>
      <c r="DQ484" s="13">
        <v>469.96</v>
      </c>
      <c r="DR484" s="11"/>
      <c r="DS484" s="11"/>
      <c r="DT484" s="13"/>
      <c r="DU484" s="11"/>
      <c r="DV484" s="12"/>
      <c r="DW484" s="12"/>
      <c r="DX484" s="11"/>
      <c r="DY484" s="13"/>
      <c r="DZ484" s="11"/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/>
      <c r="EO484" s="13"/>
      <c r="EP484" s="11"/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/>
      <c r="FM484" s="13"/>
      <c r="FN484" s="11"/>
      <c r="FO484" s="11"/>
      <c r="FP484" s="13"/>
      <c r="FQ484" s="11"/>
      <c r="FR484" s="12"/>
      <c r="FS484" s="12"/>
      <c r="FT484" s="11"/>
      <c r="FU484" s="13"/>
      <c r="FV484" s="11"/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/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/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/>
      <c r="IY484" s="11"/>
      <c r="IZ484" s="13"/>
      <c r="JA484" s="11"/>
      <c r="JB484" s="12"/>
      <c r="JC484" s="12"/>
      <c r="JD484" s="11"/>
      <c r="JE484" s="13"/>
      <c r="JF484" s="11"/>
      <c r="JG484" s="11"/>
      <c r="JH484" s="13"/>
      <c r="JI484" s="11"/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/>
      <c r="JW484" s="11"/>
      <c r="JX484" s="13"/>
      <c r="JY484" s="11"/>
      <c r="JZ484" s="12"/>
      <c r="KA484" s="12"/>
      <c r="KB484" s="11"/>
      <c r="KC484" s="13"/>
      <c r="KD484" s="11"/>
      <c r="KE484" s="11"/>
      <c r="KF484" s="13"/>
      <c r="KG484" s="11"/>
      <c r="KH484" s="12"/>
      <c r="KI484" s="12"/>
      <c r="KJ484" s="11"/>
      <c r="KK484" s="13"/>
      <c r="KL484" s="11"/>
      <c r="KM484" s="11"/>
      <c r="KN484" s="13"/>
      <c r="KO484" s="11"/>
      <c r="KP484" s="12"/>
      <c r="KQ484" s="12"/>
      <c r="KR484" s="11"/>
      <c r="KS484" s="13"/>
      <c r="KT484" s="11"/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  <c r="LH484" s="11"/>
      <c r="LI484" s="13"/>
      <c r="LJ484" s="11"/>
      <c r="LK484" s="11"/>
      <c r="LL484" s="13"/>
      <c r="LM484" s="11"/>
      <c r="LN484" s="12"/>
      <c r="LO484" s="12"/>
      <c r="LP484" s="11"/>
      <c r="LQ484" s="13"/>
      <c r="LR484" s="11"/>
      <c r="LS484" s="11"/>
      <c r="LT484" s="13"/>
      <c r="LU484" s="11"/>
      <c r="LV484" s="12"/>
      <c r="LW484" s="12"/>
    </row>
    <row r="485">
      <c r="A485" s="10" t="s">
        <v>267</v>
      </c>
      <c r="B485" s="10" t="s">
        <v>164</v>
      </c>
      <c r="C485" s="10" t="s">
        <v>77</v>
      </c>
      <c r="D485" s="11">
        <v>1</v>
      </c>
      <c r="E485" s="11">
        <f>=ROUNDDOWN({0},0)</f>
      </c>
      <c r="F485" s="11"/>
      <c r="G485" s="12"/>
      <c r="H485" s="11"/>
      <c r="I485" s="11">
        <f>=ROUNDDOWN({0},0)</f>
      </c>
      <c r="J485" s="11"/>
      <c r="K485" s="12"/>
      <c r="L485" s="11">
        <v>133</v>
      </c>
      <c r="M485" s="13">
        <v>3745.28</v>
      </c>
      <c r="N485" s="11"/>
      <c r="O485" s="14"/>
      <c r="P485" s="11"/>
      <c r="Q485" s="13"/>
      <c r="R485" s="11"/>
      <c r="S485" s="14"/>
      <c r="T485" s="12"/>
      <c r="U485" s="12"/>
      <c r="V485" s="12"/>
      <c r="W485" s="12"/>
      <c r="X485" s="11">
        <v>41</v>
      </c>
      <c r="Y485" s="13">
        <v>1290.69</v>
      </c>
      <c r="Z485" s="11"/>
      <c r="AA485" s="11"/>
      <c r="AB485" s="13"/>
      <c r="AC485" s="11"/>
      <c r="AD485" s="12"/>
      <c r="AE485" s="12"/>
      <c r="AF485" s="11">
        <v>48</v>
      </c>
      <c r="AG485" s="13">
        <v>998</v>
      </c>
      <c r="AH485" s="11"/>
      <c r="AI485" s="11"/>
      <c r="AJ485" s="13"/>
      <c r="AK485" s="11"/>
      <c r="AL485" s="12"/>
      <c r="AM485" s="12"/>
      <c r="AN485" s="11">
        <v>17</v>
      </c>
      <c r="AO485" s="13">
        <v>584.81</v>
      </c>
      <c r="AP485" s="11"/>
      <c r="AQ485" s="11"/>
      <c r="AR485" s="13"/>
      <c r="AS485" s="11"/>
      <c r="AT485" s="12"/>
      <c r="AU485" s="12"/>
      <c r="AV485" s="11"/>
      <c r="AW485" s="13"/>
      <c r="AX485" s="11"/>
      <c r="AY485" s="11"/>
      <c r="AZ485" s="13"/>
      <c r="BA485" s="11"/>
      <c r="BB485" s="12"/>
      <c r="BC485" s="12"/>
      <c r="BD485" s="11"/>
      <c r="BE485" s="13"/>
      <c r="BF485" s="11"/>
      <c r="BG485" s="11"/>
      <c r="BH485" s="13"/>
      <c r="BI485" s="11"/>
      <c r="BJ485" s="12"/>
      <c r="BK485" s="12"/>
      <c r="BL485" s="11"/>
      <c r="BM485" s="13"/>
      <c r="BN485" s="11"/>
      <c r="BO485" s="11"/>
      <c r="BP485" s="13"/>
      <c r="BQ485" s="11"/>
      <c r="BR485" s="12"/>
      <c r="BS485" s="12"/>
      <c r="BT485" s="11">
        <v>12</v>
      </c>
      <c r="BU485" s="13">
        <v>401.82</v>
      </c>
      <c r="BV485" s="11"/>
      <c r="BW485" s="11"/>
      <c r="BX485" s="13"/>
      <c r="BY485" s="11"/>
      <c r="BZ485" s="12"/>
      <c r="CA485" s="12"/>
      <c r="CB485" s="11"/>
      <c r="CC485" s="13"/>
      <c r="CD485" s="11"/>
      <c r="CE485" s="11"/>
      <c r="CF485" s="13"/>
      <c r="CG485" s="11"/>
      <c r="CH485" s="12"/>
      <c r="CI485" s="12"/>
      <c r="CJ485" s="11"/>
      <c r="CK485" s="13"/>
      <c r="CL485" s="11"/>
      <c r="CM485" s="11"/>
      <c r="CN485" s="13"/>
      <c r="CO485" s="11"/>
      <c r="CP485" s="12"/>
      <c r="CQ485" s="12"/>
      <c r="CR485" s="11"/>
      <c r="CS485" s="13"/>
      <c r="CT485" s="11"/>
      <c r="CU485" s="11"/>
      <c r="CV485" s="13"/>
      <c r="CW485" s="11"/>
      <c r="CX485" s="12"/>
      <c r="CY485" s="12"/>
      <c r="CZ485" s="11"/>
      <c r="DA485" s="13"/>
      <c r="DB485" s="11"/>
      <c r="DC485" s="11"/>
      <c r="DD485" s="13"/>
      <c r="DE485" s="11"/>
      <c r="DF485" s="12"/>
      <c r="DG485" s="12"/>
      <c r="DH485" s="11"/>
      <c r="DI485" s="13"/>
      <c r="DJ485" s="11"/>
      <c r="DK485" s="11"/>
      <c r="DL485" s="13"/>
      <c r="DM485" s="11"/>
      <c r="DN485" s="12"/>
      <c r="DO485" s="12"/>
      <c r="DP485" s="11">
        <v>15</v>
      </c>
      <c r="DQ485" s="13">
        <v>469.96</v>
      </c>
      <c r="DR485" s="11"/>
      <c r="DS485" s="11"/>
      <c r="DT485" s="13"/>
      <c r="DU485" s="11"/>
      <c r="DV485" s="12"/>
      <c r="DW485" s="12"/>
      <c r="DX485" s="11"/>
      <c r="DY485" s="13"/>
      <c r="DZ485" s="11"/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/>
      <c r="EO485" s="13"/>
      <c r="EP485" s="11"/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/>
      <c r="FM485" s="13"/>
      <c r="FN485" s="11"/>
      <c r="FO485" s="11"/>
      <c r="FP485" s="13"/>
      <c r="FQ485" s="11"/>
      <c r="FR485" s="12"/>
      <c r="FS485" s="12"/>
      <c r="FT485" s="11"/>
      <c r="FU485" s="13"/>
      <c r="FV485" s="11"/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/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/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/>
      <c r="IY485" s="11"/>
      <c r="IZ485" s="13"/>
      <c r="JA485" s="11"/>
      <c r="JB485" s="12"/>
      <c r="JC485" s="12"/>
      <c r="JD485" s="11"/>
      <c r="JE485" s="13"/>
      <c r="JF485" s="11"/>
      <c r="JG485" s="11"/>
      <c r="JH485" s="13"/>
      <c r="JI485" s="11"/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/>
      <c r="JW485" s="11"/>
      <c r="JX485" s="13"/>
      <c r="JY485" s="11"/>
      <c r="JZ485" s="12"/>
      <c r="KA485" s="12"/>
      <c r="KB485" s="11"/>
      <c r="KC485" s="13"/>
      <c r="KD485" s="11"/>
      <c r="KE485" s="11"/>
      <c r="KF485" s="13"/>
      <c r="KG485" s="11"/>
      <c r="KH485" s="12"/>
      <c r="KI485" s="12"/>
      <c r="KJ485" s="11"/>
      <c r="KK485" s="13"/>
      <c r="KL485" s="11"/>
      <c r="KM485" s="11"/>
      <c r="KN485" s="13"/>
      <c r="KO485" s="11"/>
      <c r="KP485" s="12"/>
      <c r="KQ485" s="12"/>
      <c r="KR485" s="11"/>
      <c r="KS485" s="13"/>
      <c r="KT485" s="11"/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  <c r="LH485" s="11"/>
      <c r="LI485" s="13"/>
      <c r="LJ485" s="11"/>
      <c r="LK485" s="11"/>
      <c r="LL485" s="13"/>
      <c r="LM485" s="11"/>
      <c r="LN485" s="12"/>
      <c r="LO485" s="12"/>
      <c r="LP485" s="11"/>
      <c r="LQ485" s="13"/>
      <c r="LR485" s="11"/>
      <c r="LS485" s="11"/>
      <c r="LT485" s="13"/>
      <c r="LU485" s="11"/>
      <c r="LV485" s="12"/>
      <c r="LW485" s="12"/>
    </row>
    <row r="486">
      <c r="A486" s="10" t="s">
        <v>267</v>
      </c>
      <c r="B486" s="10" t="s">
        <v>128</v>
      </c>
      <c r="C486" s="10" t="s">
        <v>268</v>
      </c>
      <c r="D486" s="11">
        <v>8205</v>
      </c>
      <c r="E486" s="11">
        <f>=ROUNDDOWN(16.5556900726392,0)</f>
      </c>
      <c r="F486" s="11"/>
      <c r="G486" s="12">
        <v>1</v>
      </c>
      <c r="H486" s="11"/>
      <c r="I486" s="11">
        <f>=ROUNDDOWN({0},0)</f>
      </c>
      <c r="J486" s="11"/>
      <c r="K486" s="12"/>
      <c r="L486" s="11">
        <v>8492</v>
      </c>
      <c r="M486" s="13">
        <v>282188.48</v>
      </c>
      <c r="N486" s="11"/>
      <c r="O486" s="14"/>
      <c r="P486" s="11"/>
      <c r="Q486" s="13"/>
      <c r="R486" s="11"/>
      <c r="S486" s="14"/>
      <c r="T486" s="12"/>
      <c r="U486" s="12"/>
      <c r="V486" s="12"/>
      <c r="W486" s="12"/>
      <c r="X486" s="11"/>
      <c r="Y486" s="13"/>
      <c r="Z486" s="11"/>
      <c r="AA486" s="11"/>
      <c r="AB486" s="13"/>
      <c r="AC486" s="11"/>
      <c r="AD486" s="12"/>
      <c r="AE486" s="12"/>
      <c r="AF486" s="11"/>
      <c r="AG486" s="13"/>
      <c r="AH486" s="11"/>
      <c r="AI486" s="11"/>
      <c r="AJ486" s="13"/>
      <c r="AK486" s="11"/>
      <c r="AL486" s="12"/>
      <c r="AM486" s="12"/>
      <c r="AN486" s="11"/>
      <c r="AO486" s="13"/>
      <c r="AP486" s="11"/>
      <c r="AQ486" s="11"/>
      <c r="AR486" s="13"/>
      <c r="AS486" s="11"/>
      <c r="AT486" s="12"/>
      <c r="AU486" s="12"/>
      <c r="AV486" s="11"/>
      <c r="AW486" s="13"/>
      <c r="AX486" s="11"/>
      <c r="AY486" s="11"/>
      <c r="AZ486" s="13"/>
      <c r="BA486" s="11"/>
      <c r="BB486" s="12"/>
      <c r="BC486" s="12"/>
      <c r="BD486" s="11"/>
      <c r="BE486" s="13"/>
      <c r="BF486" s="11"/>
      <c r="BG486" s="11"/>
      <c r="BH486" s="13"/>
      <c r="BI486" s="11"/>
      <c r="BJ486" s="12"/>
      <c r="BK486" s="12"/>
      <c r="BL486" s="11"/>
      <c r="BM486" s="13"/>
      <c r="BN486" s="11"/>
      <c r="BO486" s="11"/>
      <c r="BP486" s="13"/>
      <c r="BQ486" s="11"/>
      <c r="BR486" s="12"/>
      <c r="BS486" s="12"/>
      <c r="BT486" s="11"/>
      <c r="BU486" s="13"/>
      <c r="BV486" s="11"/>
      <c r="BW486" s="11"/>
      <c r="BX486" s="13"/>
      <c r="BY486" s="11"/>
      <c r="BZ486" s="12"/>
      <c r="CA486" s="12"/>
      <c r="CB486" s="11"/>
      <c r="CC486" s="13"/>
      <c r="CD486" s="11"/>
      <c r="CE486" s="11"/>
      <c r="CF486" s="13"/>
      <c r="CG486" s="11"/>
      <c r="CH486" s="12"/>
      <c r="CI486" s="12"/>
      <c r="CJ486" s="11"/>
      <c r="CK486" s="13"/>
      <c r="CL486" s="11"/>
      <c r="CM486" s="11"/>
      <c r="CN486" s="13"/>
      <c r="CO486" s="11"/>
      <c r="CP486" s="12"/>
      <c r="CQ486" s="12"/>
      <c r="CR486" s="11"/>
      <c r="CS486" s="13"/>
      <c r="CT486" s="11"/>
      <c r="CU486" s="11"/>
      <c r="CV486" s="13"/>
      <c r="CW486" s="11"/>
      <c r="CX486" s="12"/>
      <c r="CY486" s="12"/>
      <c r="CZ486" s="11"/>
      <c r="DA486" s="13"/>
      <c r="DB486" s="11"/>
      <c r="DC486" s="11"/>
      <c r="DD486" s="13"/>
      <c r="DE486" s="11"/>
      <c r="DF486" s="12"/>
      <c r="DG486" s="12"/>
      <c r="DH486" s="11"/>
      <c r="DI486" s="13"/>
      <c r="DJ486" s="11"/>
      <c r="DK486" s="11"/>
      <c r="DL486" s="13"/>
      <c r="DM486" s="11"/>
      <c r="DN486" s="12"/>
      <c r="DO486" s="12"/>
      <c r="DP486" s="11"/>
      <c r="DQ486" s="13"/>
      <c r="DR486" s="11"/>
      <c r="DS486" s="11"/>
      <c r="DT486" s="13"/>
      <c r="DU486" s="11"/>
      <c r="DV486" s="12"/>
      <c r="DW486" s="12"/>
      <c r="DX486" s="11"/>
      <c r="DY486" s="13"/>
      <c r="DZ486" s="11"/>
      <c r="EA486" s="11"/>
      <c r="EB486" s="13"/>
      <c r="EC486" s="11"/>
      <c r="ED486" s="12"/>
      <c r="EE486" s="12"/>
      <c r="EF486" s="11">
        <v>8492</v>
      </c>
      <c r="EG486" s="13">
        <v>282188.48</v>
      </c>
      <c r="EH486" s="11"/>
      <c r="EI486" s="11"/>
      <c r="EJ486" s="13"/>
      <c r="EK486" s="11"/>
      <c r="EL486" s="12"/>
      <c r="EM486" s="12"/>
      <c r="EN486" s="11"/>
      <c r="EO486" s="13"/>
      <c r="EP486" s="11"/>
      <c r="EQ486" s="11"/>
      <c r="ER486" s="13"/>
      <c r="ES486" s="11"/>
      <c r="ET486" s="12"/>
      <c r="EU486" s="12"/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/>
      <c r="FM486" s="13"/>
      <c r="FN486" s="11"/>
      <c r="FO486" s="11"/>
      <c r="FP486" s="13"/>
      <c r="FQ486" s="11"/>
      <c r="FR486" s="12"/>
      <c r="FS486" s="12"/>
      <c r="FT486" s="11"/>
      <c r="FU486" s="13"/>
      <c r="FV486" s="11"/>
      <c r="FW486" s="11"/>
      <c r="FX486" s="13"/>
      <c r="FY486" s="11"/>
      <c r="FZ486" s="12"/>
      <c r="GA486" s="12"/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/>
      <c r="GS486" s="13"/>
      <c r="GT486" s="11"/>
      <c r="GU486" s="11"/>
      <c r="GV486" s="13"/>
      <c r="GW486" s="11"/>
      <c r="GX486" s="12"/>
      <c r="GY486" s="12"/>
      <c r="GZ486" s="11"/>
      <c r="HA486" s="13"/>
      <c r="HB486" s="11"/>
      <c r="HC486" s="11"/>
      <c r="HD486" s="13"/>
      <c r="HE486" s="11"/>
      <c r="HF486" s="12"/>
      <c r="HG486" s="12"/>
      <c r="HH486" s="11"/>
      <c r="HI486" s="13"/>
      <c r="HJ486" s="11"/>
      <c r="HK486" s="11"/>
      <c r="HL486" s="13"/>
      <c r="HM486" s="11"/>
      <c r="HN486" s="12"/>
      <c r="HO486" s="12"/>
      <c r="HP486" s="11"/>
      <c r="HQ486" s="13"/>
      <c r="HR486" s="11"/>
      <c r="HS486" s="11"/>
      <c r="HT486" s="13"/>
      <c r="HU486" s="11"/>
      <c r="HV486" s="12"/>
      <c r="HW486" s="12"/>
      <c r="HX486" s="11"/>
      <c r="HY486" s="13"/>
      <c r="HZ486" s="11"/>
      <c r="IA486" s="11"/>
      <c r="IB486" s="13"/>
      <c r="IC486" s="11"/>
      <c r="ID486" s="12"/>
      <c r="IE486" s="12"/>
      <c r="IF486" s="11"/>
      <c r="IG486" s="13"/>
      <c r="IH486" s="11"/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/>
      <c r="IW486" s="13"/>
      <c r="IX486" s="11"/>
      <c r="IY486" s="11"/>
      <c r="IZ486" s="13"/>
      <c r="JA486" s="11"/>
      <c r="JB486" s="12"/>
      <c r="JC486" s="12"/>
      <c r="JD486" s="11"/>
      <c r="JE486" s="13"/>
      <c r="JF486" s="11"/>
      <c r="JG486" s="11"/>
      <c r="JH486" s="13"/>
      <c r="JI486" s="11"/>
      <c r="JJ486" s="12"/>
      <c r="JK486" s="12"/>
      <c r="JL486" s="11"/>
      <c r="JM486" s="13"/>
      <c r="JN486" s="11"/>
      <c r="JO486" s="11"/>
      <c r="JP486" s="13"/>
      <c r="JQ486" s="11"/>
      <c r="JR486" s="12"/>
      <c r="JS486" s="12"/>
      <c r="JT486" s="11"/>
      <c r="JU486" s="13"/>
      <c r="JV486" s="11"/>
      <c r="JW486" s="11"/>
      <c r="JX486" s="13"/>
      <c r="JY486" s="11"/>
      <c r="JZ486" s="12"/>
      <c r="KA486" s="12"/>
      <c r="KB486" s="11"/>
      <c r="KC486" s="13"/>
      <c r="KD486" s="11"/>
      <c r="KE486" s="11"/>
      <c r="KF486" s="13"/>
      <c r="KG486" s="11"/>
      <c r="KH486" s="12"/>
      <c r="KI486" s="12"/>
      <c r="KJ486" s="11"/>
      <c r="KK486" s="13"/>
      <c r="KL486" s="11"/>
      <c r="KM486" s="11"/>
      <c r="KN486" s="13"/>
      <c r="KO486" s="11"/>
      <c r="KP486" s="12"/>
      <c r="KQ486" s="12"/>
      <c r="KR486" s="11"/>
      <c r="KS486" s="13"/>
      <c r="KT486" s="11"/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  <c r="LH486" s="11"/>
      <c r="LI486" s="13"/>
      <c r="LJ486" s="11"/>
      <c r="LK486" s="11"/>
      <c r="LL486" s="13"/>
      <c r="LM486" s="11"/>
      <c r="LN486" s="12"/>
      <c r="LO486" s="12"/>
      <c r="LP486" s="11"/>
      <c r="LQ486" s="13"/>
      <c r="LR486" s="11"/>
      <c r="LS486" s="11"/>
      <c r="LT486" s="13"/>
      <c r="LU486" s="11"/>
      <c r="LV486" s="12"/>
      <c r="LW486" s="12"/>
    </row>
    <row r="487">
      <c r="A487" s="10" t="s">
        <v>267</v>
      </c>
      <c r="B487" s="10" t="s">
        <v>129</v>
      </c>
      <c r="C487" s="10" t="s">
        <v>77</v>
      </c>
      <c r="D487" s="11">
        <v>8205</v>
      </c>
      <c r="E487" s="11">
        <f>=ROUNDDOWN({0},0)</f>
      </c>
      <c r="F487" s="11"/>
      <c r="G487" s="12"/>
      <c r="H487" s="11"/>
      <c r="I487" s="11">
        <f>=ROUNDDOWN({0},0)</f>
      </c>
      <c r="J487" s="11"/>
      <c r="K487" s="12"/>
      <c r="L487" s="11">
        <v>8492</v>
      </c>
      <c r="M487" s="13">
        <v>282188.48</v>
      </c>
      <c r="N487" s="11"/>
      <c r="O487" s="14"/>
      <c r="P487" s="11"/>
      <c r="Q487" s="13"/>
      <c r="R487" s="11"/>
      <c r="S487" s="14"/>
      <c r="T487" s="12"/>
      <c r="U487" s="12"/>
      <c r="V487" s="12"/>
      <c r="W487" s="12"/>
      <c r="X487" s="11"/>
      <c r="Y487" s="13"/>
      <c r="Z487" s="11"/>
      <c r="AA487" s="11"/>
      <c r="AB487" s="13"/>
      <c r="AC487" s="11"/>
      <c r="AD487" s="12"/>
      <c r="AE487" s="12"/>
      <c r="AF487" s="11"/>
      <c r="AG487" s="13"/>
      <c r="AH487" s="11"/>
      <c r="AI487" s="11"/>
      <c r="AJ487" s="13"/>
      <c r="AK487" s="11"/>
      <c r="AL487" s="12"/>
      <c r="AM487" s="12"/>
      <c r="AN487" s="11"/>
      <c r="AO487" s="13"/>
      <c r="AP487" s="11"/>
      <c r="AQ487" s="11"/>
      <c r="AR487" s="13"/>
      <c r="AS487" s="11"/>
      <c r="AT487" s="12"/>
      <c r="AU487" s="12"/>
      <c r="AV487" s="11"/>
      <c r="AW487" s="13"/>
      <c r="AX487" s="11"/>
      <c r="AY487" s="11"/>
      <c r="AZ487" s="13"/>
      <c r="BA487" s="11"/>
      <c r="BB487" s="12"/>
      <c r="BC487" s="12"/>
      <c r="BD487" s="11"/>
      <c r="BE487" s="13"/>
      <c r="BF487" s="11"/>
      <c r="BG487" s="11"/>
      <c r="BH487" s="13"/>
      <c r="BI487" s="11"/>
      <c r="BJ487" s="12"/>
      <c r="BK487" s="12"/>
      <c r="BL487" s="11"/>
      <c r="BM487" s="13"/>
      <c r="BN487" s="11"/>
      <c r="BO487" s="11"/>
      <c r="BP487" s="13"/>
      <c r="BQ487" s="11"/>
      <c r="BR487" s="12"/>
      <c r="BS487" s="12"/>
      <c r="BT487" s="11"/>
      <c r="BU487" s="13"/>
      <c r="BV487" s="11"/>
      <c r="BW487" s="11"/>
      <c r="BX487" s="13"/>
      <c r="BY487" s="11"/>
      <c r="BZ487" s="12"/>
      <c r="CA487" s="12"/>
      <c r="CB487" s="11"/>
      <c r="CC487" s="13"/>
      <c r="CD487" s="11"/>
      <c r="CE487" s="11"/>
      <c r="CF487" s="13"/>
      <c r="CG487" s="11"/>
      <c r="CH487" s="12"/>
      <c r="CI487" s="12"/>
      <c r="CJ487" s="11"/>
      <c r="CK487" s="13"/>
      <c r="CL487" s="11"/>
      <c r="CM487" s="11"/>
      <c r="CN487" s="13"/>
      <c r="CO487" s="11"/>
      <c r="CP487" s="12"/>
      <c r="CQ487" s="12"/>
      <c r="CR487" s="11"/>
      <c r="CS487" s="13"/>
      <c r="CT487" s="11"/>
      <c r="CU487" s="11"/>
      <c r="CV487" s="13"/>
      <c r="CW487" s="11"/>
      <c r="CX487" s="12"/>
      <c r="CY487" s="12"/>
      <c r="CZ487" s="11"/>
      <c r="DA487" s="13"/>
      <c r="DB487" s="11"/>
      <c r="DC487" s="11"/>
      <c r="DD487" s="13"/>
      <c r="DE487" s="11"/>
      <c r="DF487" s="12"/>
      <c r="DG487" s="12"/>
      <c r="DH487" s="11"/>
      <c r="DI487" s="13"/>
      <c r="DJ487" s="11"/>
      <c r="DK487" s="11"/>
      <c r="DL487" s="13"/>
      <c r="DM487" s="11"/>
      <c r="DN487" s="12"/>
      <c r="DO487" s="12"/>
      <c r="DP487" s="11"/>
      <c r="DQ487" s="13"/>
      <c r="DR487" s="11"/>
      <c r="DS487" s="11"/>
      <c r="DT487" s="13"/>
      <c r="DU487" s="11"/>
      <c r="DV487" s="12"/>
      <c r="DW487" s="12"/>
      <c r="DX487" s="11"/>
      <c r="DY487" s="13"/>
      <c r="DZ487" s="11"/>
      <c r="EA487" s="11"/>
      <c r="EB487" s="13"/>
      <c r="EC487" s="11"/>
      <c r="ED487" s="12"/>
      <c r="EE487" s="12"/>
      <c r="EF487" s="11">
        <v>8492</v>
      </c>
      <c r="EG487" s="13">
        <v>282188.48</v>
      </c>
      <c r="EH487" s="11"/>
      <c r="EI487" s="11"/>
      <c r="EJ487" s="13"/>
      <c r="EK487" s="11"/>
      <c r="EL487" s="12"/>
      <c r="EM487" s="12"/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/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/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/>
      <c r="HI487" s="13"/>
      <c r="HJ487" s="11"/>
      <c r="HK487" s="11"/>
      <c r="HL487" s="13"/>
      <c r="HM487" s="11"/>
      <c r="HN487" s="12"/>
      <c r="HO487" s="12"/>
      <c r="HP487" s="11"/>
      <c r="HQ487" s="13"/>
      <c r="HR487" s="11"/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/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/>
      <c r="IW487" s="13"/>
      <c r="IX487" s="11"/>
      <c r="IY487" s="11"/>
      <c r="IZ487" s="13"/>
      <c r="JA487" s="11"/>
      <c r="JB487" s="12"/>
      <c r="JC487" s="12"/>
      <c r="JD487" s="11"/>
      <c r="JE487" s="13"/>
      <c r="JF487" s="11"/>
      <c r="JG487" s="11"/>
      <c r="JH487" s="13"/>
      <c r="JI487" s="11"/>
      <c r="JJ487" s="12"/>
      <c r="JK487" s="12"/>
      <c r="JL487" s="11"/>
      <c r="JM487" s="13"/>
      <c r="JN487" s="11"/>
      <c r="JO487" s="11"/>
      <c r="JP487" s="13"/>
      <c r="JQ487" s="11"/>
      <c r="JR487" s="12"/>
      <c r="JS487" s="12"/>
      <c r="JT487" s="11"/>
      <c r="JU487" s="13"/>
      <c r="JV487" s="11"/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/>
      <c r="KN487" s="13"/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  <c r="LH487" s="11"/>
      <c r="LI487" s="13"/>
      <c r="LJ487" s="11"/>
      <c r="LK487" s="11"/>
      <c r="LL487" s="13"/>
      <c r="LM487" s="11"/>
      <c r="LN487" s="12"/>
      <c r="LO487" s="12"/>
      <c r="LP487" s="11"/>
      <c r="LQ487" s="13"/>
      <c r="LR487" s="11"/>
      <c r="LS487" s="11"/>
      <c r="LT487" s="13"/>
      <c r="LU487" s="11"/>
      <c r="LV487" s="12"/>
      <c r="LW487" s="12"/>
    </row>
    <row r="488">
      <c r="A488" s="10" t="s">
        <v>269</v>
      </c>
      <c r="B488" s="10" t="s">
        <v>77</v>
      </c>
      <c r="C488" s="10" t="s">
        <v>77</v>
      </c>
      <c r="D488" s="11">
        <v>49276</v>
      </c>
      <c r="E488" s="11">
        <f>=ROUNDDOWN({0},0)</f>
      </c>
      <c r="F488" s="11">
        <v>9058</v>
      </c>
      <c r="G488" s="12"/>
      <c r="H488" s="11"/>
      <c r="I488" s="11">
        <f>=ROUNDDOWN({0},0)</f>
      </c>
      <c r="J488" s="11"/>
      <c r="K488" s="12"/>
      <c r="L488" s="11">
        <v>15000</v>
      </c>
      <c r="M488" s="13">
        <v>470574.05</v>
      </c>
      <c r="N488" s="11">
        <v>96</v>
      </c>
      <c r="O488" s="14">
        <v>4901.81</v>
      </c>
      <c r="P488" s="11"/>
      <c r="Q488" s="13"/>
      <c r="R488" s="11"/>
      <c r="S488" s="14"/>
      <c r="T488" s="12"/>
      <c r="U488" s="12"/>
      <c r="V488" s="12"/>
      <c r="W488" s="12"/>
      <c r="X488" s="11">
        <v>4485</v>
      </c>
      <c r="Y488" s="13">
        <v>132506.62</v>
      </c>
      <c r="Z488" s="11">
        <v>75</v>
      </c>
      <c r="AA488" s="11"/>
      <c r="AB488" s="13"/>
      <c r="AC488" s="11"/>
      <c r="AD488" s="12"/>
      <c r="AE488" s="12"/>
      <c r="AF488" s="11">
        <v>358</v>
      </c>
      <c r="AG488" s="13">
        <v>8666.08</v>
      </c>
      <c r="AH488" s="11">
        <v>75</v>
      </c>
      <c r="AI488" s="11"/>
      <c r="AJ488" s="13"/>
      <c r="AK488" s="11"/>
      <c r="AL488" s="12"/>
      <c r="AM488" s="12"/>
      <c r="AN488" s="11">
        <v>565</v>
      </c>
      <c r="AO488" s="13">
        <v>17070.16</v>
      </c>
      <c r="AP488" s="11">
        <v>53</v>
      </c>
      <c r="AQ488" s="11"/>
      <c r="AR488" s="13"/>
      <c r="AS488" s="11"/>
      <c r="AT488" s="12"/>
      <c r="AU488" s="12"/>
      <c r="AV488" s="11"/>
      <c r="AW488" s="13"/>
      <c r="AX488" s="11"/>
      <c r="AY488" s="11"/>
      <c r="AZ488" s="13"/>
      <c r="BA488" s="11"/>
      <c r="BB488" s="12"/>
      <c r="BC488" s="12"/>
      <c r="BD488" s="11"/>
      <c r="BE488" s="13"/>
      <c r="BF488" s="11"/>
      <c r="BG488" s="11"/>
      <c r="BH488" s="13"/>
      <c r="BI488" s="11"/>
      <c r="BJ488" s="12"/>
      <c r="BK488" s="12"/>
      <c r="BL488" s="11">
        <v>36</v>
      </c>
      <c r="BM488" s="13">
        <v>1091.43</v>
      </c>
      <c r="BN488" s="11">
        <v>27</v>
      </c>
      <c r="BO488" s="11"/>
      <c r="BP488" s="13"/>
      <c r="BQ488" s="11"/>
      <c r="BR488" s="12"/>
      <c r="BS488" s="12"/>
      <c r="BT488" s="11">
        <v>36</v>
      </c>
      <c r="BU488" s="13">
        <v>832.76</v>
      </c>
      <c r="BV488" s="11">
        <v>2</v>
      </c>
      <c r="BW488" s="11"/>
      <c r="BX488" s="13"/>
      <c r="BY488" s="11"/>
      <c r="BZ488" s="12"/>
      <c r="CA488" s="12"/>
      <c r="CB488" s="11"/>
      <c r="CC488" s="13"/>
      <c r="CD488" s="11"/>
      <c r="CE488" s="11"/>
      <c r="CF488" s="13"/>
      <c r="CG488" s="11"/>
      <c r="CH488" s="12"/>
      <c r="CI488" s="12"/>
      <c r="CJ488" s="11"/>
      <c r="CK488" s="13"/>
      <c r="CL488" s="11">
        <v>20</v>
      </c>
      <c r="CM488" s="11"/>
      <c r="CN488" s="13"/>
      <c r="CO488" s="11"/>
      <c r="CP488" s="12"/>
      <c r="CQ488" s="12"/>
      <c r="CR488" s="11"/>
      <c r="CS488" s="13"/>
      <c r="CT488" s="11"/>
      <c r="CU488" s="11"/>
      <c r="CV488" s="13"/>
      <c r="CW488" s="11"/>
      <c r="CX488" s="12"/>
      <c r="CY488" s="12"/>
      <c r="CZ488" s="11"/>
      <c r="DA488" s="13"/>
      <c r="DB488" s="11"/>
      <c r="DC488" s="11"/>
      <c r="DD488" s="13"/>
      <c r="DE488" s="11"/>
      <c r="DF488" s="12"/>
      <c r="DG488" s="12"/>
      <c r="DH488" s="11"/>
      <c r="DI488" s="13"/>
      <c r="DJ488" s="11"/>
      <c r="DK488" s="11"/>
      <c r="DL488" s="13"/>
      <c r="DM488" s="11"/>
      <c r="DN488" s="12"/>
      <c r="DO488" s="12"/>
      <c r="DP488" s="11">
        <v>15</v>
      </c>
      <c r="DQ488" s="13">
        <v>469.96</v>
      </c>
      <c r="DR488" s="11"/>
      <c r="DS488" s="11"/>
      <c r="DT488" s="13"/>
      <c r="DU488" s="11"/>
      <c r="DV488" s="12"/>
      <c r="DW488" s="12"/>
      <c r="DX488" s="11"/>
      <c r="DY488" s="13"/>
      <c r="DZ488" s="11"/>
      <c r="EA488" s="11"/>
      <c r="EB488" s="13"/>
      <c r="EC488" s="11"/>
      <c r="ED488" s="12"/>
      <c r="EE488" s="12"/>
      <c r="EF488" s="11">
        <v>8492</v>
      </c>
      <c r="EG488" s="13">
        <v>282188.48</v>
      </c>
      <c r="EH488" s="11"/>
      <c r="EI488" s="11"/>
      <c r="EJ488" s="13"/>
      <c r="EK488" s="11"/>
      <c r="EL488" s="12"/>
      <c r="EM488" s="12"/>
      <c r="EN488" s="11">
        <v>1</v>
      </c>
      <c r="EO488" s="13">
        <v>38.49</v>
      </c>
      <c r="EP488" s="11">
        <v>91</v>
      </c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/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/>
      <c r="HI488" s="13"/>
      <c r="HJ488" s="11"/>
      <c r="HK488" s="11"/>
      <c r="HL488" s="13"/>
      <c r="HM488" s="11"/>
      <c r="HN488" s="12"/>
      <c r="HO488" s="12"/>
      <c r="HP488" s="11"/>
      <c r="HQ488" s="13"/>
      <c r="HR488" s="11"/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>
        <v>1012</v>
      </c>
      <c r="IG488" s="13">
        <v>27710.07</v>
      </c>
      <c r="IH488" s="11">
        <v>21</v>
      </c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/>
      <c r="IW488" s="13"/>
      <c r="IX488" s="11"/>
      <c r="IY488" s="11"/>
      <c r="IZ488" s="13"/>
      <c r="JA488" s="11"/>
      <c r="JB488" s="12"/>
      <c r="JC488" s="12"/>
      <c r="JD488" s="11"/>
      <c r="JE488" s="13"/>
      <c r="JF488" s="11"/>
      <c r="JG488" s="11"/>
      <c r="JH488" s="13"/>
      <c r="JI488" s="11"/>
      <c r="JJ488" s="12"/>
      <c r="JK488" s="12"/>
      <c r="JL488" s="11"/>
      <c r="JM488" s="13"/>
      <c r="JN488" s="11"/>
      <c r="JO488" s="11"/>
      <c r="JP488" s="13"/>
      <c r="JQ488" s="11"/>
      <c r="JR488" s="12"/>
      <c r="JS488" s="12"/>
      <c r="JT488" s="11"/>
      <c r="JU488" s="13"/>
      <c r="JV488" s="11"/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/>
      <c r="KN488" s="13"/>
      <c r="KO488" s="11"/>
      <c r="KP488" s="12"/>
      <c r="KQ488" s="12"/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  <c r="LH488" s="11"/>
      <c r="LI488" s="13"/>
      <c r="LJ488" s="11"/>
      <c r="LK488" s="11"/>
      <c r="LL488" s="13"/>
      <c r="LM488" s="11"/>
      <c r="LN488" s="12"/>
      <c r="LO488" s="12"/>
      <c r="LP488" s="11"/>
      <c r="LQ488" s="13"/>
      <c r="LR488" s="11"/>
      <c r="LS488" s="11"/>
      <c r="LT488" s="13"/>
      <c r="LU488" s="11"/>
      <c r="LV488" s="12"/>
      <c r="LW488" s="12"/>
    </row>
    <row r="489">
      <c r="A489" s="10" t="s">
        <v>270</v>
      </c>
      <c r="B489" s="10" t="s">
        <v>271</v>
      </c>
      <c r="C489" s="10" t="s">
        <v>270</v>
      </c>
      <c r="D489" s="11">
        <v>82</v>
      </c>
      <c r="E489" s="11">
        <f>=ROUNDDOWN({0},0)</f>
      </c>
      <c r="F489" s="11"/>
      <c r="G489" s="12">
        <v>1</v>
      </c>
      <c r="H489" s="11"/>
      <c r="I489" s="11">
        <f>=ROUNDDOWN({0},0)</f>
      </c>
      <c r="J489" s="11"/>
      <c r="K489" s="12"/>
      <c r="L489" s="11">
        <v>3</v>
      </c>
      <c r="M489" s="13">
        <v>235.52</v>
      </c>
      <c r="N489" s="11"/>
      <c r="O489" s="14"/>
      <c r="P489" s="11"/>
      <c r="Q489" s="13"/>
      <c r="R489" s="11"/>
      <c r="S489" s="14"/>
      <c r="T489" s="12"/>
      <c r="U489" s="12"/>
      <c r="V489" s="12"/>
      <c r="W489" s="12"/>
      <c r="X489" s="11"/>
      <c r="Y489" s="13"/>
      <c r="Z489" s="11"/>
      <c r="AA489" s="11"/>
      <c r="AB489" s="13"/>
      <c r="AC489" s="11"/>
      <c r="AD489" s="12"/>
      <c r="AE489" s="12"/>
      <c r="AF489" s="11"/>
      <c r="AG489" s="13"/>
      <c r="AH489" s="11"/>
      <c r="AI489" s="11"/>
      <c r="AJ489" s="13"/>
      <c r="AK489" s="11"/>
      <c r="AL489" s="12"/>
      <c r="AM489" s="12"/>
      <c r="AN489" s="11"/>
      <c r="AO489" s="13"/>
      <c r="AP489" s="11"/>
      <c r="AQ489" s="11"/>
      <c r="AR489" s="13"/>
      <c r="AS489" s="11"/>
      <c r="AT489" s="12"/>
      <c r="AU489" s="12"/>
      <c r="AV489" s="11"/>
      <c r="AW489" s="13"/>
      <c r="AX489" s="11"/>
      <c r="AY489" s="11"/>
      <c r="AZ489" s="13"/>
      <c r="BA489" s="11"/>
      <c r="BB489" s="12"/>
      <c r="BC489" s="12"/>
      <c r="BD489" s="11"/>
      <c r="BE489" s="13"/>
      <c r="BF489" s="11"/>
      <c r="BG489" s="11"/>
      <c r="BH489" s="13"/>
      <c r="BI489" s="11"/>
      <c r="BJ489" s="12"/>
      <c r="BK489" s="12"/>
      <c r="BL489" s="11"/>
      <c r="BM489" s="13"/>
      <c r="BN489" s="11"/>
      <c r="BO489" s="11"/>
      <c r="BP489" s="13"/>
      <c r="BQ489" s="11"/>
      <c r="BR489" s="12"/>
      <c r="BS489" s="12"/>
      <c r="BT489" s="11"/>
      <c r="BU489" s="13"/>
      <c r="BV489" s="11"/>
      <c r="BW489" s="11"/>
      <c r="BX489" s="13"/>
      <c r="BY489" s="11"/>
      <c r="BZ489" s="12"/>
      <c r="CA489" s="12"/>
      <c r="CB489" s="11"/>
      <c r="CC489" s="13"/>
      <c r="CD489" s="11"/>
      <c r="CE489" s="11"/>
      <c r="CF489" s="13"/>
      <c r="CG489" s="11"/>
      <c r="CH489" s="12"/>
      <c r="CI489" s="12"/>
      <c r="CJ489" s="11"/>
      <c r="CK489" s="13"/>
      <c r="CL489" s="11"/>
      <c r="CM489" s="11"/>
      <c r="CN489" s="13"/>
      <c r="CO489" s="11"/>
      <c r="CP489" s="12"/>
      <c r="CQ489" s="12"/>
      <c r="CR489" s="11"/>
      <c r="CS489" s="13"/>
      <c r="CT489" s="11"/>
      <c r="CU489" s="11"/>
      <c r="CV489" s="13"/>
      <c r="CW489" s="11"/>
      <c r="CX489" s="12"/>
      <c r="CY489" s="12"/>
      <c r="CZ489" s="11"/>
      <c r="DA489" s="13"/>
      <c r="DB489" s="11"/>
      <c r="DC489" s="11"/>
      <c r="DD489" s="13"/>
      <c r="DE489" s="11"/>
      <c r="DF489" s="12"/>
      <c r="DG489" s="12"/>
      <c r="DH489" s="11"/>
      <c r="DI489" s="13"/>
      <c r="DJ489" s="11"/>
      <c r="DK489" s="11"/>
      <c r="DL489" s="13"/>
      <c r="DM489" s="11"/>
      <c r="DN489" s="12"/>
      <c r="DO489" s="12"/>
      <c r="DP489" s="11"/>
      <c r="DQ489" s="13"/>
      <c r="DR489" s="11"/>
      <c r="DS489" s="11"/>
      <c r="DT489" s="13"/>
      <c r="DU489" s="11"/>
      <c r="DV489" s="12"/>
      <c r="DW489" s="12"/>
      <c r="DX489" s="11">
        <v>3</v>
      </c>
      <c r="DY489" s="13">
        <v>235.52</v>
      </c>
      <c r="DZ489" s="11"/>
      <c r="EA489" s="11"/>
      <c r="EB489" s="13"/>
      <c r="EC489" s="11"/>
      <c r="ED489" s="12"/>
      <c r="EE489" s="12"/>
      <c r="EF489" s="11"/>
      <c r="EG489" s="13"/>
      <c r="EH489" s="11"/>
      <c r="EI489" s="11"/>
      <c r="EJ489" s="13"/>
      <c r="EK489" s="11"/>
      <c r="EL489" s="12"/>
      <c r="EM489" s="12"/>
      <c r="EN489" s="11"/>
      <c r="EO489" s="13"/>
      <c r="EP489" s="11"/>
      <c r="EQ489" s="11"/>
      <c r="ER489" s="13"/>
      <c r="ES489" s="11"/>
      <c r="ET489" s="12"/>
      <c r="EU489" s="12"/>
      <c r="EV489" s="11"/>
      <c r="EW489" s="13"/>
      <c r="EX489" s="11"/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/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/>
      <c r="GS489" s="13"/>
      <c r="GT489" s="11"/>
      <c r="GU489" s="11"/>
      <c r="GV489" s="13"/>
      <c r="GW489" s="11"/>
      <c r="GX489" s="12"/>
      <c r="GY489" s="12"/>
      <c r="GZ489" s="11"/>
      <c r="HA489" s="13"/>
      <c r="HB489" s="11"/>
      <c r="HC489" s="11"/>
      <c r="HD489" s="13"/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/>
      <c r="HQ489" s="13"/>
      <c r="HR489" s="11"/>
      <c r="HS489" s="11"/>
      <c r="HT489" s="13"/>
      <c r="HU489" s="11"/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/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/>
      <c r="JO489" s="11"/>
      <c r="JP489" s="13"/>
      <c r="JQ489" s="11"/>
      <c r="JR489" s="12"/>
      <c r="JS489" s="12"/>
      <c r="JT489" s="11"/>
      <c r="JU489" s="13"/>
      <c r="JV489" s="11"/>
      <c r="JW489" s="11"/>
      <c r="JX489" s="13"/>
      <c r="JY489" s="11"/>
      <c r="JZ489" s="12"/>
      <c r="KA489" s="12"/>
      <c r="KB489" s="11"/>
      <c r="KC489" s="13"/>
      <c r="KD489" s="11"/>
      <c r="KE489" s="11"/>
      <c r="KF489" s="13"/>
      <c r="KG489" s="11"/>
      <c r="KH489" s="12"/>
      <c r="KI489" s="12"/>
      <c r="KJ489" s="11"/>
      <c r="KK489" s="13"/>
      <c r="KL489" s="11"/>
      <c r="KM489" s="11"/>
      <c r="KN489" s="13"/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  <c r="LH489" s="11"/>
      <c r="LI489" s="13"/>
      <c r="LJ489" s="11"/>
      <c r="LK489" s="11"/>
      <c r="LL489" s="13"/>
      <c r="LM489" s="11"/>
      <c r="LN489" s="12"/>
      <c r="LO489" s="12"/>
      <c r="LP489" s="11"/>
      <c r="LQ489" s="13"/>
      <c r="LR489" s="11"/>
      <c r="LS489" s="11"/>
      <c r="LT489" s="13"/>
      <c r="LU489" s="11"/>
      <c r="LV489" s="12"/>
      <c r="LW489" s="12"/>
    </row>
    <row r="490">
      <c r="A490" s="10" t="s">
        <v>270</v>
      </c>
      <c r="B490" s="10" t="s">
        <v>272</v>
      </c>
      <c r="C490" s="10" t="s">
        <v>77</v>
      </c>
      <c r="D490" s="11">
        <v>82</v>
      </c>
      <c r="E490" s="11">
        <f>=ROUNDDOWN({0},0)</f>
      </c>
      <c r="F490" s="11"/>
      <c r="G490" s="12"/>
      <c r="H490" s="11"/>
      <c r="I490" s="11">
        <f>=ROUNDDOWN({0},0)</f>
      </c>
      <c r="J490" s="11"/>
      <c r="K490" s="12"/>
      <c r="L490" s="11">
        <v>3</v>
      </c>
      <c r="M490" s="13">
        <v>235.52</v>
      </c>
      <c r="N490" s="11"/>
      <c r="O490" s="14"/>
      <c r="P490" s="11"/>
      <c r="Q490" s="13"/>
      <c r="R490" s="11"/>
      <c r="S490" s="14"/>
      <c r="T490" s="12"/>
      <c r="U490" s="12"/>
      <c r="V490" s="12"/>
      <c r="W490" s="12"/>
      <c r="X490" s="11"/>
      <c r="Y490" s="13"/>
      <c r="Z490" s="11"/>
      <c r="AA490" s="11"/>
      <c r="AB490" s="13"/>
      <c r="AC490" s="11"/>
      <c r="AD490" s="12"/>
      <c r="AE490" s="12"/>
      <c r="AF490" s="11"/>
      <c r="AG490" s="13"/>
      <c r="AH490" s="11"/>
      <c r="AI490" s="11"/>
      <c r="AJ490" s="13"/>
      <c r="AK490" s="11"/>
      <c r="AL490" s="12"/>
      <c r="AM490" s="12"/>
      <c r="AN490" s="11"/>
      <c r="AO490" s="13"/>
      <c r="AP490" s="11"/>
      <c r="AQ490" s="11"/>
      <c r="AR490" s="13"/>
      <c r="AS490" s="11"/>
      <c r="AT490" s="12"/>
      <c r="AU490" s="12"/>
      <c r="AV490" s="11"/>
      <c r="AW490" s="13"/>
      <c r="AX490" s="11"/>
      <c r="AY490" s="11"/>
      <c r="AZ490" s="13"/>
      <c r="BA490" s="11"/>
      <c r="BB490" s="12"/>
      <c r="BC490" s="12"/>
      <c r="BD490" s="11"/>
      <c r="BE490" s="13"/>
      <c r="BF490" s="11"/>
      <c r="BG490" s="11"/>
      <c r="BH490" s="13"/>
      <c r="BI490" s="11"/>
      <c r="BJ490" s="12"/>
      <c r="BK490" s="12"/>
      <c r="BL490" s="11"/>
      <c r="BM490" s="13"/>
      <c r="BN490" s="11"/>
      <c r="BO490" s="11"/>
      <c r="BP490" s="13"/>
      <c r="BQ490" s="11"/>
      <c r="BR490" s="12"/>
      <c r="BS490" s="12"/>
      <c r="BT490" s="11"/>
      <c r="BU490" s="13"/>
      <c r="BV490" s="11"/>
      <c r="BW490" s="11"/>
      <c r="BX490" s="13"/>
      <c r="BY490" s="11"/>
      <c r="BZ490" s="12"/>
      <c r="CA490" s="12"/>
      <c r="CB490" s="11"/>
      <c r="CC490" s="13"/>
      <c r="CD490" s="11"/>
      <c r="CE490" s="11"/>
      <c r="CF490" s="13"/>
      <c r="CG490" s="11"/>
      <c r="CH490" s="12"/>
      <c r="CI490" s="12"/>
      <c r="CJ490" s="11"/>
      <c r="CK490" s="13"/>
      <c r="CL490" s="11"/>
      <c r="CM490" s="11"/>
      <c r="CN490" s="13"/>
      <c r="CO490" s="11"/>
      <c r="CP490" s="12"/>
      <c r="CQ490" s="12"/>
      <c r="CR490" s="11"/>
      <c r="CS490" s="13"/>
      <c r="CT490" s="11"/>
      <c r="CU490" s="11"/>
      <c r="CV490" s="13"/>
      <c r="CW490" s="11"/>
      <c r="CX490" s="12"/>
      <c r="CY490" s="12"/>
      <c r="CZ490" s="11"/>
      <c r="DA490" s="13"/>
      <c r="DB490" s="11"/>
      <c r="DC490" s="11"/>
      <c r="DD490" s="13"/>
      <c r="DE490" s="11"/>
      <c r="DF490" s="12"/>
      <c r="DG490" s="12"/>
      <c r="DH490" s="11"/>
      <c r="DI490" s="13"/>
      <c r="DJ490" s="11"/>
      <c r="DK490" s="11"/>
      <c r="DL490" s="13"/>
      <c r="DM490" s="11"/>
      <c r="DN490" s="12"/>
      <c r="DO490" s="12"/>
      <c r="DP490" s="11"/>
      <c r="DQ490" s="13"/>
      <c r="DR490" s="11"/>
      <c r="DS490" s="11"/>
      <c r="DT490" s="13"/>
      <c r="DU490" s="11"/>
      <c r="DV490" s="12"/>
      <c r="DW490" s="12"/>
      <c r="DX490" s="11">
        <v>3</v>
      </c>
      <c r="DY490" s="13">
        <v>235.52</v>
      </c>
      <c r="DZ490" s="11"/>
      <c r="EA490" s="11"/>
      <c r="EB490" s="13"/>
      <c r="EC490" s="11"/>
      <c r="ED490" s="12"/>
      <c r="EE490" s="12"/>
      <c r="EF490" s="11"/>
      <c r="EG490" s="13"/>
      <c r="EH490" s="11"/>
      <c r="EI490" s="11"/>
      <c r="EJ490" s="13"/>
      <c r="EK490" s="11"/>
      <c r="EL490" s="12"/>
      <c r="EM490" s="12"/>
      <c r="EN490" s="11"/>
      <c r="EO490" s="13"/>
      <c r="EP490" s="11"/>
      <c r="EQ490" s="11"/>
      <c r="ER490" s="13"/>
      <c r="ES490" s="11"/>
      <c r="ET490" s="12"/>
      <c r="EU490" s="12"/>
      <c r="EV490" s="11"/>
      <c r="EW490" s="13"/>
      <c r="EX490" s="11"/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/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/>
      <c r="GS490" s="13"/>
      <c r="GT490" s="11"/>
      <c r="GU490" s="11"/>
      <c r="GV490" s="13"/>
      <c r="GW490" s="11"/>
      <c r="GX490" s="12"/>
      <c r="GY490" s="12"/>
      <c r="GZ490" s="11"/>
      <c r="HA490" s="13"/>
      <c r="HB490" s="11"/>
      <c r="HC490" s="11"/>
      <c r="HD490" s="13"/>
      <c r="HE490" s="11"/>
      <c r="HF490" s="12"/>
      <c r="HG490" s="12"/>
      <c r="HH490" s="11"/>
      <c r="HI490" s="13"/>
      <c r="HJ490" s="11"/>
      <c r="HK490" s="11"/>
      <c r="HL490" s="13"/>
      <c r="HM490" s="11"/>
      <c r="HN490" s="12"/>
      <c r="HO490" s="12"/>
      <c r="HP490" s="11"/>
      <c r="HQ490" s="13"/>
      <c r="HR490" s="11"/>
      <c r="HS490" s="11"/>
      <c r="HT490" s="13"/>
      <c r="HU490" s="11"/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/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/>
      <c r="JO490" s="11"/>
      <c r="JP490" s="13"/>
      <c r="JQ490" s="11"/>
      <c r="JR490" s="12"/>
      <c r="JS490" s="12"/>
      <c r="JT490" s="11"/>
      <c r="JU490" s="13"/>
      <c r="JV490" s="11"/>
      <c r="JW490" s="11"/>
      <c r="JX490" s="13"/>
      <c r="JY490" s="11"/>
      <c r="JZ490" s="12"/>
      <c r="KA490" s="12"/>
      <c r="KB490" s="11"/>
      <c r="KC490" s="13"/>
      <c r="KD490" s="11"/>
      <c r="KE490" s="11"/>
      <c r="KF490" s="13"/>
      <c r="KG490" s="11"/>
      <c r="KH490" s="12"/>
      <c r="KI490" s="12"/>
      <c r="KJ490" s="11"/>
      <c r="KK490" s="13"/>
      <c r="KL490" s="11"/>
      <c r="KM490" s="11"/>
      <c r="KN490" s="13"/>
      <c r="KO490" s="11"/>
      <c r="KP490" s="12"/>
      <c r="KQ490" s="12"/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  <c r="LH490" s="11"/>
      <c r="LI490" s="13"/>
      <c r="LJ490" s="11"/>
      <c r="LK490" s="11"/>
      <c r="LL490" s="13"/>
      <c r="LM490" s="11"/>
      <c r="LN490" s="12"/>
      <c r="LO490" s="12"/>
      <c r="LP490" s="11"/>
      <c r="LQ490" s="13"/>
      <c r="LR490" s="11"/>
      <c r="LS490" s="11"/>
      <c r="LT490" s="13"/>
      <c r="LU490" s="11"/>
      <c r="LV490" s="12"/>
      <c r="LW490" s="12"/>
    </row>
    <row r="491">
      <c r="A491" s="10" t="s">
        <v>270</v>
      </c>
      <c r="B491" s="10" t="s">
        <v>273</v>
      </c>
      <c r="C491" s="10" t="s">
        <v>270</v>
      </c>
      <c r="D491" s="11">
        <v>173</v>
      </c>
      <c r="E491" s="11">
        <f>=ROUNDDOWN({0},0)</f>
      </c>
      <c r="F491" s="11"/>
      <c r="G491" s="12">
        <v>1</v>
      </c>
      <c r="H491" s="11"/>
      <c r="I491" s="11">
        <f>=ROUNDDOWN({0},0)</f>
      </c>
      <c r="J491" s="11"/>
      <c r="K491" s="12"/>
      <c r="L491" s="11"/>
      <c r="M491" s="13"/>
      <c r="N491" s="11"/>
      <c r="O491" s="14"/>
      <c r="P491" s="11"/>
      <c r="Q491" s="13"/>
      <c r="R491" s="11"/>
      <c r="S491" s="14"/>
      <c r="T491" s="12"/>
      <c r="U491" s="12"/>
      <c r="V491" s="12"/>
      <c r="W491" s="12"/>
      <c r="X491" s="11"/>
      <c r="Y491" s="13"/>
      <c r="Z491" s="11"/>
      <c r="AA491" s="11"/>
      <c r="AB491" s="13"/>
      <c r="AC491" s="11"/>
      <c r="AD491" s="12"/>
      <c r="AE491" s="12"/>
      <c r="AF491" s="11"/>
      <c r="AG491" s="13"/>
      <c r="AH491" s="11"/>
      <c r="AI491" s="11"/>
      <c r="AJ491" s="13"/>
      <c r="AK491" s="11"/>
      <c r="AL491" s="12"/>
      <c r="AM491" s="12"/>
      <c r="AN491" s="11"/>
      <c r="AO491" s="13"/>
      <c r="AP491" s="11"/>
      <c r="AQ491" s="11"/>
      <c r="AR491" s="13"/>
      <c r="AS491" s="11"/>
      <c r="AT491" s="12"/>
      <c r="AU491" s="12"/>
      <c r="AV491" s="11"/>
      <c r="AW491" s="13"/>
      <c r="AX491" s="11"/>
      <c r="AY491" s="11"/>
      <c r="AZ491" s="13"/>
      <c r="BA491" s="11"/>
      <c r="BB491" s="12"/>
      <c r="BC491" s="12"/>
      <c r="BD491" s="11"/>
      <c r="BE491" s="13"/>
      <c r="BF491" s="11"/>
      <c r="BG491" s="11"/>
      <c r="BH491" s="13"/>
      <c r="BI491" s="11"/>
      <c r="BJ491" s="12"/>
      <c r="BK491" s="12"/>
      <c r="BL491" s="11"/>
      <c r="BM491" s="13"/>
      <c r="BN491" s="11"/>
      <c r="BO491" s="11"/>
      <c r="BP491" s="13"/>
      <c r="BQ491" s="11"/>
      <c r="BR491" s="12"/>
      <c r="BS491" s="12"/>
      <c r="BT491" s="11"/>
      <c r="BU491" s="13"/>
      <c r="BV491" s="11"/>
      <c r="BW491" s="11"/>
      <c r="BX491" s="13"/>
      <c r="BY491" s="11"/>
      <c r="BZ491" s="12"/>
      <c r="CA491" s="12"/>
      <c r="CB491" s="11"/>
      <c r="CC491" s="13"/>
      <c r="CD491" s="11"/>
      <c r="CE491" s="11"/>
      <c r="CF491" s="13"/>
      <c r="CG491" s="11"/>
      <c r="CH491" s="12"/>
      <c r="CI491" s="12"/>
      <c r="CJ491" s="11"/>
      <c r="CK491" s="13"/>
      <c r="CL491" s="11"/>
      <c r="CM491" s="11"/>
      <c r="CN491" s="13"/>
      <c r="CO491" s="11"/>
      <c r="CP491" s="12"/>
      <c r="CQ491" s="12"/>
      <c r="CR491" s="11"/>
      <c r="CS491" s="13"/>
      <c r="CT491" s="11"/>
      <c r="CU491" s="11"/>
      <c r="CV491" s="13"/>
      <c r="CW491" s="11"/>
      <c r="CX491" s="12"/>
      <c r="CY491" s="12"/>
      <c r="CZ491" s="11"/>
      <c r="DA491" s="13"/>
      <c r="DB491" s="11"/>
      <c r="DC491" s="11"/>
      <c r="DD491" s="13"/>
      <c r="DE491" s="11"/>
      <c r="DF491" s="12"/>
      <c r="DG491" s="12"/>
      <c r="DH491" s="11"/>
      <c r="DI491" s="13"/>
      <c r="DJ491" s="11"/>
      <c r="DK491" s="11"/>
      <c r="DL491" s="13"/>
      <c r="DM491" s="11"/>
      <c r="DN491" s="12"/>
      <c r="DO491" s="12"/>
      <c r="DP491" s="11"/>
      <c r="DQ491" s="13"/>
      <c r="DR491" s="11"/>
      <c r="DS491" s="11"/>
      <c r="DT491" s="13"/>
      <c r="DU491" s="11"/>
      <c r="DV491" s="12"/>
      <c r="DW491" s="12"/>
      <c r="DX491" s="11"/>
      <c r="DY491" s="13"/>
      <c r="DZ491" s="11"/>
      <c r="EA491" s="11"/>
      <c r="EB491" s="13"/>
      <c r="EC491" s="11"/>
      <c r="ED491" s="12"/>
      <c r="EE491" s="12"/>
      <c r="EF491" s="11"/>
      <c r="EG491" s="13"/>
      <c r="EH491" s="11"/>
      <c r="EI491" s="11"/>
      <c r="EJ491" s="13"/>
      <c r="EK491" s="11"/>
      <c r="EL491" s="12"/>
      <c r="EM491" s="12"/>
      <c r="EN491" s="11"/>
      <c r="EO491" s="13"/>
      <c r="EP491" s="11"/>
      <c r="EQ491" s="11"/>
      <c r="ER491" s="13"/>
      <c r="ES491" s="11"/>
      <c r="ET491" s="12"/>
      <c r="EU491" s="12"/>
      <c r="EV491" s="11"/>
      <c r="EW491" s="13"/>
      <c r="EX491" s="11"/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/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/>
      <c r="GM491" s="11"/>
      <c r="GN491" s="13"/>
      <c r="GO491" s="11"/>
      <c r="GP491" s="12"/>
      <c r="GQ491" s="12"/>
      <c r="GR491" s="11"/>
      <c r="GS491" s="13"/>
      <c r="GT491" s="11"/>
      <c r="GU491" s="11"/>
      <c r="GV491" s="13"/>
      <c r="GW491" s="11"/>
      <c r="GX491" s="12"/>
      <c r="GY491" s="12"/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/>
      <c r="HK491" s="11"/>
      <c r="HL491" s="13"/>
      <c r="HM491" s="11"/>
      <c r="HN491" s="12"/>
      <c r="HO491" s="12"/>
      <c r="HP491" s="11"/>
      <c r="HQ491" s="13"/>
      <c r="HR491" s="11"/>
      <c r="HS491" s="11"/>
      <c r="HT491" s="13"/>
      <c r="HU491" s="11"/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/>
      <c r="IG491" s="13"/>
      <c r="IH491" s="11"/>
      <c r="II491" s="11"/>
      <c r="IJ491" s="13"/>
      <c r="IK491" s="11"/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/>
      <c r="JO491" s="11"/>
      <c r="JP491" s="13"/>
      <c r="JQ491" s="11"/>
      <c r="JR491" s="12"/>
      <c r="JS491" s="12"/>
      <c r="JT491" s="11"/>
      <c r="JU491" s="13"/>
      <c r="JV491" s="11"/>
      <c r="JW491" s="11"/>
      <c r="JX491" s="13"/>
      <c r="JY491" s="11"/>
      <c r="JZ491" s="12"/>
      <c r="KA491" s="12"/>
      <c r="KB491" s="11"/>
      <c r="KC491" s="13"/>
      <c r="KD491" s="11"/>
      <c r="KE491" s="11"/>
      <c r="KF491" s="13"/>
      <c r="KG491" s="11"/>
      <c r="KH491" s="12"/>
      <c r="KI491" s="12"/>
      <c r="KJ491" s="11"/>
      <c r="KK491" s="13"/>
      <c r="KL491" s="11"/>
      <c r="KM491" s="11"/>
      <c r="KN491" s="13"/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  <c r="LH491" s="11"/>
      <c r="LI491" s="13"/>
      <c r="LJ491" s="11"/>
      <c r="LK491" s="11"/>
      <c r="LL491" s="13"/>
      <c r="LM491" s="11"/>
      <c r="LN491" s="12"/>
      <c r="LO491" s="12"/>
      <c r="LP491" s="11"/>
      <c r="LQ491" s="13"/>
      <c r="LR491" s="11"/>
      <c r="LS491" s="11"/>
      <c r="LT491" s="13"/>
      <c r="LU491" s="11"/>
      <c r="LV491" s="12"/>
      <c r="LW491" s="12"/>
    </row>
    <row r="492">
      <c r="A492" s="10" t="s">
        <v>270</v>
      </c>
      <c r="B492" s="10" t="s">
        <v>274</v>
      </c>
      <c r="C492" s="10" t="s">
        <v>77</v>
      </c>
      <c r="D492" s="11">
        <v>173</v>
      </c>
      <c r="E492" s="11">
        <f>=ROUNDDOWN({0},0)</f>
      </c>
      <c r="F492" s="11"/>
      <c r="G492" s="12"/>
      <c r="H492" s="11"/>
      <c r="I492" s="11">
        <f>=ROUNDDOWN({0},0)</f>
      </c>
      <c r="J492" s="11"/>
      <c r="K492" s="12"/>
      <c r="L492" s="11"/>
      <c r="M492" s="13"/>
      <c r="N492" s="11"/>
      <c r="O492" s="14"/>
      <c r="P492" s="11"/>
      <c r="Q492" s="13"/>
      <c r="R492" s="11"/>
      <c r="S492" s="14"/>
      <c r="T492" s="12"/>
      <c r="U492" s="12"/>
      <c r="V492" s="12"/>
      <c r="W492" s="12"/>
      <c r="X492" s="11"/>
      <c r="Y492" s="13"/>
      <c r="Z492" s="11"/>
      <c r="AA492" s="11"/>
      <c r="AB492" s="13"/>
      <c r="AC492" s="11"/>
      <c r="AD492" s="12"/>
      <c r="AE492" s="12"/>
      <c r="AF492" s="11"/>
      <c r="AG492" s="13"/>
      <c r="AH492" s="11"/>
      <c r="AI492" s="11"/>
      <c r="AJ492" s="13"/>
      <c r="AK492" s="11"/>
      <c r="AL492" s="12"/>
      <c r="AM492" s="12"/>
      <c r="AN492" s="11"/>
      <c r="AO492" s="13"/>
      <c r="AP492" s="11"/>
      <c r="AQ492" s="11"/>
      <c r="AR492" s="13"/>
      <c r="AS492" s="11"/>
      <c r="AT492" s="12"/>
      <c r="AU492" s="12"/>
      <c r="AV492" s="11"/>
      <c r="AW492" s="13"/>
      <c r="AX492" s="11"/>
      <c r="AY492" s="11"/>
      <c r="AZ492" s="13"/>
      <c r="BA492" s="11"/>
      <c r="BB492" s="12"/>
      <c r="BC492" s="12"/>
      <c r="BD492" s="11"/>
      <c r="BE492" s="13"/>
      <c r="BF492" s="11"/>
      <c r="BG492" s="11"/>
      <c r="BH492" s="13"/>
      <c r="BI492" s="11"/>
      <c r="BJ492" s="12"/>
      <c r="BK492" s="12"/>
      <c r="BL492" s="11"/>
      <c r="BM492" s="13"/>
      <c r="BN492" s="11"/>
      <c r="BO492" s="11"/>
      <c r="BP492" s="13"/>
      <c r="BQ492" s="11"/>
      <c r="BR492" s="12"/>
      <c r="BS492" s="12"/>
      <c r="BT492" s="11"/>
      <c r="BU492" s="13"/>
      <c r="BV492" s="11"/>
      <c r="BW492" s="11"/>
      <c r="BX492" s="13"/>
      <c r="BY492" s="11"/>
      <c r="BZ492" s="12"/>
      <c r="CA492" s="12"/>
      <c r="CB492" s="11"/>
      <c r="CC492" s="13"/>
      <c r="CD492" s="11"/>
      <c r="CE492" s="11"/>
      <c r="CF492" s="13"/>
      <c r="CG492" s="11"/>
      <c r="CH492" s="12"/>
      <c r="CI492" s="12"/>
      <c r="CJ492" s="11"/>
      <c r="CK492" s="13"/>
      <c r="CL492" s="11"/>
      <c r="CM492" s="11"/>
      <c r="CN492" s="13"/>
      <c r="CO492" s="11"/>
      <c r="CP492" s="12"/>
      <c r="CQ492" s="12"/>
      <c r="CR492" s="11"/>
      <c r="CS492" s="13"/>
      <c r="CT492" s="11"/>
      <c r="CU492" s="11"/>
      <c r="CV492" s="13"/>
      <c r="CW492" s="11"/>
      <c r="CX492" s="12"/>
      <c r="CY492" s="12"/>
      <c r="CZ492" s="11"/>
      <c r="DA492" s="13"/>
      <c r="DB492" s="11"/>
      <c r="DC492" s="11"/>
      <c r="DD492" s="13"/>
      <c r="DE492" s="11"/>
      <c r="DF492" s="12"/>
      <c r="DG492" s="12"/>
      <c r="DH492" s="11"/>
      <c r="DI492" s="13"/>
      <c r="DJ492" s="11"/>
      <c r="DK492" s="11"/>
      <c r="DL492" s="13"/>
      <c r="DM492" s="11"/>
      <c r="DN492" s="12"/>
      <c r="DO492" s="12"/>
      <c r="DP492" s="11"/>
      <c r="DQ492" s="13"/>
      <c r="DR492" s="11"/>
      <c r="DS492" s="11"/>
      <c r="DT492" s="13"/>
      <c r="DU492" s="11"/>
      <c r="DV492" s="12"/>
      <c r="DW492" s="12"/>
      <c r="DX492" s="11"/>
      <c r="DY492" s="13"/>
      <c r="DZ492" s="11"/>
      <c r="EA492" s="11"/>
      <c r="EB492" s="13"/>
      <c r="EC492" s="11"/>
      <c r="ED492" s="12"/>
      <c r="EE492" s="12"/>
      <c r="EF492" s="11"/>
      <c r="EG492" s="13"/>
      <c r="EH492" s="11"/>
      <c r="EI492" s="11"/>
      <c r="EJ492" s="13"/>
      <c r="EK492" s="11"/>
      <c r="EL492" s="12"/>
      <c r="EM492" s="12"/>
      <c r="EN492" s="11"/>
      <c r="EO492" s="13"/>
      <c r="EP492" s="11"/>
      <c r="EQ492" s="11"/>
      <c r="ER492" s="13"/>
      <c r="ES492" s="11"/>
      <c r="ET492" s="12"/>
      <c r="EU492" s="12"/>
      <c r="EV492" s="11"/>
      <c r="EW492" s="13"/>
      <c r="EX492" s="11"/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/>
      <c r="FM492" s="13"/>
      <c r="FN492" s="11"/>
      <c r="FO492" s="11"/>
      <c r="FP492" s="13"/>
      <c r="FQ492" s="11"/>
      <c r="FR492" s="12"/>
      <c r="FS492" s="12"/>
      <c r="FT492" s="11"/>
      <c r="FU492" s="13"/>
      <c r="FV492" s="11"/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/>
      <c r="GM492" s="11"/>
      <c r="GN492" s="13"/>
      <c r="GO492" s="11"/>
      <c r="GP492" s="12"/>
      <c r="GQ492" s="12"/>
      <c r="GR492" s="11"/>
      <c r="GS492" s="13"/>
      <c r="GT492" s="11"/>
      <c r="GU492" s="11"/>
      <c r="GV492" s="13"/>
      <c r="GW492" s="11"/>
      <c r="GX492" s="12"/>
      <c r="GY492" s="12"/>
      <c r="GZ492" s="11"/>
      <c r="HA492" s="13"/>
      <c r="HB492" s="11"/>
      <c r="HC492" s="11"/>
      <c r="HD492" s="13"/>
      <c r="HE492" s="11"/>
      <c r="HF492" s="12"/>
      <c r="HG492" s="12"/>
      <c r="HH492" s="11"/>
      <c r="HI492" s="13"/>
      <c r="HJ492" s="11"/>
      <c r="HK492" s="11"/>
      <c r="HL492" s="13"/>
      <c r="HM492" s="11"/>
      <c r="HN492" s="12"/>
      <c r="HO492" s="12"/>
      <c r="HP492" s="11"/>
      <c r="HQ492" s="13"/>
      <c r="HR492" s="11"/>
      <c r="HS492" s="11"/>
      <c r="HT492" s="13"/>
      <c r="HU492" s="11"/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/>
      <c r="IG492" s="13"/>
      <c r="IH492" s="11"/>
      <c r="II492" s="11"/>
      <c r="IJ492" s="13"/>
      <c r="IK492" s="11"/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/>
      <c r="JO492" s="11"/>
      <c r="JP492" s="13"/>
      <c r="JQ492" s="11"/>
      <c r="JR492" s="12"/>
      <c r="JS492" s="12"/>
      <c r="JT492" s="11"/>
      <c r="JU492" s="13"/>
      <c r="JV492" s="11"/>
      <c r="JW492" s="11"/>
      <c r="JX492" s="13"/>
      <c r="JY492" s="11"/>
      <c r="JZ492" s="12"/>
      <c r="KA492" s="12"/>
      <c r="KB492" s="11"/>
      <c r="KC492" s="13"/>
      <c r="KD492" s="11"/>
      <c r="KE492" s="11"/>
      <c r="KF492" s="13"/>
      <c r="KG492" s="11"/>
      <c r="KH492" s="12"/>
      <c r="KI492" s="12"/>
      <c r="KJ492" s="11"/>
      <c r="KK492" s="13"/>
      <c r="KL492" s="11"/>
      <c r="KM492" s="11"/>
      <c r="KN492" s="13"/>
      <c r="KO492" s="11"/>
      <c r="KP492" s="12"/>
      <c r="KQ492" s="12"/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  <c r="LH492" s="11"/>
      <c r="LI492" s="13"/>
      <c r="LJ492" s="11"/>
      <c r="LK492" s="11"/>
      <c r="LL492" s="13"/>
      <c r="LM492" s="11"/>
      <c r="LN492" s="12"/>
      <c r="LO492" s="12"/>
      <c r="LP492" s="11"/>
      <c r="LQ492" s="13"/>
      <c r="LR492" s="11"/>
      <c r="LS492" s="11"/>
      <c r="LT492" s="13"/>
      <c r="LU492" s="11"/>
      <c r="LV492" s="12"/>
      <c r="LW492" s="12"/>
    </row>
    <row r="493">
      <c r="A493" s="10" t="s">
        <v>270</v>
      </c>
      <c r="B493" s="10" t="s">
        <v>275</v>
      </c>
      <c r="C493" s="10" t="s">
        <v>270</v>
      </c>
      <c r="D493" s="11">
        <v>1211</v>
      </c>
      <c r="E493" s="11">
        <f>=ROUNDDOWN(526.521739130435,0)</f>
      </c>
      <c r="F493" s="11"/>
      <c r="G493" s="12">
        <v>0.8797</v>
      </c>
      <c r="H493" s="11"/>
      <c r="I493" s="11">
        <f>=ROUNDDOWN({0},0)</f>
      </c>
      <c r="J493" s="11"/>
      <c r="K493" s="12"/>
      <c r="L493" s="11">
        <v>22</v>
      </c>
      <c r="M493" s="13">
        <v>1179.79</v>
      </c>
      <c r="N493" s="11"/>
      <c r="O493" s="14"/>
      <c r="P493" s="11"/>
      <c r="Q493" s="13"/>
      <c r="R493" s="11"/>
      <c r="S493" s="14"/>
      <c r="T493" s="12"/>
      <c r="U493" s="12"/>
      <c r="V493" s="12"/>
      <c r="W493" s="12"/>
      <c r="X493" s="11"/>
      <c r="Y493" s="13"/>
      <c r="Z493" s="11"/>
      <c r="AA493" s="11"/>
      <c r="AB493" s="13"/>
      <c r="AC493" s="11"/>
      <c r="AD493" s="12"/>
      <c r="AE493" s="12"/>
      <c r="AF493" s="11"/>
      <c r="AG493" s="13"/>
      <c r="AH493" s="11"/>
      <c r="AI493" s="11"/>
      <c r="AJ493" s="13"/>
      <c r="AK493" s="11"/>
      <c r="AL493" s="12"/>
      <c r="AM493" s="12"/>
      <c r="AN493" s="11"/>
      <c r="AO493" s="13"/>
      <c r="AP493" s="11"/>
      <c r="AQ493" s="11"/>
      <c r="AR493" s="13"/>
      <c r="AS493" s="11"/>
      <c r="AT493" s="12"/>
      <c r="AU493" s="12"/>
      <c r="AV493" s="11"/>
      <c r="AW493" s="13"/>
      <c r="AX493" s="11"/>
      <c r="AY493" s="11"/>
      <c r="AZ493" s="13"/>
      <c r="BA493" s="11"/>
      <c r="BB493" s="12"/>
      <c r="BC493" s="12"/>
      <c r="BD493" s="11"/>
      <c r="BE493" s="13"/>
      <c r="BF493" s="11"/>
      <c r="BG493" s="11"/>
      <c r="BH493" s="13"/>
      <c r="BI493" s="11"/>
      <c r="BJ493" s="12"/>
      <c r="BK493" s="12"/>
      <c r="BL493" s="11"/>
      <c r="BM493" s="13"/>
      <c r="BN493" s="11"/>
      <c r="BO493" s="11"/>
      <c r="BP493" s="13"/>
      <c r="BQ493" s="11"/>
      <c r="BR493" s="12"/>
      <c r="BS493" s="12"/>
      <c r="BT493" s="11"/>
      <c r="BU493" s="13"/>
      <c r="BV493" s="11"/>
      <c r="BW493" s="11"/>
      <c r="BX493" s="13"/>
      <c r="BY493" s="11"/>
      <c r="BZ493" s="12"/>
      <c r="CA493" s="12"/>
      <c r="CB493" s="11"/>
      <c r="CC493" s="13"/>
      <c r="CD493" s="11"/>
      <c r="CE493" s="11"/>
      <c r="CF493" s="13"/>
      <c r="CG493" s="11"/>
      <c r="CH493" s="12"/>
      <c r="CI493" s="12"/>
      <c r="CJ493" s="11"/>
      <c r="CK493" s="13"/>
      <c r="CL493" s="11"/>
      <c r="CM493" s="11"/>
      <c r="CN493" s="13"/>
      <c r="CO493" s="11"/>
      <c r="CP493" s="12"/>
      <c r="CQ493" s="12"/>
      <c r="CR493" s="11"/>
      <c r="CS493" s="13"/>
      <c r="CT493" s="11"/>
      <c r="CU493" s="11"/>
      <c r="CV493" s="13"/>
      <c r="CW493" s="11"/>
      <c r="CX493" s="12"/>
      <c r="CY493" s="12"/>
      <c r="CZ493" s="11"/>
      <c r="DA493" s="13"/>
      <c r="DB493" s="11"/>
      <c r="DC493" s="11"/>
      <c r="DD493" s="13"/>
      <c r="DE493" s="11"/>
      <c r="DF493" s="12"/>
      <c r="DG493" s="12"/>
      <c r="DH493" s="11"/>
      <c r="DI493" s="13"/>
      <c r="DJ493" s="11"/>
      <c r="DK493" s="11"/>
      <c r="DL493" s="13"/>
      <c r="DM493" s="11"/>
      <c r="DN493" s="12"/>
      <c r="DO493" s="12"/>
      <c r="DP493" s="11"/>
      <c r="DQ493" s="13"/>
      <c r="DR493" s="11"/>
      <c r="DS493" s="11"/>
      <c r="DT493" s="13"/>
      <c r="DU493" s="11"/>
      <c r="DV493" s="12"/>
      <c r="DW493" s="12"/>
      <c r="DX493" s="11">
        <v>22</v>
      </c>
      <c r="DY493" s="13">
        <v>1179.79</v>
      </c>
      <c r="DZ493" s="11"/>
      <c r="EA493" s="11"/>
      <c r="EB493" s="13"/>
      <c r="EC493" s="11"/>
      <c r="ED493" s="12"/>
      <c r="EE493" s="12"/>
      <c r="EF493" s="11"/>
      <c r="EG493" s="13"/>
      <c r="EH493" s="11"/>
      <c r="EI493" s="11"/>
      <c r="EJ493" s="13"/>
      <c r="EK493" s="11"/>
      <c r="EL493" s="12"/>
      <c r="EM493" s="12"/>
      <c r="EN493" s="11"/>
      <c r="EO493" s="13"/>
      <c r="EP493" s="11"/>
      <c r="EQ493" s="11"/>
      <c r="ER493" s="13"/>
      <c r="ES493" s="11"/>
      <c r="ET493" s="12"/>
      <c r="EU493" s="12"/>
      <c r="EV493" s="11"/>
      <c r="EW493" s="13"/>
      <c r="EX493" s="11"/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/>
      <c r="FM493" s="13"/>
      <c r="FN493" s="11"/>
      <c r="FO493" s="11"/>
      <c r="FP493" s="13"/>
      <c r="FQ493" s="11"/>
      <c r="FR493" s="12"/>
      <c r="FS493" s="12"/>
      <c r="FT493" s="11"/>
      <c r="FU493" s="13"/>
      <c r="FV493" s="11"/>
      <c r="FW493" s="11"/>
      <c r="FX493" s="13"/>
      <c r="FY493" s="11"/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/>
      <c r="GM493" s="11"/>
      <c r="GN493" s="13"/>
      <c r="GO493" s="11"/>
      <c r="GP493" s="12"/>
      <c r="GQ493" s="12"/>
      <c r="GR493" s="11"/>
      <c r="GS493" s="13"/>
      <c r="GT493" s="11"/>
      <c r="GU493" s="11"/>
      <c r="GV493" s="13"/>
      <c r="GW493" s="11"/>
      <c r="GX493" s="12"/>
      <c r="GY493" s="12"/>
      <c r="GZ493" s="11"/>
      <c r="HA493" s="13"/>
      <c r="HB493" s="11"/>
      <c r="HC493" s="11"/>
      <c r="HD493" s="13"/>
      <c r="HE493" s="11"/>
      <c r="HF493" s="12"/>
      <c r="HG493" s="12"/>
      <c r="HH493" s="11"/>
      <c r="HI493" s="13"/>
      <c r="HJ493" s="11"/>
      <c r="HK493" s="11"/>
      <c r="HL493" s="13"/>
      <c r="HM493" s="11"/>
      <c r="HN493" s="12"/>
      <c r="HO493" s="12"/>
      <c r="HP493" s="11"/>
      <c r="HQ493" s="13"/>
      <c r="HR493" s="11"/>
      <c r="HS493" s="11"/>
      <c r="HT493" s="13"/>
      <c r="HU493" s="11"/>
      <c r="HV493" s="12"/>
      <c r="HW493" s="12"/>
      <c r="HX493" s="11"/>
      <c r="HY493" s="13"/>
      <c r="HZ493" s="11"/>
      <c r="IA493" s="11"/>
      <c r="IB493" s="13"/>
      <c r="IC493" s="11"/>
      <c r="ID493" s="12"/>
      <c r="IE493" s="12"/>
      <c r="IF493" s="11"/>
      <c r="IG493" s="13"/>
      <c r="IH493" s="11"/>
      <c r="II493" s="11"/>
      <c r="IJ493" s="13"/>
      <c r="IK493" s="11"/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/>
      <c r="JO493" s="11"/>
      <c r="JP493" s="13"/>
      <c r="JQ493" s="11"/>
      <c r="JR493" s="12"/>
      <c r="JS493" s="12"/>
      <c r="JT493" s="11"/>
      <c r="JU493" s="13"/>
      <c r="JV493" s="11"/>
      <c r="JW493" s="11"/>
      <c r="JX493" s="13"/>
      <c r="JY493" s="11"/>
      <c r="JZ493" s="12"/>
      <c r="KA493" s="12"/>
      <c r="KB493" s="11"/>
      <c r="KC493" s="13"/>
      <c r="KD493" s="11"/>
      <c r="KE493" s="11"/>
      <c r="KF493" s="13"/>
      <c r="KG493" s="11"/>
      <c r="KH493" s="12"/>
      <c r="KI493" s="12"/>
      <c r="KJ493" s="11"/>
      <c r="KK493" s="13"/>
      <c r="KL493" s="11"/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  <c r="LH493" s="11"/>
      <c r="LI493" s="13"/>
      <c r="LJ493" s="11"/>
      <c r="LK493" s="11"/>
      <c r="LL493" s="13"/>
      <c r="LM493" s="11"/>
      <c r="LN493" s="12"/>
      <c r="LO493" s="12"/>
      <c r="LP493" s="11"/>
      <c r="LQ493" s="13"/>
      <c r="LR493" s="11"/>
      <c r="LS493" s="11"/>
      <c r="LT493" s="13"/>
      <c r="LU493" s="11"/>
      <c r="LV493" s="12"/>
      <c r="LW493" s="12"/>
    </row>
    <row r="494">
      <c r="A494" s="10" t="s">
        <v>270</v>
      </c>
      <c r="B494" s="10" t="s">
        <v>276</v>
      </c>
      <c r="C494" s="10" t="s">
        <v>77</v>
      </c>
      <c r="D494" s="11">
        <v>1211</v>
      </c>
      <c r="E494" s="11">
        <f>=ROUNDDOWN({0},0)</f>
      </c>
      <c r="F494" s="11"/>
      <c r="G494" s="12"/>
      <c r="H494" s="11"/>
      <c r="I494" s="11">
        <f>=ROUNDDOWN({0},0)</f>
      </c>
      <c r="J494" s="11"/>
      <c r="K494" s="12"/>
      <c r="L494" s="11">
        <v>22</v>
      </c>
      <c r="M494" s="13">
        <v>1179.79</v>
      </c>
      <c r="N494" s="11"/>
      <c r="O494" s="14"/>
      <c r="P494" s="11"/>
      <c r="Q494" s="13"/>
      <c r="R494" s="11"/>
      <c r="S494" s="14"/>
      <c r="T494" s="12"/>
      <c r="U494" s="12"/>
      <c r="V494" s="12"/>
      <c r="W494" s="12"/>
      <c r="X494" s="11"/>
      <c r="Y494" s="13"/>
      <c r="Z494" s="11"/>
      <c r="AA494" s="11"/>
      <c r="AB494" s="13"/>
      <c r="AC494" s="11"/>
      <c r="AD494" s="12"/>
      <c r="AE494" s="12"/>
      <c r="AF494" s="11"/>
      <c r="AG494" s="13"/>
      <c r="AH494" s="11"/>
      <c r="AI494" s="11"/>
      <c r="AJ494" s="13"/>
      <c r="AK494" s="11"/>
      <c r="AL494" s="12"/>
      <c r="AM494" s="12"/>
      <c r="AN494" s="11"/>
      <c r="AO494" s="13"/>
      <c r="AP494" s="11"/>
      <c r="AQ494" s="11"/>
      <c r="AR494" s="13"/>
      <c r="AS494" s="11"/>
      <c r="AT494" s="12"/>
      <c r="AU494" s="12"/>
      <c r="AV494" s="11"/>
      <c r="AW494" s="13"/>
      <c r="AX494" s="11"/>
      <c r="AY494" s="11"/>
      <c r="AZ494" s="13"/>
      <c r="BA494" s="11"/>
      <c r="BB494" s="12"/>
      <c r="BC494" s="12"/>
      <c r="BD494" s="11"/>
      <c r="BE494" s="13"/>
      <c r="BF494" s="11"/>
      <c r="BG494" s="11"/>
      <c r="BH494" s="13"/>
      <c r="BI494" s="11"/>
      <c r="BJ494" s="12"/>
      <c r="BK494" s="12"/>
      <c r="BL494" s="11"/>
      <c r="BM494" s="13"/>
      <c r="BN494" s="11"/>
      <c r="BO494" s="11"/>
      <c r="BP494" s="13"/>
      <c r="BQ494" s="11"/>
      <c r="BR494" s="12"/>
      <c r="BS494" s="12"/>
      <c r="BT494" s="11"/>
      <c r="BU494" s="13"/>
      <c r="BV494" s="11"/>
      <c r="BW494" s="11"/>
      <c r="BX494" s="13"/>
      <c r="BY494" s="11"/>
      <c r="BZ494" s="12"/>
      <c r="CA494" s="12"/>
      <c r="CB494" s="11"/>
      <c r="CC494" s="13"/>
      <c r="CD494" s="11"/>
      <c r="CE494" s="11"/>
      <c r="CF494" s="13"/>
      <c r="CG494" s="11"/>
      <c r="CH494" s="12"/>
      <c r="CI494" s="12"/>
      <c r="CJ494" s="11"/>
      <c r="CK494" s="13"/>
      <c r="CL494" s="11"/>
      <c r="CM494" s="11"/>
      <c r="CN494" s="13"/>
      <c r="CO494" s="11"/>
      <c r="CP494" s="12"/>
      <c r="CQ494" s="12"/>
      <c r="CR494" s="11"/>
      <c r="CS494" s="13"/>
      <c r="CT494" s="11"/>
      <c r="CU494" s="11"/>
      <c r="CV494" s="13"/>
      <c r="CW494" s="11"/>
      <c r="CX494" s="12"/>
      <c r="CY494" s="12"/>
      <c r="CZ494" s="11"/>
      <c r="DA494" s="13"/>
      <c r="DB494" s="11"/>
      <c r="DC494" s="11"/>
      <c r="DD494" s="13"/>
      <c r="DE494" s="11"/>
      <c r="DF494" s="12"/>
      <c r="DG494" s="12"/>
      <c r="DH494" s="11"/>
      <c r="DI494" s="13"/>
      <c r="DJ494" s="11"/>
      <c r="DK494" s="11"/>
      <c r="DL494" s="13"/>
      <c r="DM494" s="11"/>
      <c r="DN494" s="12"/>
      <c r="DO494" s="12"/>
      <c r="DP494" s="11"/>
      <c r="DQ494" s="13"/>
      <c r="DR494" s="11"/>
      <c r="DS494" s="11"/>
      <c r="DT494" s="13"/>
      <c r="DU494" s="11"/>
      <c r="DV494" s="12"/>
      <c r="DW494" s="12"/>
      <c r="DX494" s="11">
        <v>22</v>
      </c>
      <c r="DY494" s="13">
        <v>1179.79</v>
      </c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/>
      <c r="EY494" s="11"/>
      <c r="EZ494" s="13"/>
      <c r="FA494" s="11"/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/>
      <c r="FW494" s="11"/>
      <c r="FX494" s="13"/>
      <c r="FY494" s="11"/>
      <c r="FZ494" s="12"/>
      <c r="GA494" s="12"/>
      <c r="GB494" s="11"/>
      <c r="GC494" s="13"/>
      <c r="GD494" s="11"/>
      <c r="GE494" s="11"/>
      <c r="GF494" s="13"/>
      <c r="GG494" s="11"/>
      <c r="GH494" s="12"/>
      <c r="GI494" s="12"/>
      <c r="GJ494" s="11"/>
      <c r="GK494" s="13"/>
      <c r="GL494" s="11"/>
      <c r="GM494" s="11"/>
      <c r="GN494" s="13"/>
      <c r="GO494" s="11"/>
      <c r="GP494" s="12"/>
      <c r="GQ494" s="12"/>
      <c r="GR494" s="11"/>
      <c r="GS494" s="13"/>
      <c r="GT494" s="11"/>
      <c r="GU494" s="11"/>
      <c r="GV494" s="13"/>
      <c r="GW494" s="11"/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/>
      <c r="HK494" s="11"/>
      <c r="HL494" s="13"/>
      <c r="HM494" s="11"/>
      <c r="HN494" s="12"/>
      <c r="HO494" s="12"/>
      <c r="HP494" s="11"/>
      <c r="HQ494" s="13"/>
      <c r="HR494" s="11"/>
      <c r="HS494" s="11"/>
      <c r="HT494" s="13"/>
      <c r="HU494" s="11"/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/>
      <c r="IJ494" s="13"/>
      <c r="IK494" s="11"/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/>
      <c r="JP494" s="13"/>
      <c r="JQ494" s="11"/>
      <c r="JR494" s="12"/>
      <c r="JS494" s="12"/>
      <c r="JT494" s="11"/>
      <c r="JU494" s="13"/>
      <c r="JV494" s="11"/>
      <c r="JW494" s="11"/>
      <c r="JX494" s="13"/>
      <c r="JY494" s="11"/>
      <c r="JZ494" s="12"/>
      <c r="KA494" s="12"/>
      <c r="KB494" s="11"/>
      <c r="KC494" s="13"/>
      <c r="KD494" s="11"/>
      <c r="KE494" s="11"/>
      <c r="KF494" s="13"/>
      <c r="KG494" s="11"/>
      <c r="KH494" s="12"/>
      <c r="KI494" s="12"/>
      <c r="KJ494" s="11"/>
      <c r="KK494" s="13"/>
      <c r="KL494" s="11"/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  <c r="LH494" s="11"/>
      <c r="LI494" s="13"/>
      <c r="LJ494" s="11"/>
      <c r="LK494" s="11"/>
      <c r="LL494" s="13"/>
      <c r="LM494" s="11"/>
      <c r="LN494" s="12"/>
      <c r="LO494" s="12"/>
      <c r="LP494" s="11"/>
      <c r="LQ494" s="13"/>
      <c r="LR494" s="11"/>
      <c r="LS494" s="11"/>
      <c r="LT494" s="13"/>
      <c r="LU494" s="11"/>
      <c r="LV494" s="12"/>
      <c r="LW494" s="12"/>
    </row>
    <row r="495">
      <c r="A495" s="10" t="s">
        <v>270</v>
      </c>
      <c r="B495" s="10" t="s">
        <v>107</v>
      </c>
      <c r="C495" s="10" t="s">
        <v>270</v>
      </c>
      <c r="D495" s="11">
        <v>29</v>
      </c>
      <c r="E495" s="11">
        <f>=ROUNDDOWN(145,0)</f>
      </c>
      <c r="F495" s="11"/>
      <c r="G495" s="12">
        <v>0.9456</v>
      </c>
      <c r="H495" s="11"/>
      <c r="I495" s="11">
        <f>=ROUNDDOWN({0},0)</f>
      </c>
      <c r="J495" s="11"/>
      <c r="K495" s="12"/>
      <c r="L495" s="11">
        <v>2</v>
      </c>
      <c r="M495" s="13">
        <v>71.4</v>
      </c>
      <c r="N495" s="11"/>
      <c r="O495" s="14"/>
      <c r="P495" s="11"/>
      <c r="Q495" s="13"/>
      <c r="R495" s="11"/>
      <c r="S495" s="14"/>
      <c r="T495" s="12"/>
      <c r="U495" s="12"/>
      <c r="V495" s="12"/>
      <c r="W495" s="12"/>
      <c r="X495" s="11"/>
      <c r="Y495" s="13"/>
      <c r="Z495" s="11"/>
      <c r="AA495" s="11"/>
      <c r="AB495" s="13"/>
      <c r="AC495" s="11"/>
      <c r="AD495" s="12"/>
      <c r="AE495" s="12"/>
      <c r="AF495" s="11"/>
      <c r="AG495" s="13"/>
      <c r="AH495" s="11"/>
      <c r="AI495" s="11"/>
      <c r="AJ495" s="13"/>
      <c r="AK495" s="11"/>
      <c r="AL495" s="12"/>
      <c r="AM495" s="12"/>
      <c r="AN495" s="11"/>
      <c r="AO495" s="13"/>
      <c r="AP495" s="11"/>
      <c r="AQ495" s="11"/>
      <c r="AR495" s="13"/>
      <c r="AS495" s="11"/>
      <c r="AT495" s="12"/>
      <c r="AU495" s="12"/>
      <c r="AV495" s="11"/>
      <c r="AW495" s="13"/>
      <c r="AX495" s="11"/>
      <c r="AY495" s="11"/>
      <c r="AZ495" s="13"/>
      <c r="BA495" s="11"/>
      <c r="BB495" s="12"/>
      <c r="BC495" s="12"/>
      <c r="BD495" s="11"/>
      <c r="BE495" s="13"/>
      <c r="BF495" s="11"/>
      <c r="BG495" s="11"/>
      <c r="BH495" s="13"/>
      <c r="BI495" s="11"/>
      <c r="BJ495" s="12"/>
      <c r="BK495" s="12"/>
      <c r="BL495" s="11"/>
      <c r="BM495" s="13"/>
      <c r="BN495" s="11"/>
      <c r="BO495" s="11"/>
      <c r="BP495" s="13"/>
      <c r="BQ495" s="11"/>
      <c r="BR495" s="12"/>
      <c r="BS495" s="12"/>
      <c r="BT495" s="11"/>
      <c r="BU495" s="13"/>
      <c r="BV495" s="11"/>
      <c r="BW495" s="11"/>
      <c r="BX495" s="13"/>
      <c r="BY495" s="11"/>
      <c r="BZ495" s="12"/>
      <c r="CA495" s="12"/>
      <c r="CB495" s="11"/>
      <c r="CC495" s="13"/>
      <c r="CD495" s="11"/>
      <c r="CE495" s="11"/>
      <c r="CF495" s="13"/>
      <c r="CG495" s="11"/>
      <c r="CH495" s="12"/>
      <c r="CI495" s="12"/>
      <c r="CJ495" s="11"/>
      <c r="CK495" s="13"/>
      <c r="CL495" s="11"/>
      <c r="CM495" s="11"/>
      <c r="CN495" s="13"/>
      <c r="CO495" s="11"/>
      <c r="CP495" s="12"/>
      <c r="CQ495" s="12"/>
      <c r="CR495" s="11"/>
      <c r="CS495" s="13"/>
      <c r="CT495" s="11"/>
      <c r="CU495" s="11"/>
      <c r="CV495" s="13"/>
      <c r="CW495" s="11"/>
      <c r="CX495" s="12"/>
      <c r="CY495" s="12"/>
      <c r="CZ495" s="11"/>
      <c r="DA495" s="13"/>
      <c r="DB495" s="11"/>
      <c r="DC495" s="11"/>
      <c r="DD495" s="13"/>
      <c r="DE495" s="11"/>
      <c r="DF495" s="12"/>
      <c r="DG495" s="12"/>
      <c r="DH495" s="11"/>
      <c r="DI495" s="13"/>
      <c r="DJ495" s="11"/>
      <c r="DK495" s="11"/>
      <c r="DL495" s="13"/>
      <c r="DM495" s="11"/>
      <c r="DN495" s="12"/>
      <c r="DO495" s="12"/>
      <c r="DP495" s="11"/>
      <c r="DQ495" s="13"/>
      <c r="DR495" s="11"/>
      <c r="DS495" s="11"/>
      <c r="DT495" s="13"/>
      <c r="DU495" s="11"/>
      <c r="DV495" s="12"/>
      <c r="DW495" s="12"/>
      <c r="DX495" s="11">
        <v>2</v>
      </c>
      <c r="DY495" s="13">
        <v>71.4</v>
      </c>
      <c r="DZ495" s="11"/>
      <c r="EA495" s="11"/>
      <c r="EB495" s="13"/>
      <c r="EC495" s="11"/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/>
      <c r="EY495" s="11"/>
      <c r="EZ495" s="13"/>
      <c r="FA495" s="11"/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/>
      <c r="FW495" s="11"/>
      <c r="FX495" s="13"/>
      <c r="FY495" s="11"/>
      <c r="FZ495" s="12"/>
      <c r="GA495" s="12"/>
      <c r="GB495" s="11"/>
      <c r="GC495" s="13"/>
      <c r="GD495" s="11"/>
      <c r="GE495" s="11"/>
      <c r="GF495" s="13"/>
      <c r="GG495" s="11"/>
      <c r="GH495" s="12"/>
      <c r="GI495" s="12"/>
      <c r="GJ495" s="11"/>
      <c r="GK495" s="13"/>
      <c r="GL495" s="11"/>
      <c r="GM495" s="11"/>
      <c r="GN495" s="13"/>
      <c r="GO495" s="11"/>
      <c r="GP495" s="12"/>
      <c r="GQ495" s="12"/>
      <c r="GR495" s="11"/>
      <c r="GS495" s="13"/>
      <c r="GT495" s="11"/>
      <c r="GU495" s="11"/>
      <c r="GV495" s="13"/>
      <c r="GW495" s="11"/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/>
      <c r="HK495" s="11"/>
      <c r="HL495" s="13"/>
      <c r="HM495" s="11"/>
      <c r="HN495" s="12"/>
      <c r="HO495" s="12"/>
      <c r="HP495" s="11"/>
      <c r="HQ495" s="13"/>
      <c r="HR495" s="11"/>
      <c r="HS495" s="11"/>
      <c r="HT495" s="13"/>
      <c r="HU495" s="11"/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/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/>
      <c r="JE495" s="13"/>
      <c r="JF495" s="11"/>
      <c r="JG495" s="11"/>
      <c r="JH495" s="13"/>
      <c r="JI495" s="11"/>
      <c r="JJ495" s="12"/>
      <c r="JK495" s="12"/>
      <c r="JL495" s="11"/>
      <c r="JM495" s="13"/>
      <c r="JN495" s="11"/>
      <c r="JO495" s="11"/>
      <c r="JP495" s="13"/>
      <c r="JQ495" s="11"/>
      <c r="JR495" s="12"/>
      <c r="JS495" s="12"/>
      <c r="JT495" s="11"/>
      <c r="JU495" s="13"/>
      <c r="JV495" s="11"/>
      <c r="JW495" s="11"/>
      <c r="JX495" s="13"/>
      <c r="JY495" s="11"/>
      <c r="JZ495" s="12"/>
      <c r="KA495" s="12"/>
      <c r="KB495" s="11"/>
      <c r="KC495" s="13"/>
      <c r="KD495" s="11"/>
      <c r="KE495" s="11"/>
      <c r="KF495" s="13"/>
      <c r="KG495" s="11"/>
      <c r="KH495" s="12"/>
      <c r="KI495" s="12"/>
      <c r="KJ495" s="11"/>
      <c r="KK495" s="13"/>
      <c r="KL495" s="11"/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  <c r="LH495" s="11"/>
      <c r="LI495" s="13"/>
      <c r="LJ495" s="11"/>
      <c r="LK495" s="11"/>
      <c r="LL495" s="13"/>
      <c r="LM495" s="11"/>
      <c r="LN495" s="12"/>
      <c r="LO495" s="12"/>
      <c r="LP495" s="11"/>
      <c r="LQ495" s="13"/>
      <c r="LR495" s="11"/>
      <c r="LS495" s="11"/>
      <c r="LT495" s="13"/>
      <c r="LU495" s="11"/>
      <c r="LV495" s="12"/>
      <c r="LW495" s="12"/>
    </row>
    <row r="496">
      <c r="A496" s="10" t="s">
        <v>270</v>
      </c>
      <c r="B496" s="10" t="s">
        <v>108</v>
      </c>
      <c r="C496" s="10" t="s">
        <v>77</v>
      </c>
      <c r="D496" s="11">
        <v>29</v>
      </c>
      <c r="E496" s="11">
        <f>=ROUNDDOWN({0},0)</f>
      </c>
      <c r="F496" s="11"/>
      <c r="G496" s="12"/>
      <c r="H496" s="11"/>
      <c r="I496" s="11">
        <f>=ROUNDDOWN({0},0)</f>
      </c>
      <c r="J496" s="11"/>
      <c r="K496" s="12"/>
      <c r="L496" s="11">
        <v>2</v>
      </c>
      <c r="M496" s="13">
        <v>71.4</v>
      </c>
      <c r="N496" s="11"/>
      <c r="O496" s="14"/>
      <c r="P496" s="11"/>
      <c r="Q496" s="13"/>
      <c r="R496" s="11"/>
      <c r="S496" s="14"/>
      <c r="T496" s="12"/>
      <c r="U496" s="12"/>
      <c r="V496" s="12"/>
      <c r="W496" s="12"/>
      <c r="X496" s="11"/>
      <c r="Y496" s="13"/>
      <c r="Z496" s="11"/>
      <c r="AA496" s="11"/>
      <c r="AB496" s="13"/>
      <c r="AC496" s="11"/>
      <c r="AD496" s="12"/>
      <c r="AE496" s="12"/>
      <c r="AF496" s="11"/>
      <c r="AG496" s="13"/>
      <c r="AH496" s="11"/>
      <c r="AI496" s="11"/>
      <c r="AJ496" s="13"/>
      <c r="AK496" s="11"/>
      <c r="AL496" s="12"/>
      <c r="AM496" s="12"/>
      <c r="AN496" s="11"/>
      <c r="AO496" s="13"/>
      <c r="AP496" s="11"/>
      <c r="AQ496" s="11"/>
      <c r="AR496" s="13"/>
      <c r="AS496" s="11"/>
      <c r="AT496" s="12"/>
      <c r="AU496" s="12"/>
      <c r="AV496" s="11"/>
      <c r="AW496" s="13"/>
      <c r="AX496" s="11"/>
      <c r="AY496" s="11"/>
      <c r="AZ496" s="13"/>
      <c r="BA496" s="11"/>
      <c r="BB496" s="12"/>
      <c r="BC496" s="12"/>
      <c r="BD496" s="11"/>
      <c r="BE496" s="13"/>
      <c r="BF496" s="11"/>
      <c r="BG496" s="11"/>
      <c r="BH496" s="13"/>
      <c r="BI496" s="11"/>
      <c r="BJ496" s="12"/>
      <c r="BK496" s="12"/>
      <c r="BL496" s="11"/>
      <c r="BM496" s="13"/>
      <c r="BN496" s="11"/>
      <c r="BO496" s="11"/>
      <c r="BP496" s="13"/>
      <c r="BQ496" s="11"/>
      <c r="BR496" s="12"/>
      <c r="BS496" s="12"/>
      <c r="BT496" s="11"/>
      <c r="BU496" s="13"/>
      <c r="BV496" s="11"/>
      <c r="BW496" s="11"/>
      <c r="BX496" s="13"/>
      <c r="BY496" s="11"/>
      <c r="BZ496" s="12"/>
      <c r="CA496" s="12"/>
      <c r="CB496" s="11"/>
      <c r="CC496" s="13"/>
      <c r="CD496" s="11"/>
      <c r="CE496" s="11"/>
      <c r="CF496" s="13"/>
      <c r="CG496" s="11"/>
      <c r="CH496" s="12"/>
      <c r="CI496" s="12"/>
      <c r="CJ496" s="11"/>
      <c r="CK496" s="13"/>
      <c r="CL496" s="11"/>
      <c r="CM496" s="11"/>
      <c r="CN496" s="13"/>
      <c r="CO496" s="11"/>
      <c r="CP496" s="12"/>
      <c r="CQ496" s="12"/>
      <c r="CR496" s="11"/>
      <c r="CS496" s="13"/>
      <c r="CT496" s="11"/>
      <c r="CU496" s="11"/>
      <c r="CV496" s="13"/>
      <c r="CW496" s="11"/>
      <c r="CX496" s="12"/>
      <c r="CY496" s="12"/>
      <c r="CZ496" s="11"/>
      <c r="DA496" s="13"/>
      <c r="DB496" s="11"/>
      <c r="DC496" s="11"/>
      <c r="DD496" s="13"/>
      <c r="DE496" s="11"/>
      <c r="DF496" s="12"/>
      <c r="DG496" s="12"/>
      <c r="DH496" s="11"/>
      <c r="DI496" s="13"/>
      <c r="DJ496" s="11"/>
      <c r="DK496" s="11"/>
      <c r="DL496" s="13"/>
      <c r="DM496" s="11"/>
      <c r="DN496" s="12"/>
      <c r="DO496" s="12"/>
      <c r="DP496" s="11"/>
      <c r="DQ496" s="13"/>
      <c r="DR496" s="11"/>
      <c r="DS496" s="11"/>
      <c r="DT496" s="13"/>
      <c r="DU496" s="11"/>
      <c r="DV496" s="12"/>
      <c r="DW496" s="12"/>
      <c r="DX496" s="11">
        <v>2</v>
      </c>
      <c r="DY496" s="13">
        <v>71.4</v>
      </c>
      <c r="DZ496" s="11"/>
      <c r="EA496" s="11"/>
      <c r="EB496" s="13"/>
      <c r="EC496" s="11"/>
      <c r="ED496" s="12"/>
      <c r="EE496" s="12"/>
      <c r="EF496" s="11"/>
      <c r="EG496" s="13"/>
      <c r="EH496" s="11"/>
      <c r="EI496" s="11"/>
      <c r="EJ496" s="13"/>
      <c r="EK496" s="11"/>
      <c r="EL496" s="12"/>
      <c r="EM496" s="12"/>
      <c r="EN496" s="11"/>
      <c r="EO496" s="13"/>
      <c r="EP496" s="11"/>
      <c r="EQ496" s="11"/>
      <c r="ER496" s="13"/>
      <c r="ES496" s="11"/>
      <c r="ET496" s="12"/>
      <c r="EU496" s="12"/>
      <c r="EV496" s="11"/>
      <c r="EW496" s="13"/>
      <c r="EX496" s="11"/>
      <c r="EY496" s="11"/>
      <c r="EZ496" s="13"/>
      <c r="FA496" s="11"/>
      <c r="FB496" s="12"/>
      <c r="FC496" s="12"/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/>
      <c r="FO496" s="11"/>
      <c r="FP496" s="13"/>
      <c r="FQ496" s="11"/>
      <c r="FR496" s="12"/>
      <c r="FS496" s="12"/>
      <c r="FT496" s="11"/>
      <c r="FU496" s="13"/>
      <c r="FV496" s="11"/>
      <c r="FW496" s="11"/>
      <c r="FX496" s="13"/>
      <c r="FY496" s="11"/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/>
      <c r="GK496" s="13"/>
      <c r="GL496" s="11"/>
      <c r="GM496" s="11"/>
      <c r="GN496" s="13"/>
      <c r="GO496" s="11"/>
      <c r="GP496" s="12"/>
      <c r="GQ496" s="12"/>
      <c r="GR496" s="11"/>
      <c r="GS496" s="13"/>
      <c r="GT496" s="11"/>
      <c r="GU496" s="11"/>
      <c r="GV496" s="13"/>
      <c r="GW496" s="11"/>
      <c r="GX496" s="12"/>
      <c r="GY496" s="12"/>
      <c r="GZ496" s="11"/>
      <c r="HA496" s="13"/>
      <c r="HB496" s="11"/>
      <c r="HC496" s="11"/>
      <c r="HD496" s="13"/>
      <c r="HE496" s="11"/>
      <c r="HF496" s="12"/>
      <c r="HG496" s="12"/>
      <c r="HH496" s="11"/>
      <c r="HI496" s="13"/>
      <c r="HJ496" s="11"/>
      <c r="HK496" s="11"/>
      <c r="HL496" s="13"/>
      <c r="HM496" s="11"/>
      <c r="HN496" s="12"/>
      <c r="HO496" s="12"/>
      <c r="HP496" s="11"/>
      <c r="HQ496" s="13"/>
      <c r="HR496" s="11"/>
      <c r="HS496" s="11"/>
      <c r="HT496" s="13"/>
      <c r="HU496" s="11"/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/>
      <c r="II496" s="11"/>
      <c r="IJ496" s="13"/>
      <c r="IK496" s="11"/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/>
      <c r="JE496" s="13"/>
      <c r="JF496" s="11"/>
      <c r="JG496" s="11"/>
      <c r="JH496" s="13"/>
      <c r="JI496" s="11"/>
      <c r="JJ496" s="12"/>
      <c r="JK496" s="12"/>
      <c r="JL496" s="11"/>
      <c r="JM496" s="13"/>
      <c r="JN496" s="11"/>
      <c r="JO496" s="11"/>
      <c r="JP496" s="13"/>
      <c r="JQ496" s="11"/>
      <c r="JR496" s="12"/>
      <c r="JS496" s="12"/>
      <c r="JT496" s="11"/>
      <c r="JU496" s="13"/>
      <c r="JV496" s="11"/>
      <c r="JW496" s="11"/>
      <c r="JX496" s="13"/>
      <c r="JY496" s="11"/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/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  <c r="LH496" s="11"/>
      <c r="LI496" s="13"/>
      <c r="LJ496" s="11"/>
      <c r="LK496" s="11"/>
      <c r="LL496" s="13"/>
      <c r="LM496" s="11"/>
      <c r="LN496" s="12"/>
      <c r="LO496" s="12"/>
      <c r="LP496" s="11"/>
      <c r="LQ496" s="13"/>
      <c r="LR496" s="11"/>
      <c r="LS496" s="11"/>
      <c r="LT496" s="13"/>
      <c r="LU496" s="11"/>
      <c r="LV496" s="12"/>
      <c r="LW496" s="12"/>
    </row>
    <row r="497">
      <c r="A497" s="10" t="s">
        <v>270</v>
      </c>
      <c r="B497" s="10" t="s">
        <v>113</v>
      </c>
      <c r="C497" s="10" t="s">
        <v>270</v>
      </c>
      <c r="D497" s="11">
        <v>6666</v>
      </c>
      <c r="E497" s="11">
        <f>=ROUNDDOWN(49.4877505567929,0)</f>
      </c>
      <c r="F497" s="11"/>
      <c r="G497" s="12"/>
      <c r="H497" s="11"/>
      <c r="I497" s="11">
        <f>=ROUNDDOWN({0},0)</f>
      </c>
      <c r="J497" s="11"/>
      <c r="K497" s="12"/>
      <c r="L497" s="11">
        <v>1010</v>
      </c>
      <c r="M497" s="13">
        <v>79295.69</v>
      </c>
      <c r="N497" s="11">
        <v>55</v>
      </c>
      <c r="O497" s="14">
        <v>1441.74</v>
      </c>
      <c r="P497" s="11"/>
      <c r="Q497" s="13"/>
      <c r="R497" s="11"/>
      <c r="S497" s="14"/>
      <c r="T497" s="12"/>
      <c r="U497" s="12"/>
      <c r="V497" s="12"/>
      <c r="W497" s="12"/>
      <c r="X497" s="11">
        <v>23</v>
      </c>
      <c r="Y497" s="13">
        <v>1951.99</v>
      </c>
      <c r="Z497" s="11">
        <v>54</v>
      </c>
      <c r="AA497" s="11"/>
      <c r="AB497" s="13"/>
      <c r="AC497" s="11"/>
      <c r="AD497" s="12"/>
      <c r="AE497" s="12"/>
      <c r="AF497" s="11">
        <v>587</v>
      </c>
      <c r="AG497" s="13">
        <v>44066.21</v>
      </c>
      <c r="AH497" s="11">
        <v>55</v>
      </c>
      <c r="AI497" s="11"/>
      <c r="AJ497" s="13"/>
      <c r="AK497" s="11"/>
      <c r="AL497" s="12"/>
      <c r="AM497" s="12"/>
      <c r="AN497" s="11">
        <v>9</v>
      </c>
      <c r="AO497" s="13">
        <v>724.29</v>
      </c>
      <c r="AP497" s="11">
        <v>55</v>
      </c>
      <c r="AQ497" s="11"/>
      <c r="AR497" s="13"/>
      <c r="AS497" s="11"/>
      <c r="AT497" s="12"/>
      <c r="AU497" s="12"/>
      <c r="AV497" s="11"/>
      <c r="AW497" s="13"/>
      <c r="AX497" s="11"/>
      <c r="AY497" s="11"/>
      <c r="AZ497" s="13"/>
      <c r="BA497" s="11"/>
      <c r="BB497" s="12"/>
      <c r="BC497" s="12"/>
      <c r="BD497" s="11"/>
      <c r="BE497" s="13"/>
      <c r="BF497" s="11"/>
      <c r="BG497" s="11"/>
      <c r="BH497" s="13"/>
      <c r="BI497" s="11"/>
      <c r="BJ497" s="12"/>
      <c r="BK497" s="12"/>
      <c r="BL497" s="11">
        <v>54</v>
      </c>
      <c r="BM497" s="13">
        <v>3547.95</v>
      </c>
      <c r="BN497" s="11">
        <v>55</v>
      </c>
      <c r="BO497" s="11"/>
      <c r="BP497" s="13"/>
      <c r="BQ497" s="11"/>
      <c r="BR497" s="12"/>
      <c r="BS497" s="12"/>
      <c r="BT497" s="11">
        <v>143</v>
      </c>
      <c r="BU497" s="13">
        <v>12708.97</v>
      </c>
      <c r="BV497" s="11">
        <v>55</v>
      </c>
      <c r="BW497" s="11"/>
      <c r="BX497" s="13"/>
      <c r="BY497" s="11"/>
      <c r="BZ497" s="12"/>
      <c r="CA497" s="12"/>
      <c r="CB497" s="11">
        <v>53</v>
      </c>
      <c r="CC497" s="13">
        <v>3420.93</v>
      </c>
      <c r="CD497" s="11">
        <v>41</v>
      </c>
      <c r="CE497" s="11"/>
      <c r="CF497" s="13"/>
      <c r="CG497" s="11"/>
      <c r="CH497" s="12"/>
      <c r="CI497" s="12"/>
      <c r="CJ497" s="11">
        <v>19</v>
      </c>
      <c r="CK497" s="13">
        <v>3809.81</v>
      </c>
      <c r="CL497" s="11">
        <v>51</v>
      </c>
      <c r="CM497" s="11"/>
      <c r="CN497" s="13"/>
      <c r="CO497" s="11"/>
      <c r="CP497" s="12"/>
      <c r="CQ497" s="12"/>
      <c r="CR497" s="11"/>
      <c r="CS497" s="13"/>
      <c r="CT497" s="11"/>
      <c r="CU497" s="11"/>
      <c r="CV497" s="13"/>
      <c r="CW497" s="11"/>
      <c r="CX497" s="12"/>
      <c r="CY497" s="12"/>
      <c r="CZ497" s="11">
        <v>67</v>
      </c>
      <c r="DA497" s="13">
        <v>6077.52</v>
      </c>
      <c r="DB497" s="11">
        <v>14</v>
      </c>
      <c r="DC497" s="11"/>
      <c r="DD497" s="13"/>
      <c r="DE497" s="11"/>
      <c r="DF497" s="12"/>
      <c r="DG497" s="12"/>
      <c r="DH497" s="11"/>
      <c r="DI497" s="13"/>
      <c r="DJ497" s="11"/>
      <c r="DK497" s="11"/>
      <c r="DL497" s="13"/>
      <c r="DM497" s="11"/>
      <c r="DN497" s="12"/>
      <c r="DO497" s="12"/>
      <c r="DP497" s="11">
        <v>9</v>
      </c>
      <c r="DQ497" s="13">
        <v>659.67</v>
      </c>
      <c r="DR497" s="11">
        <v>39</v>
      </c>
      <c r="DS497" s="11"/>
      <c r="DT497" s="13"/>
      <c r="DU497" s="11"/>
      <c r="DV497" s="12"/>
      <c r="DW497" s="12"/>
      <c r="DX497" s="11">
        <v>6</v>
      </c>
      <c r="DY497" s="13">
        <v>347.11</v>
      </c>
      <c r="DZ497" s="11">
        <v>55</v>
      </c>
      <c r="EA497" s="11"/>
      <c r="EB497" s="13"/>
      <c r="EC497" s="11"/>
      <c r="ED497" s="12"/>
      <c r="EE497" s="12"/>
      <c r="EF497" s="11"/>
      <c r="EG497" s="13"/>
      <c r="EH497" s="11"/>
      <c r="EI497" s="11"/>
      <c r="EJ497" s="13"/>
      <c r="EK497" s="11"/>
      <c r="EL497" s="12"/>
      <c r="EM497" s="12"/>
      <c r="EN497" s="11">
        <v>2</v>
      </c>
      <c r="EO497" s="13">
        <v>279.98</v>
      </c>
      <c r="EP497" s="11">
        <v>55</v>
      </c>
      <c r="EQ497" s="11"/>
      <c r="ER497" s="13"/>
      <c r="ES497" s="11"/>
      <c r="ET497" s="12"/>
      <c r="EU497" s="12"/>
      <c r="EV497" s="11"/>
      <c r="EW497" s="13"/>
      <c r="EX497" s="11"/>
      <c r="EY497" s="11"/>
      <c r="EZ497" s="13"/>
      <c r="FA497" s="11"/>
      <c r="FB497" s="12"/>
      <c r="FC497" s="12"/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/>
      <c r="FO497" s="11"/>
      <c r="FP497" s="13"/>
      <c r="FQ497" s="11"/>
      <c r="FR497" s="12"/>
      <c r="FS497" s="12"/>
      <c r="FT497" s="11"/>
      <c r="FU497" s="13"/>
      <c r="FV497" s="11"/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/>
      <c r="GH497" s="12"/>
      <c r="GI497" s="12"/>
      <c r="GJ497" s="11"/>
      <c r="GK497" s="13"/>
      <c r="GL497" s="11"/>
      <c r="GM497" s="11"/>
      <c r="GN497" s="13"/>
      <c r="GO497" s="11"/>
      <c r="GP497" s="12"/>
      <c r="GQ497" s="12"/>
      <c r="GR497" s="11">
        <v>1</v>
      </c>
      <c r="GS497" s="13">
        <v>81.08</v>
      </c>
      <c r="GT497" s="11">
        <v>55</v>
      </c>
      <c r="GU497" s="11"/>
      <c r="GV497" s="13"/>
      <c r="GW497" s="11"/>
      <c r="GX497" s="12"/>
      <c r="GY497" s="12"/>
      <c r="GZ497" s="11"/>
      <c r="HA497" s="13"/>
      <c r="HB497" s="11"/>
      <c r="HC497" s="11"/>
      <c r="HD497" s="13"/>
      <c r="HE497" s="11"/>
      <c r="HF497" s="12"/>
      <c r="HG497" s="12"/>
      <c r="HH497" s="11">
        <v>37</v>
      </c>
      <c r="HI497" s="13">
        <v>1620.18</v>
      </c>
      <c r="HJ497" s="11"/>
      <c r="HK497" s="11"/>
      <c r="HL497" s="13"/>
      <c r="HM497" s="11"/>
      <c r="HN497" s="12"/>
      <c r="HO497" s="12"/>
      <c r="HP497" s="11"/>
      <c r="HQ497" s="13"/>
      <c r="HR497" s="11"/>
      <c r="HS497" s="11"/>
      <c r="HT497" s="13"/>
      <c r="HU497" s="11"/>
      <c r="HV497" s="12"/>
      <c r="HW497" s="12"/>
      <c r="HX497" s="11"/>
      <c r="HY497" s="13"/>
      <c r="HZ497" s="11"/>
      <c r="IA497" s="11"/>
      <c r="IB497" s="13"/>
      <c r="IC497" s="11"/>
      <c r="ID497" s="12"/>
      <c r="IE497" s="12"/>
      <c r="IF497" s="11"/>
      <c r="IG497" s="13"/>
      <c r="IH497" s="11"/>
      <c r="II497" s="11"/>
      <c r="IJ497" s="13"/>
      <c r="IK497" s="11"/>
      <c r="IL497" s="12"/>
      <c r="IM497" s="12"/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/>
      <c r="JO497" s="11"/>
      <c r="JP497" s="13"/>
      <c r="JQ497" s="11"/>
      <c r="JR497" s="12"/>
      <c r="JS497" s="12"/>
      <c r="JT497" s="11"/>
      <c r="JU497" s="13"/>
      <c r="JV497" s="11"/>
      <c r="JW497" s="11"/>
      <c r="JX497" s="13"/>
      <c r="JY497" s="11"/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/>
      <c r="KM497" s="11"/>
      <c r="KN497" s="13"/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  <c r="LH497" s="11"/>
      <c r="LI497" s="13"/>
      <c r="LJ497" s="11"/>
      <c r="LK497" s="11"/>
      <c r="LL497" s="13"/>
      <c r="LM497" s="11"/>
      <c r="LN497" s="12"/>
      <c r="LO497" s="12"/>
      <c r="LP497" s="11"/>
      <c r="LQ497" s="13"/>
      <c r="LR497" s="11"/>
      <c r="LS497" s="11"/>
      <c r="LT497" s="13"/>
      <c r="LU497" s="11"/>
      <c r="LV497" s="12"/>
      <c r="LW497" s="12"/>
    </row>
    <row r="498">
      <c r="A498" s="10" t="s">
        <v>270</v>
      </c>
      <c r="B498" s="10" t="s">
        <v>116</v>
      </c>
      <c r="C498" s="10" t="s">
        <v>77</v>
      </c>
      <c r="D498" s="11">
        <v>6666</v>
      </c>
      <c r="E498" s="11">
        <f>=ROUNDDOWN({0},0)</f>
      </c>
      <c r="F498" s="11"/>
      <c r="G498" s="12"/>
      <c r="H498" s="11"/>
      <c r="I498" s="11">
        <f>=ROUNDDOWN({0},0)</f>
      </c>
      <c r="J498" s="11"/>
      <c r="K498" s="12"/>
      <c r="L498" s="11">
        <v>1010</v>
      </c>
      <c r="M498" s="13">
        <v>79295.69</v>
      </c>
      <c r="N498" s="11">
        <v>55</v>
      </c>
      <c r="O498" s="14">
        <v>1441.74</v>
      </c>
      <c r="P498" s="11"/>
      <c r="Q498" s="13"/>
      <c r="R498" s="11"/>
      <c r="S498" s="14"/>
      <c r="T498" s="12"/>
      <c r="U498" s="12"/>
      <c r="V498" s="12"/>
      <c r="W498" s="12"/>
      <c r="X498" s="11">
        <v>23</v>
      </c>
      <c r="Y498" s="13">
        <v>1951.99</v>
      </c>
      <c r="Z498" s="11">
        <v>54</v>
      </c>
      <c r="AA498" s="11"/>
      <c r="AB498" s="13"/>
      <c r="AC498" s="11"/>
      <c r="AD498" s="12"/>
      <c r="AE498" s="12"/>
      <c r="AF498" s="11">
        <v>587</v>
      </c>
      <c r="AG498" s="13">
        <v>44066.21</v>
      </c>
      <c r="AH498" s="11">
        <v>55</v>
      </c>
      <c r="AI498" s="11"/>
      <c r="AJ498" s="13"/>
      <c r="AK498" s="11"/>
      <c r="AL498" s="12"/>
      <c r="AM498" s="12"/>
      <c r="AN498" s="11">
        <v>9</v>
      </c>
      <c r="AO498" s="13">
        <v>724.29</v>
      </c>
      <c r="AP498" s="11">
        <v>55</v>
      </c>
      <c r="AQ498" s="11"/>
      <c r="AR498" s="13"/>
      <c r="AS498" s="11"/>
      <c r="AT498" s="12"/>
      <c r="AU498" s="12"/>
      <c r="AV498" s="11"/>
      <c r="AW498" s="13"/>
      <c r="AX498" s="11"/>
      <c r="AY498" s="11"/>
      <c r="AZ498" s="13"/>
      <c r="BA498" s="11"/>
      <c r="BB498" s="12"/>
      <c r="BC498" s="12"/>
      <c r="BD498" s="11"/>
      <c r="BE498" s="13"/>
      <c r="BF498" s="11"/>
      <c r="BG498" s="11"/>
      <c r="BH498" s="13"/>
      <c r="BI498" s="11"/>
      <c r="BJ498" s="12"/>
      <c r="BK498" s="12"/>
      <c r="BL498" s="11">
        <v>54</v>
      </c>
      <c r="BM498" s="13">
        <v>3547.95</v>
      </c>
      <c r="BN498" s="11">
        <v>55</v>
      </c>
      <c r="BO498" s="11"/>
      <c r="BP498" s="13"/>
      <c r="BQ498" s="11"/>
      <c r="BR498" s="12"/>
      <c r="BS498" s="12"/>
      <c r="BT498" s="11">
        <v>143</v>
      </c>
      <c r="BU498" s="13">
        <v>12708.97</v>
      </c>
      <c r="BV498" s="11">
        <v>55</v>
      </c>
      <c r="BW498" s="11"/>
      <c r="BX498" s="13"/>
      <c r="BY498" s="11"/>
      <c r="BZ498" s="12"/>
      <c r="CA498" s="12"/>
      <c r="CB498" s="11">
        <v>53</v>
      </c>
      <c r="CC498" s="13">
        <v>3420.93</v>
      </c>
      <c r="CD498" s="11">
        <v>41</v>
      </c>
      <c r="CE498" s="11"/>
      <c r="CF498" s="13"/>
      <c r="CG498" s="11"/>
      <c r="CH498" s="12"/>
      <c r="CI498" s="12"/>
      <c r="CJ498" s="11">
        <v>19</v>
      </c>
      <c r="CK498" s="13">
        <v>3809.81</v>
      </c>
      <c r="CL498" s="11">
        <v>51</v>
      </c>
      <c r="CM498" s="11"/>
      <c r="CN498" s="13"/>
      <c r="CO498" s="11"/>
      <c r="CP498" s="12"/>
      <c r="CQ498" s="12"/>
      <c r="CR498" s="11"/>
      <c r="CS498" s="13"/>
      <c r="CT498" s="11"/>
      <c r="CU498" s="11"/>
      <c r="CV498" s="13"/>
      <c r="CW498" s="11"/>
      <c r="CX498" s="12"/>
      <c r="CY498" s="12"/>
      <c r="CZ498" s="11">
        <v>67</v>
      </c>
      <c r="DA498" s="13">
        <v>6077.52</v>
      </c>
      <c r="DB498" s="11">
        <v>14</v>
      </c>
      <c r="DC498" s="11"/>
      <c r="DD498" s="13"/>
      <c r="DE498" s="11"/>
      <c r="DF498" s="12"/>
      <c r="DG498" s="12"/>
      <c r="DH498" s="11"/>
      <c r="DI498" s="13"/>
      <c r="DJ498" s="11"/>
      <c r="DK498" s="11"/>
      <c r="DL498" s="13"/>
      <c r="DM498" s="11"/>
      <c r="DN498" s="12"/>
      <c r="DO498" s="12"/>
      <c r="DP498" s="11">
        <v>9</v>
      </c>
      <c r="DQ498" s="13">
        <v>659.67</v>
      </c>
      <c r="DR498" s="11">
        <v>39</v>
      </c>
      <c r="DS498" s="11"/>
      <c r="DT498" s="13"/>
      <c r="DU498" s="11"/>
      <c r="DV498" s="12"/>
      <c r="DW498" s="12"/>
      <c r="DX498" s="11">
        <v>6</v>
      </c>
      <c r="DY498" s="13">
        <v>347.11</v>
      </c>
      <c r="DZ498" s="11">
        <v>55</v>
      </c>
      <c r="EA498" s="11"/>
      <c r="EB498" s="13"/>
      <c r="EC498" s="11"/>
      <c r="ED498" s="12"/>
      <c r="EE498" s="12"/>
      <c r="EF498" s="11"/>
      <c r="EG498" s="13"/>
      <c r="EH498" s="11"/>
      <c r="EI498" s="11"/>
      <c r="EJ498" s="13"/>
      <c r="EK498" s="11"/>
      <c r="EL498" s="12"/>
      <c r="EM498" s="12"/>
      <c r="EN498" s="11">
        <v>2</v>
      </c>
      <c r="EO498" s="13">
        <v>279.98</v>
      </c>
      <c r="EP498" s="11">
        <v>55</v>
      </c>
      <c r="EQ498" s="11"/>
      <c r="ER498" s="13"/>
      <c r="ES498" s="11"/>
      <c r="ET498" s="12"/>
      <c r="EU498" s="12"/>
      <c r="EV498" s="11"/>
      <c r="EW498" s="13"/>
      <c r="EX498" s="11"/>
      <c r="EY498" s="11"/>
      <c r="EZ498" s="13"/>
      <c r="FA498" s="11"/>
      <c r="FB498" s="12"/>
      <c r="FC498" s="12"/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/>
      <c r="FO498" s="11"/>
      <c r="FP498" s="13"/>
      <c r="FQ498" s="11"/>
      <c r="FR498" s="12"/>
      <c r="FS498" s="12"/>
      <c r="FT498" s="11"/>
      <c r="FU498" s="13"/>
      <c r="FV498" s="11"/>
      <c r="FW498" s="11"/>
      <c r="FX498" s="13"/>
      <c r="FY498" s="11"/>
      <c r="FZ498" s="12"/>
      <c r="GA498" s="12"/>
      <c r="GB498" s="11"/>
      <c r="GC498" s="13"/>
      <c r="GD498" s="11"/>
      <c r="GE498" s="11"/>
      <c r="GF498" s="13"/>
      <c r="GG498" s="11"/>
      <c r="GH498" s="12"/>
      <c r="GI498" s="12"/>
      <c r="GJ498" s="11"/>
      <c r="GK498" s="13"/>
      <c r="GL498" s="11"/>
      <c r="GM498" s="11"/>
      <c r="GN498" s="13"/>
      <c r="GO498" s="11"/>
      <c r="GP498" s="12"/>
      <c r="GQ498" s="12"/>
      <c r="GR498" s="11">
        <v>1</v>
      </c>
      <c r="GS498" s="13">
        <v>81.08</v>
      </c>
      <c r="GT498" s="11">
        <v>55</v>
      </c>
      <c r="GU498" s="11"/>
      <c r="GV498" s="13"/>
      <c r="GW498" s="11"/>
      <c r="GX498" s="12"/>
      <c r="GY498" s="12"/>
      <c r="GZ498" s="11"/>
      <c r="HA498" s="13"/>
      <c r="HB498" s="11"/>
      <c r="HC498" s="11"/>
      <c r="HD498" s="13"/>
      <c r="HE498" s="11"/>
      <c r="HF498" s="12"/>
      <c r="HG498" s="12"/>
      <c r="HH498" s="11">
        <v>37</v>
      </c>
      <c r="HI498" s="13">
        <v>1620.18</v>
      </c>
      <c r="HJ498" s="11"/>
      <c r="HK498" s="11"/>
      <c r="HL498" s="13"/>
      <c r="HM498" s="11"/>
      <c r="HN498" s="12"/>
      <c r="HO498" s="12"/>
      <c r="HP498" s="11"/>
      <c r="HQ498" s="13"/>
      <c r="HR498" s="11"/>
      <c r="HS498" s="11"/>
      <c r="HT498" s="13"/>
      <c r="HU498" s="11"/>
      <c r="HV498" s="12"/>
      <c r="HW498" s="12"/>
      <c r="HX498" s="11"/>
      <c r="HY498" s="13"/>
      <c r="HZ498" s="11"/>
      <c r="IA498" s="11"/>
      <c r="IB498" s="13"/>
      <c r="IC498" s="11"/>
      <c r="ID498" s="12"/>
      <c r="IE498" s="12"/>
      <c r="IF498" s="11"/>
      <c r="IG498" s="13"/>
      <c r="IH498" s="11"/>
      <c r="II498" s="11"/>
      <c r="IJ498" s="13"/>
      <c r="IK498" s="11"/>
      <c r="IL498" s="12"/>
      <c r="IM498" s="12"/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/>
      <c r="JO498" s="11"/>
      <c r="JP498" s="13"/>
      <c r="JQ498" s="11"/>
      <c r="JR498" s="12"/>
      <c r="JS498" s="12"/>
      <c r="JT498" s="11"/>
      <c r="JU498" s="13"/>
      <c r="JV498" s="11"/>
      <c r="JW498" s="11"/>
      <c r="JX498" s="13"/>
      <c r="JY498" s="11"/>
      <c r="JZ498" s="12"/>
      <c r="KA498" s="12"/>
      <c r="KB498" s="11"/>
      <c r="KC498" s="13"/>
      <c r="KD498" s="11"/>
      <c r="KE498" s="11"/>
      <c r="KF498" s="13"/>
      <c r="KG498" s="11"/>
      <c r="KH498" s="12"/>
      <c r="KI498" s="12"/>
      <c r="KJ498" s="11"/>
      <c r="KK498" s="13"/>
      <c r="KL498" s="11"/>
      <c r="KM498" s="11"/>
      <c r="KN498" s="13"/>
      <c r="KO498" s="11"/>
      <c r="KP498" s="12"/>
      <c r="KQ498" s="12"/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  <c r="LH498" s="11"/>
      <c r="LI498" s="13"/>
      <c r="LJ498" s="11"/>
      <c r="LK498" s="11"/>
      <c r="LL498" s="13"/>
      <c r="LM498" s="11"/>
      <c r="LN498" s="12"/>
      <c r="LO498" s="12"/>
      <c r="LP498" s="11"/>
      <c r="LQ498" s="13"/>
      <c r="LR498" s="11"/>
      <c r="LS498" s="11"/>
      <c r="LT498" s="13"/>
      <c r="LU498" s="11"/>
      <c r="LV498" s="12"/>
      <c r="LW498" s="12"/>
    </row>
    <row r="499">
      <c r="A499" s="10" t="s">
        <v>277</v>
      </c>
      <c r="B499" s="10" t="s">
        <v>77</v>
      </c>
      <c r="C499" s="10" t="s">
        <v>77</v>
      </c>
      <c r="D499" s="11">
        <v>8161</v>
      </c>
      <c r="E499" s="11">
        <f>=ROUNDDOWN({0},0)</f>
      </c>
      <c r="F499" s="11"/>
      <c r="G499" s="12"/>
      <c r="H499" s="11"/>
      <c r="I499" s="11">
        <f>=ROUNDDOWN({0},0)</f>
      </c>
      <c r="J499" s="11"/>
      <c r="K499" s="12"/>
      <c r="L499" s="11">
        <v>1037</v>
      </c>
      <c r="M499" s="13">
        <v>80782.4</v>
      </c>
      <c r="N499" s="11">
        <v>55</v>
      </c>
      <c r="O499" s="14">
        <v>1468.77</v>
      </c>
      <c r="P499" s="11"/>
      <c r="Q499" s="13"/>
      <c r="R499" s="11"/>
      <c r="S499" s="14"/>
      <c r="T499" s="12"/>
      <c r="U499" s="12"/>
      <c r="V499" s="12"/>
      <c r="W499" s="12"/>
      <c r="X499" s="11">
        <v>23</v>
      </c>
      <c r="Y499" s="13">
        <v>1951.99</v>
      </c>
      <c r="Z499" s="11">
        <v>54</v>
      </c>
      <c r="AA499" s="11"/>
      <c r="AB499" s="13"/>
      <c r="AC499" s="11"/>
      <c r="AD499" s="12"/>
      <c r="AE499" s="12"/>
      <c r="AF499" s="11">
        <v>587</v>
      </c>
      <c r="AG499" s="13">
        <v>44066.21</v>
      </c>
      <c r="AH499" s="11">
        <v>55</v>
      </c>
      <c r="AI499" s="11"/>
      <c r="AJ499" s="13"/>
      <c r="AK499" s="11"/>
      <c r="AL499" s="12"/>
      <c r="AM499" s="12"/>
      <c r="AN499" s="11">
        <v>9</v>
      </c>
      <c r="AO499" s="13">
        <v>724.29</v>
      </c>
      <c r="AP499" s="11">
        <v>55</v>
      </c>
      <c r="AQ499" s="11"/>
      <c r="AR499" s="13"/>
      <c r="AS499" s="11"/>
      <c r="AT499" s="12"/>
      <c r="AU499" s="12"/>
      <c r="AV499" s="11"/>
      <c r="AW499" s="13"/>
      <c r="AX499" s="11"/>
      <c r="AY499" s="11"/>
      <c r="AZ499" s="13"/>
      <c r="BA499" s="11"/>
      <c r="BB499" s="12"/>
      <c r="BC499" s="12"/>
      <c r="BD499" s="11"/>
      <c r="BE499" s="13"/>
      <c r="BF499" s="11"/>
      <c r="BG499" s="11"/>
      <c r="BH499" s="13"/>
      <c r="BI499" s="11"/>
      <c r="BJ499" s="12"/>
      <c r="BK499" s="12"/>
      <c r="BL499" s="11">
        <v>54</v>
      </c>
      <c r="BM499" s="13">
        <v>3547.95</v>
      </c>
      <c r="BN499" s="11">
        <v>55</v>
      </c>
      <c r="BO499" s="11"/>
      <c r="BP499" s="13"/>
      <c r="BQ499" s="11"/>
      <c r="BR499" s="12"/>
      <c r="BS499" s="12"/>
      <c r="BT499" s="11">
        <v>143</v>
      </c>
      <c r="BU499" s="13">
        <v>12708.97</v>
      </c>
      <c r="BV499" s="11">
        <v>55</v>
      </c>
      <c r="BW499" s="11"/>
      <c r="BX499" s="13"/>
      <c r="BY499" s="11"/>
      <c r="BZ499" s="12"/>
      <c r="CA499" s="12"/>
      <c r="CB499" s="11">
        <v>53</v>
      </c>
      <c r="CC499" s="13">
        <v>3420.93</v>
      </c>
      <c r="CD499" s="11">
        <v>41</v>
      </c>
      <c r="CE499" s="11"/>
      <c r="CF499" s="13"/>
      <c r="CG499" s="11"/>
      <c r="CH499" s="12"/>
      <c r="CI499" s="12"/>
      <c r="CJ499" s="11">
        <v>19</v>
      </c>
      <c r="CK499" s="13">
        <v>3809.81</v>
      </c>
      <c r="CL499" s="11">
        <v>51</v>
      </c>
      <c r="CM499" s="11"/>
      <c r="CN499" s="13"/>
      <c r="CO499" s="11"/>
      <c r="CP499" s="12"/>
      <c r="CQ499" s="12"/>
      <c r="CR499" s="11"/>
      <c r="CS499" s="13"/>
      <c r="CT499" s="11"/>
      <c r="CU499" s="11"/>
      <c r="CV499" s="13"/>
      <c r="CW499" s="11"/>
      <c r="CX499" s="12"/>
      <c r="CY499" s="12"/>
      <c r="CZ499" s="11">
        <v>67</v>
      </c>
      <c r="DA499" s="13">
        <v>6077.52</v>
      </c>
      <c r="DB499" s="11">
        <v>14</v>
      </c>
      <c r="DC499" s="11"/>
      <c r="DD499" s="13"/>
      <c r="DE499" s="11"/>
      <c r="DF499" s="12"/>
      <c r="DG499" s="12"/>
      <c r="DH499" s="11"/>
      <c r="DI499" s="13"/>
      <c r="DJ499" s="11"/>
      <c r="DK499" s="11"/>
      <c r="DL499" s="13"/>
      <c r="DM499" s="11"/>
      <c r="DN499" s="12"/>
      <c r="DO499" s="12"/>
      <c r="DP499" s="11">
        <v>9</v>
      </c>
      <c r="DQ499" s="13">
        <v>659.67</v>
      </c>
      <c r="DR499" s="11">
        <v>39</v>
      </c>
      <c r="DS499" s="11"/>
      <c r="DT499" s="13"/>
      <c r="DU499" s="11"/>
      <c r="DV499" s="12"/>
      <c r="DW499" s="12"/>
      <c r="DX499" s="11">
        <v>33</v>
      </c>
      <c r="DY499" s="13">
        <v>1833.82</v>
      </c>
      <c r="DZ499" s="11">
        <v>55</v>
      </c>
      <c r="EA499" s="11"/>
      <c r="EB499" s="13"/>
      <c r="EC499" s="11"/>
      <c r="ED499" s="12"/>
      <c r="EE499" s="12"/>
      <c r="EF499" s="11"/>
      <c r="EG499" s="13"/>
      <c r="EH499" s="11"/>
      <c r="EI499" s="11"/>
      <c r="EJ499" s="13"/>
      <c r="EK499" s="11"/>
      <c r="EL499" s="12"/>
      <c r="EM499" s="12"/>
      <c r="EN499" s="11">
        <v>2</v>
      </c>
      <c r="EO499" s="13">
        <v>279.98</v>
      </c>
      <c r="EP499" s="11">
        <v>55</v>
      </c>
      <c r="EQ499" s="11"/>
      <c r="ER499" s="13"/>
      <c r="ES499" s="11"/>
      <c r="ET499" s="12"/>
      <c r="EU499" s="12"/>
      <c r="EV499" s="11"/>
      <c r="EW499" s="13"/>
      <c r="EX499" s="11"/>
      <c r="EY499" s="11"/>
      <c r="EZ499" s="13"/>
      <c r="FA499" s="11"/>
      <c r="FB499" s="12"/>
      <c r="FC499" s="12"/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/>
      <c r="FR499" s="12"/>
      <c r="FS499" s="12"/>
      <c r="FT499" s="11"/>
      <c r="FU499" s="13"/>
      <c r="FV499" s="11"/>
      <c r="FW499" s="11"/>
      <c r="FX499" s="13"/>
      <c r="FY499" s="11"/>
      <c r="FZ499" s="12"/>
      <c r="GA499" s="12"/>
      <c r="GB499" s="11"/>
      <c r="GC499" s="13"/>
      <c r="GD499" s="11"/>
      <c r="GE499" s="11"/>
      <c r="GF499" s="13"/>
      <c r="GG499" s="11"/>
      <c r="GH499" s="12"/>
      <c r="GI499" s="12"/>
      <c r="GJ499" s="11"/>
      <c r="GK499" s="13"/>
      <c r="GL499" s="11"/>
      <c r="GM499" s="11"/>
      <c r="GN499" s="13"/>
      <c r="GO499" s="11"/>
      <c r="GP499" s="12"/>
      <c r="GQ499" s="12"/>
      <c r="GR499" s="11">
        <v>1</v>
      </c>
      <c r="GS499" s="13">
        <v>81.08</v>
      </c>
      <c r="GT499" s="11">
        <v>55</v>
      </c>
      <c r="GU499" s="11"/>
      <c r="GV499" s="13"/>
      <c r="GW499" s="11"/>
      <c r="GX499" s="12"/>
      <c r="GY499" s="12"/>
      <c r="GZ499" s="11"/>
      <c r="HA499" s="13"/>
      <c r="HB499" s="11"/>
      <c r="HC499" s="11"/>
      <c r="HD499" s="13"/>
      <c r="HE499" s="11"/>
      <c r="HF499" s="12"/>
      <c r="HG499" s="12"/>
      <c r="HH499" s="11">
        <v>37</v>
      </c>
      <c r="HI499" s="13">
        <v>1620.18</v>
      </c>
      <c r="HJ499" s="11"/>
      <c r="HK499" s="11"/>
      <c r="HL499" s="13"/>
      <c r="HM499" s="11"/>
      <c r="HN499" s="12"/>
      <c r="HO499" s="12"/>
      <c r="HP499" s="11"/>
      <c r="HQ499" s="13"/>
      <c r="HR499" s="11"/>
      <c r="HS499" s="11"/>
      <c r="HT499" s="13"/>
      <c r="HU499" s="11"/>
      <c r="HV499" s="12"/>
      <c r="HW499" s="12"/>
      <c r="HX499" s="11"/>
      <c r="HY499" s="13"/>
      <c r="HZ499" s="11"/>
      <c r="IA499" s="11"/>
      <c r="IB499" s="13"/>
      <c r="IC499" s="11"/>
      <c r="ID499" s="12"/>
      <c r="IE499" s="12"/>
      <c r="IF499" s="11"/>
      <c r="IG499" s="13"/>
      <c r="IH499" s="11"/>
      <c r="II499" s="11"/>
      <c r="IJ499" s="13"/>
      <c r="IK499" s="11"/>
      <c r="IL499" s="12"/>
      <c r="IM499" s="12"/>
      <c r="IN499" s="11"/>
      <c r="IO499" s="13"/>
      <c r="IP499" s="11"/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/>
      <c r="JO499" s="11"/>
      <c r="JP499" s="13"/>
      <c r="JQ499" s="11"/>
      <c r="JR499" s="12"/>
      <c r="JS499" s="12"/>
      <c r="JT499" s="11"/>
      <c r="JU499" s="13"/>
      <c r="JV499" s="11"/>
      <c r="JW499" s="11"/>
      <c r="JX499" s="13"/>
      <c r="JY499" s="11"/>
      <c r="JZ499" s="12"/>
      <c r="KA499" s="12"/>
      <c r="KB499" s="11"/>
      <c r="KC499" s="13"/>
      <c r="KD499" s="11"/>
      <c r="KE499" s="11"/>
      <c r="KF499" s="13"/>
      <c r="KG499" s="11"/>
      <c r="KH499" s="12"/>
      <c r="KI499" s="12"/>
      <c r="KJ499" s="11"/>
      <c r="KK499" s="13"/>
      <c r="KL499" s="11"/>
      <c r="KM499" s="11"/>
      <c r="KN499" s="13"/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  <c r="LH499" s="11"/>
      <c r="LI499" s="13"/>
      <c r="LJ499" s="11"/>
      <c r="LK499" s="11"/>
      <c r="LL499" s="13"/>
      <c r="LM499" s="11"/>
      <c r="LN499" s="12"/>
      <c r="LO499" s="12"/>
      <c r="LP499" s="11"/>
      <c r="LQ499" s="13"/>
      <c r="LR499" s="11"/>
      <c r="LS499" s="11"/>
      <c r="LT499" s="13"/>
      <c r="LU499" s="11"/>
      <c r="LV499" s="12"/>
      <c r="LW499" s="12"/>
    </row>
    <row r="500">
      <c r="A500" s="10" t="s">
        <v>278</v>
      </c>
      <c r="B500" s="10" t="s">
        <v>82</v>
      </c>
      <c r="C500" s="10" t="s">
        <v>279</v>
      </c>
      <c r="D500" s="11">
        <v>77049</v>
      </c>
      <c r="E500" s="11">
        <f>=ROUNDDOWN(28.4597200162524,0)</f>
      </c>
      <c r="F500" s="11">
        <v>30591</v>
      </c>
      <c r="G500" s="12">
        <v>0.9188</v>
      </c>
      <c r="H500" s="11"/>
      <c r="I500" s="11">
        <f>=ROUNDDOWN({0},0)</f>
      </c>
      <c r="J500" s="11"/>
      <c r="K500" s="12"/>
      <c r="L500" s="11">
        <v>23277</v>
      </c>
      <c r="M500" s="13">
        <v>818143.23</v>
      </c>
      <c r="N500" s="11">
        <v>132</v>
      </c>
      <c r="O500" s="14">
        <v>6198.05</v>
      </c>
      <c r="P500" s="11"/>
      <c r="Q500" s="13"/>
      <c r="R500" s="11"/>
      <c r="S500" s="14"/>
      <c r="T500" s="12"/>
      <c r="U500" s="12"/>
      <c r="V500" s="12"/>
      <c r="W500" s="12"/>
      <c r="X500" s="11">
        <v>1273</v>
      </c>
      <c r="Y500" s="13">
        <v>44887.47</v>
      </c>
      <c r="Z500" s="11">
        <v>98</v>
      </c>
      <c r="AA500" s="11"/>
      <c r="AB500" s="13"/>
      <c r="AC500" s="11"/>
      <c r="AD500" s="12"/>
      <c r="AE500" s="12"/>
      <c r="AF500" s="11">
        <v>2688</v>
      </c>
      <c r="AG500" s="13">
        <v>82725.16</v>
      </c>
      <c r="AH500" s="11">
        <v>132</v>
      </c>
      <c r="AI500" s="11"/>
      <c r="AJ500" s="13"/>
      <c r="AK500" s="11"/>
      <c r="AL500" s="12"/>
      <c r="AM500" s="12"/>
      <c r="AN500" s="11">
        <v>6512</v>
      </c>
      <c r="AO500" s="13">
        <v>218888.43</v>
      </c>
      <c r="AP500" s="11">
        <v>132</v>
      </c>
      <c r="AQ500" s="11"/>
      <c r="AR500" s="13"/>
      <c r="AS500" s="11"/>
      <c r="AT500" s="12"/>
      <c r="AU500" s="12"/>
      <c r="AV500" s="11">
        <v>313</v>
      </c>
      <c r="AW500" s="13">
        <v>11597.47</v>
      </c>
      <c r="AX500" s="11">
        <v>99</v>
      </c>
      <c r="AY500" s="11"/>
      <c r="AZ500" s="13"/>
      <c r="BA500" s="11"/>
      <c r="BB500" s="12"/>
      <c r="BC500" s="12"/>
      <c r="BD500" s="11">
        <v>2732</v>
      </c>
      <c r="BE500" s="13">
        <v>92533.8</v>
      </c>
      <c r="BF500" s="11">
        <v>132</v>
      </c>
      <c r="BG500" s="11"/>
      <c r="BH500" s="13"/>
      <c r="BI500" s="11"/>
      <c r="BJ500" s="12"/>
      <c r="BK500" s="12"/>
      <c r="BL500" s="11">
        <v>3379</v>
      </c>
      <c r="BM500" s="13">
        <v>132875.98</v>
      </c>
      <c r="BN500" s="11">
        <v>132</v>
      </c>
      <c r="BO500" s="11"/>
      <c r="BP500" s="13"/>
      <c r="BQ500" s="11"/>
      <c r="BR500" s="12"/>
      <c r="BS500" s="12"/>
      <c r="BT500" s="11">
        <v>287</v>
      </c>
      <c r="BU500" s="13">
        <v>11084.26</v>
      </c>
      <c r="BV500" s="11">
        <v>132</v>
      </c>
      <c r="BW500" s="11"/>
      <c r="BX500" s="13"/>
      <c r="BY500" s="11"/>
      <c r="BZ500" s="12"/>
      <c r="CA500" s="12"/>
      <c r="CB500" s="11">
        <v>3510</v>
      </c>
      <c r="CC500" s="13">
        <v>123594.81</v>
      </c>
      <c r="CD500" s="11">
        <v>132</v>
      </c>
      <c r="CE500" s="11"/>
      <c r="CF500" s="13"/>
      <c r="CG500" s="11"/>
      <c r="CH500" s="12"/>
      <c r="CI500" s="12"/>
      <c r="CJ500" s="11">
        <v>193</v>
      </c>
      <c r="CK500" s="13">
        <v>17082.65</v>
      </c>
      <c r="CL500" s="11">
        <v>80</v>
      </c>
      <c r="CM500" s="11"/>
      <c r="CN500" s="13"/>
      <c r="CO500" s="11"/>
      <c r="CP500" s="12"/>
      <c r="CQ500" s="12"/>
      <c r="CR500" s="11"/>
      <c r="CS500" s="13"/>
      <c r="CT500" s="11"/>
      <c r="CU500" s="11"/>
      <c r="CV500" s="13"/>
      <c r="CW500" s="11"/>
      <c r="CX500" s="12"/>
      <c r="CY500" s="12"/>
      <c r="CZ500" s="11">
        <v>59</v>
      </c>
      <c r="DA500" s="13">
        <v>2036.89</v>
      </c>
      <c r="DB500" s="11">
        <v>4</v>
      </c>
      <c r="DC500" s="11"/>
      <c r="DD500" s="13"/>
      <c r="DE500" s="11"/>
      <c r="DF500" s="12"/>
      <c r="DG500" s="12"/>
      <c r="DH500" s="11"/>
      <c r="DI500" s="13"/>
      <c r="DJ500" s="11"/>
      <c r="DK500" s="11"/>
      <c r="DL500" s="13"/>
      <c r="DM500" s="11"/>
      <c r="DN500" s="12"/>
      <c r="DO500" s="12"/>
      <c r="DP500" s="11">
        <v>491</v>
      </c>
      <c r="DQ500" s="13">
        <v>17401.21</v>
      </c>
      <c r="DR500" s="11">
        <v>132</v>
      </c>
      <c r="DS500" s="11"/>
      <c r="DT500" s="13"/>
      <c r="DU500" s="11"/>
      <c r="DV500" s="12"/>
      <c r="DW500" s="12"/>
      <c r="DX500" s="11">
        <v>128</v>
      </c>
      <c r="DY500" s="13">
        <v>4184.89</v>
      </c>
      <c r="DZ500" s="11">
        <v>112</v>
      </c>
      <c r="EA500" s="11"/>
      <c r="EB500" s="13"/>
      <c r="EC500" s="11"/>
      <c r="ED500" s="12"/>
      <c r="EE500" s="12"/>
      <c r="EF500" s="11"/>
      <c r="EG500" s="13"/>
      <c r="EH500" s="11"/>
      <c r="EI500" s="11"/>
      <c r="EJ500" s="13"/>
      <c r="EK500" s="11"/>
      <c r="EL500" s="12"/>
      <c r="EM500" s="12"/>
      <c r="EN500" s="11">
        <v>52</v>
      </c>
      <c r="EO500" s="13">
        <v>3742.66</v>
      </c>
      <c r="EP500" s="11">
        <v>132</v>
      </c>
      <c r="EQ500" s="11"/>
      <c r="ER500" s="13"/>
      <c r="ES500" s="11"/>
      <c r="ET500" s="12"/>
      <c r="EU500" s="12"/>
      <c r="EV500" s="11">
        <v>189</v>
      </c>
      <c r="EW500" s="13">
        <v>6033.02</v>
      </c>
      <c r="EX500" s="11">
        <v>65</v>
      </c>
      <c r="EY500" s="11"/>
      <c r="EZ500" s="13"/>
      <c r="FA500" s="11"/>
      <c r="FB500" s="12"/>
      <c r="FC500" s="12"/>
      <c r="FD500" s="11">
        <v>529</v>
      </c>
      <c r="FE500" s="13">
        <v>17441.7</v>
      </c>
      <c r="FF500" s="11">
        <v>97</v>
      </c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/>
      <c r="FR500" s="12"/>
      <c r="FS500" s="12"/>
      <c r="FT500" s="11"/>
      <c r="FU500" s="13"/>
      <c r="FV500" s="11"/>
      <c r="FW500" s="11"/>
      <c r="FX500" s="13"/>
      <c r="FY500" s="11"/>
      <c r="FZ500" s="12"/>
      <c r="GA500" s="12"/>
      <c r="GB500" s="11"/>
      <c r="GC500" s="13"/>
      <c r="GD500" s="11"/>
      <c r="GE500" s="11"/>
      <c r="GF500" s="13"/>
      <c r="GG500" s="11"/>
      <c r="GH500" s="12"/>
      <c r="GI500" s="12"/>
      <c r="GJ500" s="11"/>
      <c r="GK500" s="13"/>
      <c r="GL500" s="11"/>
      <c r="GM500" s="11"/>
      <c r="GN500" s="13"/>
      <c r="GO500" s="11"/>
      <c r="GP500" s="12"/>
      <c r="GQ500" s="12"/>
      <c r="GR500" s="11">
        <v>1</v>
      </c>
      <c r="GS500" s="13">
        <v>37.51</v>
      </c>
      <c r="GT500" s="11">
        <v>97</v>
      </c>
      <c r="GU500" s="11"/>
      <c r="GV500" s="13"/>
      <c r="GW500" s="11"/>
      <c r="GX500" s="12"/>
      <c r="GY500" s="12"/>
      <c r="GZ500" s="11"/>
      <c r="HA500" s="13"/>
      <c r="HB500" s="11"/>
      <c r="HC500" s="11"/>
      <c r="HD500" s="13"/>
      <c r="HE500" s="11"/>
      <c r="HF500" s="12"/>
      <c r="HG500" s="12"/>
      <c r="HH500" s="11"/>
      <c r="HI500" s="13"/>
      <c r="HJ500" s="11"/>
      <c r="HK500" s="11"/>
      <c r="HL500" s="13"/>
      <c r="HM500" s="11"/>
      <c r="HN500" s="12"/>
      <c r="HO500" s="12"/>
      <c r="HP500" s="11">
        <v>785</v>
      </c>
      <c r="HQ500" s="13">
        <v>26660.8</v>
      </c>
      <c r="HR500" s="11">
        <v>97</v>
      </c>
      <c r="HS500" s="11"/>
      <c r="HT500" s="13"/>
      <c r="HU500" s="11"/>
      <c r="HV500" s="12"/>
      <c r="HW500" s="12"/>
      <c r="HX500" s="11">
        <v>145</v>
      </c>
      <c r="HY500" s="13">
        <v>4955.03</v>
      </c>
      <c r="HZ500" s="11">
        <v>73</v>
      </c>
      <c r="IA500" s="11"/>
      <c r="IB500" s="13"/>
      <c r="IC500" s="11"/>
      <c r="ID500" s="12"/>
      <c r="IE500" s="12"/>
      <c r="IF500" s="11"/>
      <c r="IG500" s="13"/>
      <c r="IH500" s="11"/>
      <c r="II500" s="11"/>
      <c r="IJ500" s="13"/>
      <c r="IK500" s="11"/>
      <c r="IL500" s="12"/>
      <c r="IM500" s="12"/>
      <c r="IN500" s="11"/>
      <c r="IO500" s="13"/>
      <c r="IP500" s="11"/>
      <c r="IQ500" s="11"/>
      <c r="IR500" s="13"/>
      <c r="IS500" s="11"/>
      <c r="IT500" s="12"/>
      <c r="IU500" s="12"/>
      <c r="IV500" s="11">
        <v>11</v>
      </c>
      <c r="IW500" s="13">
        <v>379.49</v>
      </c>
      <c r="IX500" s="11">
        <v>47</v>
      </c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/>
      <c r="JO500" s="11"/>
      <c r="JP500" s="13"/>
      <c r="JQ500" s="11"/>
      <c r="JR500" s="12"/>
      <c r="JS500" s="12"/>
      <c r="JT500" s="11"/>
      <c r="JU500" s="13"/>
      <c r="JV500" s="11">
        <v>60</v>
      </c>
      <c r="JW500" s="11"/>
      <c r="JX500" s="13"/>
      <c r="JY500" s="11"/>
      <c r="JZ500" s="12"/>
      <c r="KA500" s="12"/>
      <c r="KB500" s="11"/>
      <c r="KC500" s="13"/>
      <c r="KD500" s="11"/>
      <c r="KE500" s="11"/>
      <c r="KF500" s="13"/>
      <c r="KG500" s="11"/>
      <c r="KH500" s="12"/>
      <c r="KI500" s="12"/>
      <c r="KJ500" s="11"/>
      <c r="KK500" s="13"/>
      <c r="KL500" s="11"/>
      <c r="KM500" s="11"/>
      <c r="KN500" s="13"/>
      <c r="KO500" s="11"/>
      <c r="KP500" s="12"/>
      <c r="KQ500" s="12"/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  <c r="LH500" s="11"/>
      <c r="LI500" s="13"/>
      <c r="LJ500" s="11"/>
      <c r="LK500" s="11"/>
      <c r="LL500" s="13"/>
      <c r="LM500" s="11"/>
      <c r="LN500" s="12"/>
      <c r="LO500" s="12"/>
      <c r="LP500" s="11"/>
      <c r="LQ500" s="13"/>
      <c r="LR500" s="11"/>
      <c r="LS500" s="11"/>
      <c r="LT500" s="13"/>
      <c r="LU500" s="11"/>
      <c r="LV500" s="12"/>
      <c r="LW500" s="12"/>
    </row>
    <row r="501">
      <c r="A501" s="10" t="s">
        <v>278</v>
      </c>
      <c r="B501" s="10" t="s">
        <v>84</v>
      </c>
      <c r="C501" s="10" t="s">
        <v>77</v>
      </c>
      <c r="D501" s="11">
        <v>77049</v>
      </c>
      <c r="E501" s="11">
        <f>=ROUNDDOWN({0},0)</f>
      </c>
      <c r="F501" s="11">
        <v>30591</v>
      </c>
      <c r="G501" s="12"/>
      <c r="H501" s="11"/>
      <c r="I501" s="11">
        <f>=ROUNDDOWN({0},0)</f>
      </c>
      <c r="J501" s="11"/>
      <c r="K501" s="12"/>
      <c r="L501" s="11">
        <v>23277</v>
      </c>
      <c r="M501" s="13">
        <v>818143.23</v>
      </c>
      <c r="N501" s="11">
        <v>132</v>
      </c>
      <c r="O501" s="14">
        <v>6198.05</v>
      </c>
      <c r="P501" s="11"/>
      <c r="Q501" s="13"/>
      <c r="R501" s="11"/>
      <c r="S501" s="14"/>
      <c r="T501" s="12"/>
      <c r="U501" s="12"/>
      <c r="V501" s="12"/>
      <c r="W501" s="12"/>
      <c r="X501" s="11">
        <v>1273</v>
      </c>
      <c r="Y501" s="13">
        <v>44887.47</v>
      </c>
      <c r="Z501" s="11">
        <v>98</v>
      </c>
      <c r="AA501" s="11"/>
      <c r="AB501" s="13"/>
      <c r="AC501" s="11"/>
      <c r="AD501" s="12"/>
      <c r="AE501" s="12"/>
      <c r="AF501" s="11">
        <v>2688</v>
      </c>
      <c r="AG501" s="13">
        <v>82725.16</v>
      </c>
      <c r="AH501" s="11">
        <v>132</v>
      </c>
      <c r="AI501" s="11"/>
      <c r="AJ501" s="13"/>
      <c r="AK501" s="11"/>
      <c r="AL501" s="12"/>
      <c r="AM501" s="12"/>
      <c r="AN501" s="11">
        <v>6512</v>
      </c>
      <c r="AO501" s="13">
        <v>218888.43</v>
      </c>
      <c r="AP501" s="11">
        <v>132</v>
      </c>
      <c r="AQ501" s="11"/>
      <c r="AR501" s="13"/>
      <c r="AS501" s="11"/>
      <c r="AT501" s="12"/>
      <c r="AU501" s="12"/>
      <c r="AV501" s="11">
        <v>313</v>
      </c>
      <c r="AW501" s="13">
        <v>11597.47</v>
      </c>
      <c r="AX501" s="11">
        <v>99</v>
      </c>
      <c r="AY501" s="11"/>
      <c r="AZ501" s="13"/>
      <c r="BA501" s="11"/>
      <c r="BB501" s="12"/>
      <c r="BC501" s="12"/>
      <c r="BD501" s="11">
        <v>2732</v>
      </c>
      <c r="BE501" s="13">
        <v>92533.8</v>
      </c>
      <c r="BF501" s="11">
        <v>132</v>
      </c>
      <c r="BG501" s="11"/>
      <c r="BH501" s="13"/>
      <c r="BI501" s="11"/>
      <c r="BJ501" s="12"/>
      <c r="BK501" s="12"/>
      <c r="BL501" s="11">
        <v>3379</v>
      </c>
      <c r="BM501" s="13">
        <v>132875.98</v>
      </c>
      <c r="BN501" s="11">
        <v>132</v>
      </c>
      <c r="BO501" s="11"/>
      <c r="BP501" s="13"/>
      <c r="BQ501" s="11"/>
      <c r="BR501" s="12"/>
      <c r="BS501" s="12"/>
      <c r="BT501" s="11">
        <v>287</v>
      </c>
      <c r="BU501" s="13">
        <v>11084.26</v>
      </c>
      <c r="BV501" s="11">
        <v>132</v>
      </c>
      <c r="BW501" s="11"/>
      <c r="BX501" s="13"/>
      <c r="BY501" s="11"/>
      <c r="BZ501" s="12"/>
      <c r="CA501" s="12"/>
      <c r="CB501" s="11">
        <v>3510</v>
      </c>
      <c r="CC501" s="13">
        <v>123594.81</v>
      </c>
      <c r="CD501" s="11">
        <v>132</v>
      </c>
      <c r="CE501" s="11"/>
      <c r="CF501" s="13"/>
      <c r="CG501" s="11"/>
      <c r="CH501" s="12"/>
      <c r="CI501" s="12"/>
      <c r="CJ501" s="11">
        <v>193</v>
      </c>
      <c r="CK501" s="13">
        <v>17082.65</v>
      </c>
      <c r="CL501" s="11">
        <v>80</v>
      </c>
      <c r="CM501" s="11"/>
      <c r="CN501" s="13"/>
      <c r="CO501" s="11"/>
      <c r="CP501" s="12"/>
      <c r="CQ501" s="12"/>
      <c r="CR501" s="11"/>
      <c r="CS501" s="13"/>
      <c r="CT501" s="11"/>
      <c r="CU501" s="11"/>
      <c r="CV501" s="13"/>
      <c r="CW501" s="11"/>
      <c r="CX501" s="12"/>
      <c r="CY501" s="12"/>
      <c r="CZ501" s="11">
        <v>59</v>
      </c>
      <c r="DA501" s="13">
        <v>2036.89</v>
      </c>
      <c r="DB501" s="11">
        <v>4</v>
      </c>
      <c r="DC501" s="11"/>
      <c r="DD501" s="13"/>
      <c r="DE501" s="11"/>
      <c r="DF501" s="12"/>
      <c r="DG501" s="12"/>
      <c r="DH501" s="11"/>
      <c r="DI501" s="13"/>
      <c r="DJ501" s="11"/>
      <c r="DK501" s="11"/>
      <c r="DL501" s="13"/>
      <c r="DM501" s="11"/>
      <c r="DN501" s="12"/>
      <c r="DO501" s="12"/>
      <c r="DP501" s="11">
        <v>491</v>
      </c>
      <c r="DQ501" s="13">
        <v>17401.21</v>
      </c>
      <c r="DR501" s="11">
        <v>132</v>
      </c>
      <c r="DS501" s="11"/>
      <c r="DT501" s="13"/>
      <c r="DU501" s="11"/>
      <c r="DV501" s="12"/>
      <c r="DW501" s="12"/>
      <c r="DX501" s="11">
        <v>128</v>
      </c>
      <c r="DY501" s="13">
        <v>4184.89</v>
      </c>
      <c r="DZ501" s="11">
        <v>112</v>
      </c>
      <c r="EA501" s="11"/>
      <c r="EB501" s="13"/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>
        <v>52</v>
      </c>
      <c r="EO501" s="13">
        <v>3742.66</v>
      </c>
      <c r="EP501" s="11">
        <v>132</v>
      </c>
      <c r="EQ501" s="11"/>
      <c r="ER501" s="13"/>
      <c r="ES501" s="11"/>
      <c r="ET501" s="12"/>
      <c r="EU501" s="12"/>
      <c r="EV501" s="11">
        <v>189</v>
      </c>
      <c r="EW501" s="13">
        <v>6033.02</v>
      </c>
      <c r="EX501" s="11">
        <v>65</v>
      </c>
      <c r="EY501" s="11"/>
      <c r="EZ501" s="13"/>
      <c r="FA501" s="11"/>
      <c r="FB501" s="12"/>
      <c r="FC501" s="12"/>
      <c r="FD501" s="11">
        <v>529</v>
      </c>
      <c r="FE501" s="13">
        <v>17441.7</v>
      </c>
      <c r="FF501" s="11">
        <v>97</v>
      </c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/>
      <c r="FR501" s="12"/>
      <c r="FS501" s="12"/>
      <c r="FT501" s="11"/>
      <c r="FU501" s="13"/>
      <c r="FV501" s="11"/>
      <c r="FW501" s="11"/>
      <c r="FX501" s="13"/>
      <c r="FY501" s="11"/>
      <c r="FZ501" s="12"/>
      <c r="GA501" s="12"/>
      <c r="GB501" s="11"/>
      <c r="GC501" s="13"/>
      <c r="GD501" s="11"/>
      <c r="GE501" s="11"/>
      <c r="GF501" s="13"/>
      <c r="GG501" s="11"/>
      <c r="GH501" s="12"/>
      <c r="GI501" s="12"/>
      <c r="GJ501" s="11"/>
      <c r="GK501" s="13"/>
      <c r="GL501" s="11"/>
      <c r="GM501" s="11"/>
      <c r="GN501" s="13"/>
      <c r="GO501" s="11"/>
      <c r="GP501" s="12"/>
      <c r="GQ501" s="12"/>
      <c r="GR501" s="11">
        <v>1</v>
      </c>
      <c r="GS501" s="13">
        <v>37.51</v>
      </c>
      <c r="GT501" s="11">
        <v>97</v>
      </c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/>
      <c r="HI501" s="13"/>
      <c r="HJ501" s="11"/>
      <c r="HK501" s="11"/>
      <c r="HL501" s="13"/>
      <c r="HM501" s="11"/>
      <c r="HN501" s="12"/>
      <c r="HO501" s="12"/>
      <c r="HP501" s="11">
        <v>785</v>
      </c>
      <c r="HQ501" s="13">
        <v>26660.8</v>
      </c>
      <c r="HR501" s="11">
        <v>97</v>
      </c>
      <c r="HS501" s="11"/>
      <c r="HT501" s="13"/>
      <c r="HU501" s="11"/>
      <c r="HV501" s="12"/>
      <c r="HW501" s="12"/>
      <c r="HX501" s="11">
        <v>145</v>
      </c>
      <c r="HY501" s="13">
        <v>4955.03</v>
      </c>
      <c r="HZ501" s="11">
        <v>73</v>
      </c>
      <c r="IA501" s="11"/>
      <c r="IB501" s="13"/>
      <c r="IC501" s="11"/>
      <c r="ID501" s="12"/>
      <c r="IE501" s="12"/>
      <c r="IF501" s="11"/>
      <c r="IG501" s="13"/>
      <c r="IH501" s="11"/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>
        <v>11</v>
      </c>
      <c r="IW501" s="13">
        <v>379.49</v>
      </c>
      <c r="IX501" s="11">
        <v>47</v>
      </c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/>
      <c r="JO501" s="11"/>
      <c r="JP501" s="13"/>
      <c r="JQ501" s="11"/>
      <c r="JR501" s="12"/>
      <c r="JS501" s="12"/>
      <c r="JT501" s="11"/>
      <c r="JU501" s="13"/>
      <c r="JV501" s="11">
        <v>60</v>
      </c>
      <c r="JW501" s="11"/>
      <c r="JX501" s="13"/>
      <c r="JY501" s="11"/>
      <c r="JZ501" s="12"/>
      <c r="KA501" s="12"/>
      <c r="KB501" s="11"/>
      <c r="KC501" s="13"/>
      <c r="KD501" s="11"/>
      <c r="KE501" s="11"/>
      <c r="KF501" s="13"/>
      <c r="KG501" s="11"/>
      <c r="KH501" s="12"/>
      <c r="KI501" s="12"/>
      <c r="KJ501" s="11"/>
      <c r="KK501" s="13"/>
      <c r="KL501" s="11"/>
      <c r="KM501" s="11"/>
      <c r="KN501" s="13"/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  <c r="LH501" s="11"/>
      <c r="LI501" s="13"/>
      <c r="LJ501" s="11"/>
      <c r="LK501" s="11"/>
      <c r="LL501" s="13"/>
      <c r="LM501" s="11"/>
      <c r="LN501" s="12"/>
      <c r="LO501" s="12"/>
      <c r="LP501" s="11"/>
      <c r="LQ501" s="13"/>
      <c r="LR501" s="11"/>
      <c r="LS501" s="11"/>
      <c r="LT501" s="13"/>
      <c r="LU501" s="11"/>
      <c r="LV501" s="12"/>
      <c r="LW501" s="12"/>
    </row>
    <row r="502">
      <c r="A502" s="10" t="s">
        <v>278</v>
      </c>
      <c r="B502" s="10" t="s">
        <v>280</v>
      </c>
      <c r="C502" s="10" t="s">
        <v>279</v>
      </c>
      <c r="D502" s="11">
        <v>29</v>
      </c>
      <c r="E502" s="11">
        <f>=ROUNDDOWN(0.108492330714553,0)</f>
      </c>
      <c r="F502" s="11"/>
      <c r="G502" s="12">
        <v>0.9559</v>
      </c>
      <c r="H502" s="11"/>
      <c r="I502" s="11">
        <f>=ROUNDDOWN({0},0)</f>
      </c>
      <c r="J502" s="11"/>
      <c r="K502" s="12"/>
      <c r="L502" s="11">
        <v>655</v>
      </c>
      <c r="M502" s="13">
        <v>19079.9</v>
      </c>
      <c r="N502" s="11"/>
      <c r="O502" s="14"/>
      <c r="P502" s="11"/>
      <c r="Q502" s="13"/>
      <c r="R502" s="11"/>
      <c r="S502" s="14"/>
      <c r="T502" s="12"/>
      <c r="U502" s="12"/>
      <c r="V502" s="12"/>
      <c r="W502" s="12"/>
      <c r="X502" s="11"/>
      <c r="Y502" s="13"/>
      <c r="Z502" s="11"/>
      <c r="AA502" s="11"/>
      <c r="AB502" s="13"/>
      <c r="AC502" s="11"/>
      <c r="AD502" s="12"/>
      <c r="AE502" s="12"/>
      <c r="AF502" s="11"/>
      <c r="AG502" s="13"/>
      <c r="AH502" s="11"/>
      <c r="AI502" s="11"/>
      <c r="AJ502" s="13"/>
      <c r="AK502" s="11"/>
      <c r="AL502" s="12"/>
      <c r="AM502" s="12"/>
      <c r="AN502" s="11"/>
      <c r="AO502" s="13"/>
      <c r="AP502" s="11"/>
      <c r="AQ502" s="11"/>
      <c r="AR502" s="13"/>
      <c r="AS502" s="11"/>
      <c r="AT502" s="12"/>
      <c r="AU502" s="12"/>
      <c r="AV502" s="11"/>
      <c r="AW502" s="13"/>
      <c r="AX502" s="11"/>
      <c r="AY502" s="11"/>
      <c r="AZ502" s="13"/>
      <c r="BA502" s="11"/>
      <c r="BB502" s="12"/>
      <c r="BC502" s="12"/>
      <c r="BD502" s="11">
        <v>655</v>
      </c>
      <c r="BE502" s="13">
        <v>19079.9</v>
      </c>
      <c r="BF502" s="11"/>
      <c r="BG502" s="11"/>
      <c r="BH502" s="13"/>
      <c r="BI502" s="11"/>
      <c r="BJ502" s="12"/>
      <c r="BK502" s="12"/>
      <c r="BL502" s="11"/>
      <c r="BM502" s="13"/>
      <c r="BN502" s="11"/>
      <c r="BO502" s="11"/>
      <c r="BP502" s="13"/>
      <c r="BQ502" s="11"/>
      <c r="BR502" s="12"/>
      <c r="BS502" s="12"/>
      <c r="BT502" s="11"/>
      <c r="BU502" s="13"/>
      <c r="BV502" s="11"/>
      <c r="BW502" s="11"/>
      <c r="BX502" s="13"/>
      <c r="BY502" s="11"/>
      <c r="BZ502" s="12"/>
      <c r="CA502" s="12"/>
      <c r="CB502" s="11"/>
      <c r="CC502" s="13"/>
      <c r="CD502" s="11"/>
      <c r="CE502" s="11"/>
      <c r="CF502" s="13"/>
      <c r="CG502" s="11"/>
      <c r="CH502" s="12"/>
      <c r="CI502" s="12"/>
      <c r="CJ502" s="11"/>
      <c r="CK502" s="13"/>
      <c r="CL502" s="11"/>
      <c r="CM502" s="11"/>
      <c r="CN502" s="13"/>
      <c r="CO502" s="11"/>
      <c r="CP502" s="12"/>
      <c r="CQ502" s="12"/>
      <c r="CR502" s="11"/>
      <c r="CS502" s="13"/>
      <c r="CT502" s="11"/>
      <c r="CU502" s="11"/>
      <c r="CV502" s="13"/>
      <c r="CW502" s="11"/>
      <c r="CX502" s="12"/>
      <c r="CY502" s="12"/>
      <c r="CZ502" s="11"/>
      <c r="DA502" s="13"/>
      <c r="DB502" s="11"/>
      <c r="DC502" s="11"/>
      <c r="DD502" s="13"/>
      <c r="DE502" s="11"/>
      <c r="DF502" s="12"/>
      <c r="DG502" s="12"/>
      <c r="DH502" s="11"/>
      <c r="DI502" s="13"/>
      <c r="DJ502" s="11"/>
      <c r="DK502" s="11"/>
      <c r="DL502" s="13"/>
      <c r="DM502" s="11"/>
      <c r="DN502" s="12"/>
      <c r="DO502" s="12"/>
      <c r="DP502" s="11"/>
      <c r="DQ502" s="13"/>
      <c r="DR502" s="11"/>
      <c r="DS502" s="11"/>
      <c r="DT502" s="13"/>
      <c r="DU502" s="11"/>
      <c r="DV502" s="12"/>
      <c r="DW502" s="12"/>
      <c r="DX502" s="11"/>
      <c r="DY502" s="13"/>
      <c r="DZ502" s="11"/>
      <c r="EA502" s="11"/>
      <c r="EB502" s="13"/>
      <c r="EC502" s="11"/>
      <c r="ED502" s="12"/>
      <c r="EE502" s="12"/>
      <c r="EF502" s="11"/>
      <c r="EG502" s="13"/>
      <c r="EH502" s="11"/>
      <c r="EI502" s="11"/>
      <c r="EJ502" s="13"/>
      <c r="EK502" s="11"/>
      <c r="EL502" s="12"/>
      <c r="EM502" s="12"/>
      <c r="EN502" s="11"/>
      <c r="EO502" s="13"/>
      <c r="EP502" s="11"/>
      <c r="EQ502" s="11"/>
      <c r="ER502" s="13"/>
      <c r="ES502" s="11"/>
      <c r="ET502" s="12"/>
      <c r="EU502" s="12"/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/>
      <c r="FM502" s="13"/>
      <c r="FN502" s="11"/>
      <c r="FO502" s="11"/>
      <c r="FP502" s="13"/>
      <c r="FQ502" s="11"/>
      <c r="FR502" s="12"/>
      <c r="FS502" s="12"/>
      <c r="FT502" s="11"/>
      <c r="FU502" s="13"/>
      <c r="FV502" s="11"/>
      <c r="FW502" s="11"/>
      <c r="FX502" s="13"/>
      <c r="FY502" s="11"/>
      <c r="FZ502" s="12"/>
      <c r="GA502" s="12"/>
      <c r="GB502" s="11"/>
      <c r="GC502" s="13"/>
      <c r="GD502" s="11"/>
      <c r="GE502" s="11"/>
      <c r="GF502" s="13"/>
      <c r="GG502" s="11"/>
      <c r="GH502" s="12"/>
      <c r="GI502" s="12"/>
      <c r="GJ502" s="11"/>
      <c r="GK502" s="13"/>
      <c r="GL502" s="11"/>
      <c r="GM502" s="11"/>
      <c r="GN502" s="13"/>
      <c r="GO502" s="11"/>
      <c r="GP502" s="12"/>
      <c r="GQ502" s="12"/>
      <c r="GR502" s="11"/>
      <c r="GS502" s="13"/>
      <c r="GT502" s="11"/>
      <c r="GU502" s="11"/>
      <c r="GV502" s="13"/>
      <c r="GW502" s="11"/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/>
      <c r="HI502" s="13"/>
      <c r="HJ502" s="11"/>
      <c r="HK502" s="11"/>
      <c r="HL502" s="13"/>
      <c r="HM502" s="11"/>
      <c r="HN502" s="12"/>
      <c r="HO502" s="12"/>
      <c r="HP502" s="11"/>
      <c r="HQ502" s="13"/>
      <c r="HR502" s="11"/>
      <c r="HS502" s="11"/>
      <c r="HT502" s="13"/>
      <c r="HU502" s="11"/>
      <c r="HV502" s="12"/>
      <c r="HW502" s="12"/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/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/>
      <c r="JO502" s="11"/>
      <c r="JP502" s="13"/>
      <c r="JQ502" s="11"/>
      <c r="JR502" s="12"/>
      <c r="JS502" s="12"/>
      <c r="JT502" s="11"/>
      <c r="JU502" s="13"/>
      <c r="JV502" s="11"/>
      <c r="JW502" s="11"/>
      <c r="JX502" s="13"/>
      <c r="JY502" s="11"/>
      <c r="JZ502" s="12"/>
      <c r="KA502" s="12"/>
      <c r="KB502" s="11"/>
      <c r="KC502" s="13"/>
      <c r="KD502" s="11"/>
      <c r="KE502" s="11"/>
      <c r="KF502" s="13"/>
      <c r="KG502" s="11"/>
      <c r="KH502" s="12"/>
      <c r="KI502" s="12"/>
      <c r="KJ502" s="11"/>
      <c r="KK502" s="13"/>
      <c r="KL502" s="11"/>
      <c r="KM502" s="11"/>
      <c r="KN502" s="13"/>
      <c r="KO502" s="11"/>
      <c r="KP502" s="12"/>
      <c r="KQ502" s="12"/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  <c r="LH502" s="11"/>
      <c r="LI502" s="13"/>
      <c r="LJ502" s="11"/>
      <c r="LK502" s="11"/>
      <c r="LL502" s="13"/>
      <c r="LM502" s="11"/>
      <c r="LN502" s="12"/>
      <c r="LO502" s="12"/>
      <c r="LP502" s="11"/>
      <c r="LQ502" s="13"/>
      <c r="LR502" s="11"/>
      <c r="LS502" s="11"/>
      <c r="LT502" s="13"/>
      <c r="LU502" s="11"/>
      <c r="LV502" s="12"/>
      <c r="LW502" s="12"/>
    </row>
    <row r="503">
      <c r="A503" s="10" t="s">
        <v>278</v>
      </c>
      <c r="B503" s="10" t="s">
        <v>281</v>
      </c>
      <c r="C503" s="10" t="s">
        <v>77</v>
      </c>
      <c r="D503" s="11">
        <v>29</v>
      </c>
      <c r="E503" s="11">
        <f>=ROUNDDOWN({0},0)</f>
      </c>
      <c r="F503" s="11"/>
      <c r="G503" s="12"/>
      <c r="H503" s="11"/>
      <c r="I503" s="11">
        <f>=ROUNDDOWN({0},0)</f>
      </c>
      <c r="J503" s="11"/>
      <c r="K503" s="12"/>
      <c r="L503" s="11">
        <v>655</v>
      </c>
      <c r="M503" s="13">
        <v>19079.9</v>
      </c>
      <c r="N503" s="11"/>
      <c r="O503" s="14"/>
      <c r="P503" s="11"/>
      <c r="Q503" s="13"/>
      <c r="R503" s="11"/>
      <c r="S503" s="14"/>
      <c r="T503" s="12"/>
      <c r="U503" s="12"/>
      <c r="V503" s="12"/>
      <c r="W503" s="12"/>
      <c r="X503" s="11"/>
      <c r="Y503" s="13"/>
      <c r="Z503" s="11"/>
      <c r="AA503" s="11"/>
      <c r="AB503" s="13"/>
      <c r="AC503" s="11"/>
      <c r="AD503" s="12"/>
      <c r="AE503" s="12"/>
      <c r="AF503" s="11"/>
      <c r="AG503" s="13"/>
      <c r="AH503" s="11"/>
      <c r="AI503" s="11"/>
      <c r="AJ503" s="13"/>
      <c r="AK503" s="11"/>
      <c r="AL503" s="12"/>
      <c r="AM503" s="12"/>
      <c r="AN503" s="11"/>
      <c r="AO503" s="13"/>
      <c r="AP503" s="11"/>
      <c r="AQ503" s="11"/>
      <c r="AR503" s="13"/>
      <c r="AS503" s="11"/>
      <c r="AT503" s="12"/>
      <c r="AU503" s="12"/>
      <c r="AV503" s="11"/>
      <c r="AW503" s="13"/>
      <c r="AX503" s="11"/>
      <c r="AY503" s="11"/>
      <c r="AZ503" s="13"/>
      <c r="BA503" s="11"/>
      <c r="BB503" s="12"/>
      <c r="BC503" s="12"/>
      <c r="BD503" s="11">
        <v>655</v>
      </c>
      <c r="BE503" s="13">
        <v>19079.9</v>
      </c>
      <c r="BF503" s="11"/>
      <c r="BG503" s="11"/>
      <c r="BH503" s="13"/>
      <c r="BI503" s="11"/>
      <c r="BJ503" s="12"/>
      <c r="BK503" s="12"/>
      <c r="BL503" s="11"/>
      <c r="BM503" s="13"/>
      <c r="BN503" s="11"/>
      <c r="BO503" s="11"/>
      <c r="BP503" s="13"/>
      <c r="BQ503" s="11"/>
      <c r="BR503" s="12"/>
      <c r="BS503" s="12"/>
      <c r="BT503" s="11"/>
      <c r="BU503" s="13"/>
      <c r="BV503" s="11"/>
      <c r="BW503" s="11"/>
      <c r="BX503" s="13"/>
      <c r="BY503" s="11"/>
      <c r="BZ503" s="12"/>
      <c r="CA503" s="12"/>
      <c r="CB503" s="11"/>
      <c r="CC503" s="13"/>
      <c r="CD503" s="11"/>
      <c r="CE503" s="11"/>
      <c r="CF503" s="13"/>
      <c r="CG503" s="11"/>
      <c r="CH503" s="12"/>
      <c r="CI503" s="12"/>
      <c r="CJ503" s="11"/>
      <c r="CK503" s="13"/>
      <c r="CL503" s="11"/>
      <c r="CM503" s="11"/>
      <c r="CN503" s="13"/>
      <c r="CO503" s="11"/>
      <c r="CP503" s="12"/>
      <c r="CQ503" s="12"/>
      <c r="CR503" s="11"/>
      <c r="CS503" s="13"/>
      <c r="CT503" s="11"/>
      <c r="CU503" s="11"/>
      <c r="CV503" s="13"/>
      <c r="CW503" s="11"/>
      <c r="CX503" s="12"/>
      <c r="CY503" s="12"/>
      <c r="CZ503" s="11"/>
      <c r="DA503" s="13"/>
      <c r="DB503" s="11"/>
      <c r="DC503" s="11"/>
      <c r="DD503" s="13"/>
      <c r="DE503" s="11"/>
      <c r="DF503" s="12"/>
      <c r="DG503" s="12"/>
      <c r="DH503" s="11"/>
      <c r="DI503" s="13"/>
      <c r="DJ503" s="11"/>
      <c r="DK503" s="11"/>
      <c r="DL503" s="13"/>
      <c r="DM503" s="11"/>
      <c r="DN503" s="12"/>
      <c r="DO503" s="12"/>
      <c r="DP503" s="11"/>
      <c r="DQ503" s="13"/>
      <c r="DR503" s="11"/>
      <c r="DS503" s="11"/>
      <c r="DT503" s="13"/>
      <c r="DU503" s="11"/>
      <c r="DV503" s="12"/>
      <c r="DW503" s="12"/>
      <c r="DX503" s="11"/>
      <c r="DY503" s="13"/>
      <c r="DZ503" s="11"/>
      <c r="EA503" s="11"/>
      <c r="EB503" s="13"/>
      <c r="EC503" s="11"/>
      <c r="ED503" s="12"/>
      <c r="EE503" s="12"/>
      <c r="EF503" s="11"/>
      <c r="EG503" s="13"/>
      <c r="EH503" s="11"/>
      <c r="EI503" s="11"/>
      <c r="EJ503" s="13"/>
      <c r="EK503" s="11"/>
      <c r="EL503" s="12"/>
      <c r="EM503" s="12"/>
      <c r="EN503" s="11"/>
      <c r="EO503" s="13"/>
      <c r="EP503" s="11"/>
      <c r="EQ503" s="11"/>
      <c r="ER503" s="13"/>
      <c r="ES503" s="11"/>
      <c r="ET503" s="12"/>
      <c r="EU503" s="12"/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/>
      <c r="FM503" s="13"/>
      <c r="FN503" s="11"/>
      <c r="FO503" s="11"/>
      <c r="FP503" s="13"/>
      <c r="FQ503" s="11"/>
      <c r="FR503" s="12"/>
      <c r="FS503" s="12"/>
      <c r="FT503" s="11"/>
      <c r="FU503" s="13"/>
      <c r="FV503" s="11"/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/>
      <c r="GS503" s="13"/>
      <c r="GT503" s="11"/>
      <c r="GU503" s="11"/>
      <c r="GV503" s="13"/>
      <c r="GW503" s="11"/>
      <c r="GX503" s="12"/>
      <c r="GY503" s="12"/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/>
      <c r="HQ503" s="13"/>
      <c r="HR503" s="11"/>
      <c r="HS503" s="11"/>
      <c r="HT503" s="13"/>
      <c r="HU503" s="11"/>
      <c r="HV503" s="12"/>
      <c r="HW503" s="12"/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/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/>
      <c r="IW503" s="13"/>
      <c r="IX503" s="11"/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/>
      <c r="JO503" s="11"/>
      <c r="JP503" s="13"/>
      <c r="JQ503" s="11"/>
      <c r="JR503" s="12"/>
      <c r="JS503" s="12"/>
      <c r="JT503" s="11"/>
      <c r="JU503" s="13"/>
      <c r="JV503" s="11"/>
      <c r="JW503" s="11"/>
      <c r="JX503" s="13"/>
      <c r="JY503" s="11"/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/>
      <c r="KM503" s="11"/>
      <c r="KN503" s="13"/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  <c r="LH503" s="11"/>
      <c r="LI503" s="13"/>
      <c r="LJ503" s="11"/>
      <c r="LK503" s="11"/>
      <c r="LL503" s="13"/>
      <c r="LM503" s="11"/>
      <c r="LN503" s="12"/>
      <c r="LO503" s="12"/>
      <c r="LP503" s="11"/>
      <c r="LQ503" s="13"/>
      <c r="LR503" s="11"/>
      <c r="LS503" s="11"/>
      <c r="LT503" s="13"/>
      <c r="LU503" s="11"/>
      <c r="LV503" s="12"/>
      <c r="LW503" s="12"/>
    </row>
    <row r="504">
      <c r="A504" s="10" t="s">
        <v>278</v>
      </c>
      <c r="B504" s="10" t="s">
        <v>282</v>
      </c>
      <c r="C504" s="10" t="s">
        <v>173</v>
      </c>
      <c r="D504" s="11">
        <v>551</v>
      </c>
      <c r="E504" s="11">
        <f>=ROUNDDOWN(36.7333333333333,0)</f>
      </c>
      <c r="F504" s="11">
        <v>153</v>
      </c>
      <c r="G504" s="12">
        <v>1</v>
      </c>
      <c r="H504" s="11"/>
      <c r="I504" s="11">
        <f>=ROUNDDOWN({0},0)</f>
      </c>
      <c r="J504" s="11"/>
      <c r="K504" s="12"/>
      <c r="L504" s="11">
        <v>137</v>
      </c>
      <c r="M504" s="13">
        <v>1109.7</v>
      </c>
      <c r="N504" s="11"/>
      <c r="O504" s="14"/>
      <c r="P504" s="11"/>
      <c r="Q504" s="13"/>
      <c r="R504" s="11"/>
      <c r="S504" s="14"/>
      <c r="T504" s="12"/>
      <c r="U504" s="12"/>
      <c r="V504" s="12"/>
      <c r="W504" s="12"/>
      <c r="X504" s="11"/>
      <c r="Y504" s="13"/>
      <c r="Z504" s="11"/>
      <c r="AA504" s="11"/>
      <c r="AB504" s="13"/>
      <c r="AC504" s="11"/>
      <c r="AD504" s="12"/>
      <c r="AE504" s="12"/>
      <c r="AF504" s="11"/>
      <c r="AG504" s="13"/>
      <c r="AH504" s="11"/>
      <c r="AI504" s="11"/>
      <c r="AJ504" s="13"/>
      <c r="AK504" s="11"/>
      <c r="AL504" s="12"/>
      <c r="AM504" s="12"/>
      <c r="AN504" s="11"/>
      <c r="AO504" s="13"/>
      <c r="AP504" s="11"/>
      <c r="AQ504" s="11"/>
      <c r="AR504" s="13"/>
      <c r="AS504" s="11"/>
      <c r="AT504" s="12"/>
      <c r="AU504" s="12"/>
      <c r="AV504" s="11"/>
      <c r="AW504" s="13"/>
      <c r="AX504" s="11"/>
      <c r="AY504" s="11"/>
      <c r="AZ504" s="13"/>
      <c r="BA504" s="11"/>
      <c r="BB504" s="12"/>
      <c r="BC504" s="12"/>
      <c r="BD504" s="11"/>
      <c r="BE504" s="13"/>
      <c r="BF504" s="11"/>
      <c r="BG504" s="11"/>
      <c r="BH504" s="13"/>
      <c r="BI504" s="11"/>
      <c r="BJ504" s="12"/>
      <c r="BK504" s="12"/>
      <c r="BL504" s="11"/>
      <c r="BM504" s="13"/>
      <c r="BN504" s="11"/>
      <c r="BO504" s="11"/>
      <c r="BP504" s="13"/>
      <c r="BQ504" s="11"/>
      <c r="BR504" s="12"/>
      <c r="BS504" s="12"/>
      <c r="BT504" s="11"/>
      <c r="BU504" s="13"/>
      <c r="BV504" s="11"/>
      <c r="BW504" s="11"/>
      <c r="BX504" s="13"/>
      <c r="BY504" s="11"/>
      <c r="BZ504" s="12"/>
      <c r="CA504" s="12"/>
      <c r="CB504" s="11">
        <v>137</v>
      </c>
      <c r="CC504" s="13">
        <v>1109.7</v>
      </c>
      <c r="CD504" s="11"/>
      <c r="CE504" s="11"/>
      <c r="CF504" s="13"/>
      <c r="CG504" s="11"/>
      <c r="CH504" s="12"/>
      <c r="CI504" s="12"/>
      <c r="CJ504" s="11"/>
      <c r="CK504" s="13"/>
      <c r="CL504" s="11"/>
      <c r="CM504" s="11"/>
      <c r="CN504" s="13"/>
      <c r="CO504" s="11"/>
      <c r="CP504" s="12"/>
      <c r="CQ504" s="12"/>
      <c r="CR504" s="11"/>
      <c r="CS504" s="13"/>
      <c r="CT504" s="11"/>
      <c r="CU504" s="11"/>
      <c r="CV504" s="13"/>
      <c r="CW504" s="11"/>
      <c r="CX504" s="12"/>
      <c r="CY504" s="12"/>
      <c r="CZ504" s="11"/>
      <c r="DA504" s="13"/>
      <c r="DB504" s="11"/>
      <c r="DC504" s="11"/>
      <c r="DD504" s="13"/>
      <c r="DE504" s="11"/>
      <c r="DF504" s="12"/>
      <c r="DG504" s="12"/>
      <c r="DH504" s="11"/>
      <c r="DI504" s="13"/>
      <c r="DJ504" s="11"/>
      <c r="DK504" s="11"/>
      <c r="DL504" s="13"/>
      <c r="DM504" s="11"/>
      <c r="DN504" s="12"/>
      <c r="DO504" s="12"/>
      <c r="DP504" s="11"/>
      <c r="DQ504" s="13"/>
      <c r="DR504" s="11"/>
      <c r="DS504" s="11"/>
      <c r="DT504" s="13"/>
      <c r="DU504" s="11"/>
      <c r="DV504" s="12"/>
      <c r="DW504" s="12"/>
      <c r="DX504" s="11"/>
      <c r="DY504" s="13"/>
      <c r="DZ504" s="11"/>
      <c r="EA504" s="11"/>
      <c r="EB504" s="13"/>
      <c r="EC504" s="11"/>
      <c r="ED504" s="12"/>
      <c r="EE504" s="12"/>
      <c r="EF504" s="11"/>
      <c r="EG504" s="13"/>
      <c r="EH504" s="11"/>
      <c r="EI504" s="11"/>
      <c r="EJ504" s="13"/>
      <c r="EK504" s="11"/>
      <c r="EL504" s="12"/>
      <c r="EM504" s="12"/>
      <c r="EN504" s="11"/>
      <c r="EO504" s="13"/>
      <c r="EP504" s="11"/>
      <c r="EQ504" s="11"/>
      <c r="ER504" s="13"/>
      <c r="ES504" s="11"/>
      <c r="ET504" s="12"/>
      <c r="EU504" s="12"/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/>
      <c r="FU504" s="13"/>
      <c r="FV504" s="11"/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/>
      <c r="GS504" s="13"/>
      <c r="GT504" s="11"/>
      <c r="GU504" s="11"/>
      <c r="GV504" s="13"/>
      <c r="GW504" s="11"/>
      <c r="GX504" s="12"/>
      <c r="GY504" s="12"/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/>
      <c r="HQ504" s="13"/>
      <c r="HR504" s="11"/>
      <c r="HS504" s="11"/>
      <c r="HT504" s="13"/>
      <c r="HU504" s="11"/>
      <c r="HV504" s="12"/>
      <c r="HW504" s="12"/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/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/>
      <c r="IW504" s="13"/>
      <c r="IX504" s="11"/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/>
      <c r="JO504" s="11"/>
      <c r="JP504" s="13"/>
      <c r="JQ504" s="11"/>
      <c r="JR504" s="12"/>
      <c r="JS504" s="12"/>
      <c r="JT504" s="11"/>
      <c r="JU504" s="13"/>
      <c r="JV504" s="11"/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/>
      <c r="KN504" s="13"/>
      <c r="KO504" s="11"/>
      <c r="KP504" s="12"/>
      <c r="KQ504" s="12"/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  <c r="LH504" s="11"/>
      <c r="LI504" s="13"/>
      <c r="LJ504" s="11"/>
      <c r="LK504" s="11"/>
      <c r="LL504" s="13"/>
      <c r="LM504" s="11"/>
      <c r="LN504" s="12"/>
      <c r="LO504" s="12"/>
      <c r="LP504" s="11"/>
      <c r="LQ504" s="13"/>
      <c r="LR504" s="11"/>
      <c r="LS504" s="11"/>
      <c r="LT504" s="13"/>
      <c r="LU504" s="11"/>
      <c r="LV504" s="12"/>
      <c r="LW504" s="12"/>
    </row>
    <row r="505">
      <c r="A505" s="10" t="s">
        <v>278</v>
      </c>
      <c r="B505" s="10" t="s">
        <v>282</v>
      </c>
      <c r="C505" s="10" t="s">
        <v>279</v>
      </c>
      <c r="D505" s="11">
        <v>2509</v>
      </c>
      <c r="E505" s="11">
        <f>=ROUNDDOWN(34.5116918844567,0)</f>
      </c>
      <c r="F505" s="11">
        <v>1000</v>
      </c>
      <c r="G505" s="12">
        <v>0.628</v>
      </c>
      <c r="H505" s="11"/>
      <c r="I505" s="11">
        <f>=ROUNDDOWN({0},0)</f>
      </c>
      <c r="J505" s="11"/>
      <c r="K505" s="12"/>
      <c r="L505" s="11">
        <v>315</v>
      </c>
      <c r="M505" s="13">
        <v>11338</v>
      </c>
      <c r="N505" s="11">
        <v>1</v>
      </c>
      <c r="O505" s="14">
        <v>11338</v>
      </c>
      <c r="P505" s="11"/>
      <c r="Q505" s="13"/>
      <c r="R505" s="11"/>
      <c r="S505" s="14"/>
      <c r="T505" s="12"/>
      <c r="U505" s="12"/>
      <c r="V505" s="12"/>
      <c r="W505" s="12"/>
      <c r="X505" s="11"/>
      <c r="Y505" s="13"/>
      <c r="Z505" s="11"/>
      <c r="AA505" s="11"/>
      <c r="AB505" s="13"/>
      <c r="AC505" s="11"/>
      <c r="AD505" s="12"/>
      <c r="AE505" s="12"/>
      <c r="AF505" s="11"/>
      <c r="AG505" s="13"/>
      <c r="AH505" s="11"/>
      <c r="AI505" s="11"/>
      <c r="AJ505" s="13"/>
      <c r="AK505" s="11"/>
      <c r="AL505" s="12"/>
      <c r="AM505" s="12"/>
      <c r="AN505" s="11"/>
      <c r="AO505" s="13"/>
      <c r="AP505" s="11"/>
      <c r="AQ505" s="11"/>
      <c r="AR505" s="13"/>
      <c r="AS505" s="11"/>
      <c r="AT505" s="12"/>
      <c r="AU505" s="12"/>
      <c r="AV505" s="11"/>
      <c r="AW505" s="13"/>
      <c r="AX505" s="11"/>
      <c r="AY505" s="11"/>
      <c r="AZ505" s="13"/>
      <c r="BA505" s="11"/>
      <c r="BB505" s="12"/>
      <c r="BC505" s="12"/>
      <c r="BD505" s="11"/>
      <c r="BE505" s="13"/>
      <c r="BF505" s="11"/>
      <c r="BG505" s="11"/>
      <c r="BH505" s="13"/>
      <c r="BI505" s="11"/>
      <c r="BJ505" s="12"/>
      <c r="BK505" s="12"/>
      <c r="BL505" s="11"/>
      <c r="BM505" s="13"/>
      <c r="BN505" s="11"/>
      <c r="BO505" s="11"/>
      <c r="BP505" s="13"/>
      <c r="BQ505" s="11"/>
      <c r="BR505" s="12"/>
      <c r="BS505" s="12"/>
      <c r="BT505" s="11"/>
      <c r="BU505" s="13"/>
      <c r="BV505" s="11"/>
      <c r="BW505" s="11"/>
      <c r="BX505" s="13"/>
      <c r="BY505" s="11"/>
      <c r="BZ505" s="12"/>
      <c r="CA505" s="12"/>
      <c r="CB505" s="11">
        <v>315</v>
      </c>
      <c r="CC505" s="13">
        <v>11338</v>
      </c>
      <c r="CD505" s="11"/>
      <c r="CE505" s="11"/>
      <c r="CF505" s="13"/>
      <c r="CG505" s="11"/>
      <c r="CH505" s="12"/>
      <c r="CI505" s="12"/>
      <c r="CJ505" s="11"/>
      <c r="CK505" s="13"/>
      <c r="CL505" s="11"/>
      <c r="CM505" s="11"/>
      <c r="CN505" s="13"/>
      <c r="CO505" s="11"/>
      <c r="CP505" s="12"/>
      <c r="CQ505" s="12"/>
      <c r="CR505" s="11"/>
      <c r="CS505" s="13"/>
      <c r="CT505" s="11"/>
      <c r="CU505" s="11"/>
      <c r="CV505" s="13"/>
      <c r="CW505" s="11"/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/>
      <c r="DK505" s="11"/>
      <c r="DL505" s="13"/>
      <c r="DM505" s="11"/>
      <c r="DN505" s="12"/>
      <c r="DO505" s="12"/>
      <c r="DP505" s="11"/>
      <c r="DQ505" s="13"/>
      <c r="DR505" s="11"/>
      <c r="DS505" s="11"/>
      <c r="DT505" s="13"/>
      <c r="DU505" s="11"/>
      <c r="DV505" s="12"/>
      <c r="DW505" s="12"/>
      <c r="DX505" s="11"/>
      <c r="DY505" s="13"/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>
        <v>1</v>
      </c>
      <c r="EQ505" s="11"/>
      <c r="ER505" s="13"/>
      <c r="ES505" s="11"/>
      <c r="ET505" s="12"/>
      <c r="EU505" s="12"/>
      <c r="EV505" s="11"/>
      <c r="EW505" s="13"/>
      <c r="EX505" s="11"/>
      <c r="EY505" s="11"/>
      <c r="EZ505" s="13"/>
      <c r="FA505" s="11"/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/>
      <c r="GH505" s="12"/>
      <c r="GI505" s="12"/>
      <c r="GJ505" s="11"/>
      <c r="GK505" s="13"/>
      <c r="GL505" s="11"/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/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/>
      <c r="JP505" s="13"/>
      <c r="JQ505" s="11"/>
      <c r="JR505" s="12"/>
      <c r="JS505" s="12"/>
      <c r="JT505" s="11"/>
      <c r="JU505" s="13"/>
      <c r="JV505" s="11"/>
      <c r="JW505" s="11"/>
      <c r="JX505" s="13"/>
      <c r="JY505" s="11"/>
      <c r="JZ505" s="12"/>
      <c r="KA505" s="12"/>
      <c r="KB505" s="11"/>
      <c r="KC505" s="13"/>
      <c r="KD505" s="11"/>
      <c r="KE505" s="11"/>
      <c r="KF505" s="13"/>
      <c r="KG505" s="11"/>
      <c r="KH505" s="12"/>
      <c r="KI505" s="12"/>
      <c r="KJ505" s="11"/>
      <c r="KK505" s="13"/>
      <c r="KL505" s="11"/>
      <c r="KM505" s="11"/>
      <c r="KN505" s="13"/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  <c r="LH505" s="11"/>
      <c r="LI505" s="13"/>
      <c r="LJ505" s="11"/>
      <c r="LK505" s="11"/>
      <c r="LL505" s="13"/>
      <c r="LM505" s="11"/>
      <c r="LN505" s="12"/>
      <c r="LO505" s="12"/>
      <c r="LP505" s="11"/>
      <c r="LQ505" s="13"/>
      <c r="LR505" s="11"/>
      <c r="LS505" s="11"/>
      <c r="LT505" s="13"/>
      <c r="LU505" s="11"/>
      <c r="LV505" s="12"/>
      <c r="LW505" s="12"/>
    </row>
    <row r="506">
      <c r="A506" s="10" t="s">
        <v>278</v>
      </c>
      <c r="B506" s="10" t="s">
        <v>283</v>
      </c>
      <c r="C506" s="10" t="s">
        <v>77</v>
      </c>
      <c r="D506" s="11">
        <v>3060</v>
      </c>
      <c r="E506" s="11">
        <f>=ROUNDDOWN({0},0)</f>
      </c>
      <c r="F506" s="11">
        <v>1153</v>
      </c>
      <c r="G506" s="12"/>
      <c r="H506" s="11"/>
      <c r="I506" s="11">
        <f>=ROUNDDOWN({0},0)</f>
      </c>
      <c r="J506" s="11"/>
      <c r="K506" s="12"/>
      <c r="L506" s="11">
        <v>452</v>
      </c>
      <c r="M506" s="13">
        <v>12447.7</v>
      </c>
      <c r="N506" s="11">
        <v>1</v>
      </c>
      <c r="O506" s="14">
        <v>12447.7</v>
      </c>
      <c r="P506" s="11"/>
      <c r="Q506" s="13"/>
      <c r="R506" s="11"/>
      <c r="S506" s="14"/>
      <c r="T506" s="12"/>
      <c r="U506" s="12"/>
      <c r="V506" s="12"/>
      <c r="W506" s="12"/>
      <c r="X506" s="11"/>
      <c r="Y506" s="13"/>
      <c r="Z506" s="11"/>
      <c r="AA506" s="11"/>
      <c r="AB506" s="13"/>
      <c r="AC506" s="11"/>
      <c r="AD506" s="12"/>
      <c r="AE506" s="12"/>
      <c r="AF506" s="11"/>
      <c r="AG506" s="13"/>
      <c r="AH506" s="11"/>
      <c r="AI506" s="11"/>
      <c r="AJ506" s="13"/>
      <c r="AK506" s="11"/>
      <c r="AL506" s="12"/>
      <c r="AM506" s="12"/>
      <c r="AN506" s="11"/>
      <c r="AO506" s="13"/>
      <c r="AP506" s="11"/>
      <c r="AQ506" s="11"/>
      <c r="AR506" s="13"/>
      <c r="AS506" s="11"/>
      <c r="AT506" s="12"/>
      <c r="AU506" s="12"/>
      <c r="AV506" s="11"/>
      <c r="AW506" s="13"/>
      <c r="AX506" s="11"/>
      <c r="AY506" s="11"/>
      <c r="AZ506" s="13"/>
      <c r="BA506" s="11"/>
      <c r="BB506" s="12"/>
      <c r="BC506" s="12"/>
      <c r="BD506" s="11"/>
      <c r="BE506" s="13"/>
      <c r="BF506" s="11"/>
      <c r="BG506" s="11"/>
      <c r="BH506" s="13"/>
      <c r="BI506" s="11"/>
      <c r="BJ506" s="12"/>
      <c r="BK506" s="12"/>
      <c r="BL506" s="11"/>
      <c r="BM506" s="13"/>
      <c r="BN506" s="11"/>
      <c r="BO506" s="11"/>
      <c r="BP506" s="13"/>
      <c r="BQ506" s="11"/>
      <c r="BR506" s="12"/>
      <c r="BS506" s="12"/>
      <c r="BT506" s="11"/>
      <c r="BU506" s="13"/>
      <c r="BV506" s="11"/>
      <c r="BW506" s="11"/>
      <c r="BX506" s="13"/>
      <c r="BY506" s="11"/>
      <c r="BZ506" s="12"/>
      <c r="CA506" s="12"/>
      <c r="CB506" s="11">
        <v>452</v>
      </c>
      <c r="CC506" s="13">
        <v>12447.7</v>
      </c>
      <c r="CD506" s="11"/>
      <c r="CE506" s="11"/>
      <c r="CF506" s="13"/>
      <c r="CG506" s="11"/>
      <c r="CH506" s="12"/>
      <c r="CI506" s="12"/>
      <c r="CJ506" s="11"/>
      <c r="CK506" s="13"/>
      <c r="CL506" s="11"/>
      <c r="CM506" s="11"/>
      <c r="CN506" s="13"/>
      <c r="CO506" s="11"/>
      <c r="CP506" s="12"/>
      <c r="CQ506" s="12"/>
      <c r="CR506" s="11"/>
      <c r="CS506" s="13"/>
      <c r="CT506" s="11"/>
      <c r="CU506" s="11"/>
      <c r="CV506" s="13"/>
      <c r="CW506" s="11"/>
      <c r="CX506" s="12"/>
      <c r="CY506" s="12"/>
      <c r="CZ506" s="11"/>
      <c r="DA506" s="13"/>
      <c r="DB506" s="11"/>
      <c r="DC506" s="11"/>
      <c r="DD506" s="13"/>
      <c r="DE506" s="11"/>
      <c r="DF506" s="12"/>
      <c r="DG506" s="12"/>
      <c r="DH506" s="11"/>
      <c r="DI506" s="13"/>
      <c r="DJ506" s="11"/>
      <c r="DK506" s="11"/>
      <c r="DL506" s="13"/>
      <c r="DM506" s="11"/>
      <c r="DN506" s="12"/>
      <c r="DO506" s="12"/>
      <c r="DP506" s="11"/>
      <c r="DQ506" s="13"/>
      <c r="DR506" s="11"/>
      <c r="DS506" s="11"/>
      <c r="DT506" s="13"/>
      <c r="DU506" s="11"/>
      <c r="DV506" s="12"/>
      <c r="DW506" s="12"/>
      <c r="DX506" s="11"/>
      <c r="DY506" s="13"/>
      <c r="DZ506" s="11"/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>
        <v>1</v>
      </c>
      <c r="EQ506" s="11"/>
      <c r="ER506" s="13"/>
      <c r="ES506" s="11"/>
      <c r="ET506" s="12"/>
      <c r="EU506" s="12"/>
      <c r="EV506" s="11"/>
      <c r="EW506" s="13"/>
      <c r="EX506" s="11"/>
      <c r="EY506" s="11"/>
      <c r="EZ506" s="13"/>
      <c r="FA506" s="11"/>
      <c r="FB506" s="12"/>
      <c r="FC506" s="12"/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/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/>
      <c r="GE506" s="11"/>
      <c r="GF506" s="13"/>
      <c r="GG506" s="11"/>
      <c r="GH506" s="12"/>
      <c r="GI506" s="12"/>
      <c r="GJ506" s="11"/>
      <c r="GK506" s="13"/>
      <c r="GL506" s="11"/>
      <c r="GM506" s="11"/>
      <c r="GN506" s="13"/>
      <c r="GO506" s="11"/>
      <c r="GP506" s="12"/>
      <c r="GQ506" s="12"/>
      <c r="GR506" s="11"/>
      <c r="GS506" s="13"/>
      <c r="GT506" s="11"/>
      <c r="GU506" s="11"/>
      <c r="GV506" s="13"/>
      <c r="GW506" s="11"/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/>
      <c r="HQ506" s="13"/>
      <c r="HR506" s="11"/>
      <c r="HS506" s="11"/>
      <c r="HT506" s="13"/>
      <c r="HU506" s="11"/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/>
      <c r="JP506" s="13"/>
      <c r="JQ506" s="11"/>
      <c r="JR506" s="12"/>
      <c r="JS506" s="12"/>
      <c r="JT506" s="11"/>
      <c r="JU506" s="13"/>
      <c r="JV506" s="11"/>
      <c r="JW506" s="11"/>
      <c r="JX506" s="13"/>
      <c r="JY506" s="11"/>
      <c r="JZ506" s="12"/>
      <c r="KA506" s="12"/>
      <c r="KB506" s="11"/>
      <c r="KC506" s="13"/>
      <c r="KD506" s="11"/>
      <c r="KE506" s="11"/>
      <c r="KF506" s="13"/>
      <c r="KG506" s="11"/>
      <c r="KH506" s="12"/>
      <c r="KI506" s="12"/>
      <c r="KJ506" s="11"/>
      <c r="KK506" s="13"/>
      <c r="KL506" s="11"/>
      <c r="KM506" s="11"/>
      <c r="KN506" s="13"/>
      <c r="KO506" s="11"/>
      <c r="KP506" s="12"/>
      <c r="KQ506" s="12"/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  <c r="LH506" s="11"/>
      <c r="LI506" s="13"/>
      <c r="LJ506" s="11"/>
      <c r="LK506" s="11"/>
      <c r="LL506" s="13"/>
      <c r="LM506" s="11"/>
      <c r="LN506" s="12"/>
      <c r="LO506" s="12"/>
      <c r="LP506" s="11"/>
      <c r="LQ506" s="13"/>
      <c r="LR506" s="11"/>
      <c r="LS506" s="11"/>
      <c r="LT506" s="13"/>
      <c r="LU506" s="11"/>
      <c r="LV506" s="12"/>
      <c r="LW506" s="12"/>
    </row>
    <row r="507">
      <c r="A507" s="10" t="s">
        <v>278</v>
      </c>
      <c r="B507" s="10" t="s">
        <v>87</v>
      </c>
      <c r="C507" s="10" t="s">
        <v>173</v>
      </c>
      <c r="D507" s="11"/>
      <c r="E507" s="11">
        <f>=ROUNDDOWN({0},0)</f>
      </c>
      <c r="F507" s="11"/>
      <c r="G507" s="12"/>
      <c r="H507" s="11"/>
      <c r="I507" s="11">
        <f>=ROUNDDOWN({0},0)</f>
      </c>
      <c r="J507" s="11"/>
      <c r="K507" s="12"/>
      <c r="L507" s="11">
        <v>10</v>
      </c>
      <c r="M507" s="13">
        <v>102.25</v>
      </c>
      <c r="N507" s="11"/>
      <c r="O507" s="14"/>
      <c r="P507" s="11"/>
      <c r="Q507" s="13"/>
      <c r="R507" s="11"/>
      <c r="S507" s="14"/>
      <c r="T507" s="12"/>
      <c r="U507" s="12"/>
      <c r="V507" s="12"/>
      <c r="W507" s="12"/>
      <c r="X507" s="11"/>
      <c r="Y507" s="13"/>
      <c r="Z507" s="11"/>
      <c r="AA507" s="11"/>
      <c r="AB507" s="13"/>
      <c r="AC507" s="11"/>
      <c r="AD507" s="12"/>
      <c r="AE507" s="12"/>
      <c r="AF507" s="11">
        <v>1</v>
      </c>
      <c r="AG507" s="13">
        <v>6.83</v>
      </c>
      <c r="AH507" s="11"/>
      <c r="AI507" s="11"/>
      <c r="AJ507" s="13"/>
      <c r="AK507" s="11"/>
      <c r="AL507" s="12"/>
      <c r="AM507" s="12"/>
      <c r="AN507" s="11">
        <v>7</v>
      </c>
      <c r="AO507" s="13">
        <v>79.38</v>
      </c>
      <c r="AP507" s="11"/>
      <c r="AQ507" s="11"/>
      <c r="AR507" s="13"/>
      <c r="AS507" s="11"/>
      <c r="AT507" s="12"/>
      <c r="AU507" s="12"/>
      <c r="AV507" s="11"/>
      <c r="AW507" s="13"/>
      <c r="AX507" s="11"/>
      <c r="AY507" s="11"/>
      <c r="AZ507" s="13"/>
      <c r="BA507" s="11"/>
      <c r="BB507" s="12"/>
      <c r="BC507" s="12"/>
      <c r="BD507" s="11">
        <v>1</v>
      </c>
      <c r="BE507" s="13">
        <v>5.01</v>
      </c>
      <c r="BF507" s="11"/>
      <c r="BG507" s="11"/>
      <c r="BH507" s="13"/>
      <c r="BI507" s="11"/>
      <c r="BJ507" s="12"/>
      <c r="BK507" s="12"/>
      <c r="BL507" s="11"/>
      <c r="BM507" s="13"/>
      <c r="BN507" s="11"/>
      <c r="BO507" s="11"/>
      <c r="BP507" s="13"/>
      <c r="BQ507" s="11"/>
      <c r="BR507" s="12"/>
      <c r="BS507" s="12"/>
      <c r="BT507" s="11"/>
      <c r="BU507" s="13"/>
      <c r="BV507" s="11"/>
      <c r="BW507" s="11"/>
      <c r="BX507" s="13"/>
      <c r="BY507" s="11"/>
      <c r="BZ507" s="12"/>
      <c r="CA507" s="12"/>
      <c r="CB507" s="11">
        <v>1</v>
      </c>
      <c r="CC507" s="13">
        <v>11.03</v>
      </c>
      <c r="CD507" s="11"/>
      <c r="CE507" s="11"/>
      <c r="CF507" s="13"/>
      <c r="CG507" s="11"/>
      <c r="CH507" s="12"/>
      <c r="CI507" s="12"/>
      <c r="CJ507" s="11"/>
      <c r="CK507" s="13"/>
      <c r="CL507" s="11"/>
      <c r="CM507" s="11"/>
      <c r="CN507" s="13"/>
      <c r="CO507" s="11"/>
      <c r="CP507" s="12"/>
      <c r="CQ507" s="12"/>
      <c r="CR507" s="11"/>
      <c r="CS507" s="13"/>
      <c r="CT507" s="11"/>
      <c r="CU507" s="11"/>
      <c r="CV507" s="13"/>
      <c r="CW507" s="11"/>
      <c r="CX507" s="12"/>
      <c r="CY507" s="12"/>
      <c r="CZ507" s="11"/>
      <c r="DA507" s="13"/>
      <c r="DB507" s="11"/>
      <c r="DC507" s="11"/>
      <c r="DD507" s="13"/>
      <c r="DE507" s="11"/>
      <c r="DF507" s="12"/>
      <c r="DG507" s="12"/>
      <c r="DH507" s="11"/>
      <c r="DI507" s="13"/>
      <c r="DJ507" s="11"/>
      <c r="DK507" s="11"/>
      <c r="DL507" s="13"/>
      <c r="DM507" s="11"/>
      <c r="DN507" s="12"/>
      <c r="DO507" s="12"/>
      <c r="DP507" s="11"/>
      <c r="DQ507" s="13"/>
      <c r="DR507" s="11"/>
      <c r="DS507" s="11"/>
      <c r="DT507" s="13"/>
      <c r="DU507" s="11"/>
      <c r="DV507" s="12"/>
      <c r="DW507" s="12"/>
      <c r="DX507" s="11"/>
      <c r="DY507" s="13"/>
      <c r="DZ507" s="11"/>
      <c r="EA507" s="11"/>
      <c r="EB507" s="13"/>
      <c r="EC507" s="11"/>
      <c r="ED507" s="12"/>
      <c r="EE507" s="12"/>
      <c r="EF507" s="11"/>
      <c r="EG507" s="13"/>
      <c r="EH507" s="11"/>
      <c r="EI507" s="11"/>
      <c r="EJ507" s="13"/>
      <c r="EK507" s="11"/>
      <c r="EL507" s="12"/>
      <c r="EM507" s="12"/>
      <c r="EN507" s="11"/>
      <c r="EO507" s="13"/>
      <c r="EP507" s="11"/>
      <c r="EQ507" s="11"/>
      <c r="ER507" s="13"/>
      <c r="ES507" s="11"/>
      <c r="ET507" s="12"/>
      <c r="EU507" s="12"/>
      <c r="EV507" s="11"/>
      <c r="EW507" s="13"/>
      <c r="EX507" s="11"/>
      <c r="EY507" s="11"/>
      <c r="EZ507" s="13"/>
      <c r="FA507" s="11"/>
      <c r="FB507" s="12"/>
      <c r="FC507" s="12"/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/>
      <c r="FR507" s="12"/>
      <c r="FS507" s="12"/>
      <c r="FT507" s="11"/>
      <c r="FU507" s="13"/>
      <c r="FV507" s="11"/>
      <c r="FW507" s="11"/>
      <c r="FX507" s="13"/>
      <c r="FY507" s="11"/>
      <c r="FZ507" s="12"/>
      <c r="GA507" s="12"/>
      <c r="GB507" s="11"/>
      <c r="GC507" s="13"/>
      <c r="GD507" s="11"/>
      <c r="GE507" s="11"/>
      <c r="GF507" s="13"/>
      <c r="GG507" s="11"/>
      <c r="GH507" s="12"/>
      <c r="GI507" s="12"/>
      <c r="GJ507" s="11"/>
      <c r="GK507" s="13"/>
      <c r="GL507" s="11"/>
      <c r="GM507" s="11"/>
      <c r="GN507" s="13"/>
      <c r="GO507" s="11"/>
      <c r="GP507" s="12"/>
      <c r="GQ507" s="12"/>
      <c r="GR507" s="11"/>
      <c r="GS507" s="13"/>
      <c r="GT507" s="11"/>
      <c r="GU507" s="11"/>
      <c r="GV507" s="13"/>
      <c r="GW507" s="11"/>
      <c r="GX507" s="12"/>
      <c r="GY507" s="12"/>
      <c r="GZ507" s="11"/>
      <c r="HA507" s="13"/>
      <c r="HB507" s="11"/>
      <c r="HC507" s="11"/>
      <c r="HD507" s="13"/>
      <c r="HE507" s="11"/>
      <c r="HF507" s="12"/>
      <c r="HG507" s="12"/>
      <c r="HH507" s="11"/>
      <c r="HI507" s="13"/>
      <c r="HJ507" s="11"/>
      <c r="HK507" s="11"/>
      <c r="HL507" s="13"/>
      <c r="HM507" s="11"/>
      <c r="HN507" s="12"/>
      <c r="HO507" s="12"/>
      <c r="HP507" s="11"/>
      <c r="HQ507" s="13"/>
      <c r="HR507" s="11"/>
      <c r="HS507" s="11"/>
      <c r="HT507" s="13"/>
      <c r="HU507" s="11"/>
      <c r="HV507" s="12"/>
      <c r="HW507" s="12"/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/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/>
      <c r="IW507" s="13"/>
      <c r="IX507" s="11"/>
      <c r="IY507" s="11"/>
      <c r="IZ507" s="13"/>
      <c r="JA507" s="11"/>
      <c r="JB507" s="12"/>
      <c r="JC507" s="12"/>
      <c r="JD507" s="11"/>
      <c r="JE507" s="13"/>
      <c r="JF507" s="11"/>
      <c r="JG507" s="11"/>
      <c r="JH507" s="13"/>
      <c r="JI507" s="11"/>
      <c r="JJ507" s="12"/>
      <c r="JK507" s="12"/>
      <c r="JL507" s="11"/>
      <c r="JM507" s="13"/>
      <c r="JN507" s="11"/>
      <c r="JO507" s="11"/>
      <c r="JP507" s="13"/>
      <c r="JQ507" s="11"/>
      <c r="JR507" s="12"/>
      <c r="JS507" s="12"/>
      <c r="JT507" s="11"/>
      <c r="JU507" s="13"/>
      <c r="JV507" s="11"/>
      <c r="JW507" s="11"/>
      <c r="JX507" s="13"/>
      <c r="JY507" s="11"/>
      <c r="JZ507" s="12"/>
      <c r="KA507" s="12"/>
      <c r="KB507" s="11"/>
      <c r="KC507" s="13"/>
      <c r="KD507" s="11"/>
      <c r="KE507" s="11"/>
      <c r="KF507" s="13"/>
      <c r="KG507" s="11"/>
      <c r="KH507" s="12"/>
      <c r="KI507" s="12"/>
      <c r="KJ507" s="11"/>
      <c r="KK507" s="13"/>
      <c r="KL507" s="11"/>
      <c r="KM507" s="11"/>
      <c r="KN507" s="13"/>
      <c r="KO507" s="11"/>
      <c r="KP507" s="12"/>
      <c r="KQ507" s="12"/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  <c r="LH507" s="11"/>
      <c r="LI507" s="13"/>
      <c r="LJ507" s="11"/>
      <c r="LK507" s="11"/>
      <c r="LL507" s="13"/>
      <c r="LM507" s="11"/>
      <c r="LN507" s="12"/>
      <c r="LO507" s="12"/>
      <c r="LP507" s="11"/>
      <c r="LQ507" s="13"/>
      <c r="LR507" s="11"/>
      <c r="LS507" s="11"/>
      <c r="LT507" s="13"/>
      <c r="LU507" s="11"/>
      <c r="LV507" s="12"/>
      <c r="LW507" s="12"/>
    </row>
    <row r="508">
      <c r="A508" s="10" t="s">
        <v>278</v>
      </c>
      <c r="B508" s="10" t="s">
        <v>87</v>
      </c>
      <c r="C508" s="10" t="s">
        <v>279</v>
      </c>
      <c r="D508" s="11">
        <v>491</v>
      </c>
      <c r="E508" s="11">
        <f>=ROUNDDOWN(49.1,0)</f>
      </c>
      <c r="F508" s="11"/>
      <c r="G508" s="12"/>
      <c r="H508" s="11"/>
      <c r="I508" s="11">
        <f>=ROUNDDOWN({0},0)</f>
      </c>
      <c r="J508" s="11"/>
      <c r="K508" s="12"/>
      <c r="L508" s="11">
        <v>71</v>
      </c>
      <c r="M508" s="13">
        <v>2113.69</v>
      </c>
      <c r="N508" s="11">
        <v>2</v>
      </c>
      <c r="O508" s="14">
        <v>1056.84</v>
      </c>
      <c r="P508" s="11"/>
      <c r="Q508" s="13"/>
      <c r="R508" s="11"/>
      <c r="S508" s="14"/>
      <c r="T508" s="12"/>
      <c r="U508" s="12"/>
      <c r="V508" s="12"/>
      <c r="W508" s="12"/>
      <c r="X508" s="11"/>
      <c r="Y508" s="13"/>
      <c r="Z508" s="11"/>
      <c r="AA508" s="11"/>
      <c r="AB508" s="13"/>
      <c r="AC508" s="11"/>
      <c r="AD508" s="12"/>
      <c r="AE508" s="12"/>
      <c r="AF508" s="11"/>
      <c r="AG508" s="13"/>
      <c r="AH508" s="11">
        <v>2</v>
      </c>
      <c r="AI508" s="11"/>
      <c r="AJ508" s="13"/>
      <c r="AK508" s="11"/>
      <c r="AL508" s="12"/>
      <c r="AM508" s="12"/>
      <c r="AN508" s="11">
        <v>11</v>
      </c>
      <c r="AO508" s="13">
        <v>395.43</v>
      </c>
      <c r="AP508" s="11">
        <v>2</v>
      </c>
      <c r="AQ508" s="11"/>
      <c r="AR508" s="13"/>
      <c r="AS508" s="11"/>
      <c r="AT508" s="12"/>
      <c r="AU508" s="12"/>
      <c r="AV508" s="11">
        <v>24</v>
      </c>
      <c r="AW508" s="13">
        <v>803.5</v>
      </c>
      <c r="AX508" s="11">
        <v>2</v>
      </c>
      <c r="AY508" s="11"/>
      <c r="AZ508" s="13"/>
      <c r="BA508" s="11"/>
      <c r="BB508" s="12"/>
      <c r="BC508" s="12"/>
      <c r="BD508" s="11">
        <v>22</v>
      </c>
      <c r="BE508" s="13">
        <v>374.84</v>
      </c>
      <c r="BF508" s="11">
        <v>2</v>
      </c>
      <c r="BG508" s="11"/>
      <c r="BH508" s="13"/>
      <c r="BI508" s="11"/>
      <c r="BJ508" s="12"/>
      <c r="BK508" s="12"/>
      <c r="BL508" s="11"/>
      <c r="BM508" s="13"/>
      <c r="BN508" s="11">
        <v>2</v>
      </c>
      <c r="BO508" s="11"/>
      <c r="BP508" s="13"/>
      <c r="BQ508" s="11"/>
      <c r="BR508" s="12"/>
      <c r="BS508" s="12"/>
      <c r="BT508" s="11">
        <v>3</v>
      </c>
      <c r="BU508" s="13">
        <v>131.13</v>
      </c>
      <c r="BV508" s="11">
        <v>2</v>
      </c>
      <c r="BW508" s="11"/>
      <c r="BX508" s="13"/>
      <c r="BY508" s="11"/>
      <c r="BZ508" s="12"/>
      <c r="CA508" s="12"/>
      <c r="CB508" s="11">
        <v>8</v>
      </c>
      <c r="CC508" s="13">
        <v>294.93</v>
      </c>
      <c r="CD508" s="11">
        <v>2</v>
      </c>
      <c r="CE508" s="11"/>
      <c r="CF508" s="13"/>
      <c r="CG508" s="11"/>
      <c r="CH508" s="12"/>
      <c r="CI508" s="12"/>
      <c r="CJ508" s="11"/>
      <c r="CK508" s="13"/>
      <c r="CL508" s="11"/>
      <c r="CM508" s="11"/>
      <c r="CN508" s="13"/>
      <c r="CO508" s="11"/>
      <c r="CP508" s="12"/>
      <c r="CQ508" s="12"/>
      <c r="CR508" s="11"/>
      <c r="CS508" s="13"/>
      <c r="CT508" s="11"/>
      <c r="CU508" s="11"/>
      <c r="CV508" s="13"/>
      <c r="CW508" s="11"/>
      <c r="CX508" s="12"/>
      <c r="CY508" s="12"/>
      <c r="CZ508" s="11"/>
      <c r="DA508" s="13"/>
      <c r="DB508" s="11"/>
      <c r="DC508" s="11"/>
      <c r="DD508" s="13"/>
      <c r="DE508" s="11"/>
      <c r="DF508" s="12"/>
      <c r="DG508" s="12"/>
      <c r="DH508" s="11"/>
      <c r="DI508" s="13"/>
      <c r="DJ508" s="11"/>
      <c r="DK508" s="11"/>
      <c r="DL508" s="13"/>
      <c r="DM508" s="11"/>
      <c r="DN508" s="12"/>
      <c r="DO508" s="12"/>
      <c r="DP508" s="11">
        <v>2</v>
      </c>
      <c r="DQ508" s="13">
        <v>73.87</v>
      </c>
      <c r="DR508" s="11">
        <v>2</v>
      </c>
      <c r="DS508" s="11"/>
      <c r="DT508" s="13"/>
      <c r="DU508" s="11"/>
      <c r="DV508" s="12"/>
      <c r="DW508" s="12"/>
      <c r="DX508" s="11"/>
      <c r="DY508" s="13"/>
      <c r="DZ508" s="11"/>
      <c r="EA508" s="11"/>
      <c r="EB508" s="13"/>
      <c r="EC508" s="11"/>
      <c r="ED508" s="12"/>
      <c r="EE508" s="12"/>
      <c r="EF508" s="11"/>
      <c r="EG508" s="13"/>
      <c r="EH508" s="11"/>
      <c r="EI508" s="11"/>
      <c r="EJ508" s="13"/>
      <c r="EK508" s="11"/>
      <c r="EL508" s="12"/>
      <c r="EM508" s="12"/>
      <c r="EN508" s="11">
        <v>1</v>
      </c>
      <c r="EO508" s="13">
        <v>39.99</v>
      </c>
      <c r="EP508" s="11">
        <v>2</v>
      </c>
      <c r="EQ508" s="11"/>
      <c r="ER508" s="13"/>
      <c r="ES508" s="11"/>
      <c r="ET508" s="12"/>
      <c r="EU508" s="12"/>
      <c r="EV508" s="11"/>
      <c r="EW508" s="13"/>
      <c r="EX508" s="11"/>
      <c r="EY508" s="11"/>
      <c r="EZ508" s="13"/>
      <c r="FA508" s="11"/>
      <c r="FB508" s="12"/>
      <c r="FC508" s="12"/>
      <c r="FD508" s="11"/>
      <c r="FE508" s="13"/>
      <c r="FF508" s="11"/>
      <c r="FG508" s="11"/>
      <c r="FH508" s="13"/>
      <c r="FI508" s="11"/>
      <c r="FJ508" s="12"/>
      <c r="FK508" s="12"/>
      <c r="FL508" s="11"/>
      <c r="FM508" s="13"/>
      <c r="FN508" s="11"/>
      <c r="FO508" s="11"/>
      <c r="FP508" s="13"/>
      <c r="FQ508" s="11"/>
      <c r="FR508" s="12"/>
      <c r="FS508" s="12"/>
      <c r="FT508" s="11"/>
      <c r="FU508" s="13"/>
      <c r="FV508" s="11"/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/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/>
      <c r="GS508" s="13"/>
      <c r="GT508" s="11">
        <v>2</v>
      </c>
      <c r="GU508" s="11"/>
      <c r="GV508" s="13"/>
      <c r="GW508" s="11"/>
      <c r="GX508" s="12"/>
      <c r="GY508" s="12"/>
      <c r="GZ508" s="11"/>
      <c r="HA508" s="13"/>
      <c r="HB508" s="11"/>
      <c r="HC508" s="11"/>
      <c r="HD508" s="13"/>
      <c r="HE508" s="11"/>
      <c r="HF508" s="12"/>
      <c r="HG508" s="12"/>
      <c r="HH508" s="11"/>
      <c r="HI508" s="13"/>
      <c r="HJ508" s="11"/>
      <c r="HK508" s="11"/>
      <c r="HL508" s="13"/>
      <c r="HM508" s="11"/>
      <c r="HN508" s="12"/>
      <c r="HO508" s="12"/>
      <c r="HP508" s="11"/>
      <c r="HQ508" s="13"/>
      <c r="HR508" s="11"/>
      <c r="HS508" s="11"/>
      <c r="HT508" s="13"/>
      <c r="HU508" s="11"/>
      <c r="HV508" s="12"/>
      <c r="HW508" s="12"/>
      <c r="HX508" s="11"/>
      <c r="HY508" s="13"/>
      <c r="HZ508" s="11"/>
      <c r="IA508" s="11"/>
      <c r="IB508" s="13"/>
      <c r="IC508" s="11"/>
      <c r="ID508" s="12"/>
      <c r="IE508" s="12"/>
      <c r="IF508" s="11"/>
      <c r="IG508" s="13"/>
      <c r="IH508" s="11"/>
      <c r="II508" s="11"/>
      <c r="IJ508" s="13"/>
      <c r="IK508" s="11"/>
      <c r="IL508" s="12"/>
      <c r="IM508" s="12"/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/>
      <c r="JG508" s="11"/>
      <c r="JH508" s="13"/>
      <c r="JI508" s="11"/>
      <c r="JJ508" s="12"/>
      <c r="JK508" s="12"/>
      <c r="JL508" s="11"/>
      <c r="JM508" s="13"/>
      <c r="JN508" s="11"/>
      <c r="JO508" s="11"/>
      <c r="JP508" s="13"/>
      <c r="JQ508" s="11"/>
      <c r="JR508" s="12"/>
      <c r="JS508" s="12"/>
      <c r="JT508" s="11"/>
      <c r="JU508" s="13"/>
      <c r="JV508" s="11"/>
      <c r="JW508" s="11"/>
      <c r="JX508" s="13"/>
      <c r="JY508" s="11"/>
      <c r="JZ508" s="12"/>
      <c r="KA508" s="12"/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/>
      <c r="KM508" s="11"/>
      <c r="KN508" s="13"/>
      <c r="KO508" s="11"/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  <c r="LH508" s="11"/>
      <c r="LI508" s="13"/>
      <c r="LJ508" s="11"/>
      <c r="LK508" s="11"/>
      <c r="LL508" s="13"/>
      <c r="LM508" s="11"/>
      <c r="LN508" s="12"/>
      <c r="LO508" s="12"/>
      <c r="LP508" s="11"/>
      <c r="LQ508" s="13"/>
      <c r="LR508" s="11"/>
      <c r="LS508" s="11"/>
      <c r="LT508" s="13"/>
      <c r="LU508" s="11"/>
      <c r="LV508" s="12"/>
      <c r="LW508" s="12"/>
    </row>
    <row r="509">
      <c r="A509" s="10" t="s">
        <v>278</v>
      </c>
      <c r="B509" s="10" t="s">
        <v>88</v>
      </c>
      <c r="C509" s="10" t="s">
        <v>77</v>
      </c>
      <c r="D509" s="11">
        <v>491</v>
      </c>
      <c r="E509" s="11">
        <f>=ROUNDDOWN({0},0)</f>
      </c>
      <c r="F509" s="11"/>
      <c r="G509" s="12"/>
      <c r="H509" s="11"/>
      <c r="I509" s="11">
        <f>=ROUNDDOWN({0},0)</f>
      </c>
      <c r="J509" s="11"/>
      <c r="K509" s="12"/>
      <c r="L509" s="11">
        <v>81</v>
      </c>
      <c r="M509" s="13">
        <v>2215.94</v>
      </c>
      <c r="N509" s="11">
        <v>2</v>
      </c>
      <c r="O509" s="14">
        <v>1107.97</v>
      </c>
      <c r="P509" s="11"/>
      <c r="Q509" s="13"/>
      <c r="R509" s="11"/>
      <c r="S509" s="14"/>
      <c r="T509" s="12"/>
      <c r="U509" s="12"/>
      <c r="V509" s="12"/>
      <c r="W509" s="12"/>
      <c r="X509" s="11"/>
      <c r="Y509" s="13"/>
      <c r="Z509" s="11"/>
      <c r="AA509" s="11"/>
      <c r="AB509" s="13"/>
      <c r="AC509" s="11"/>
      <c r="AD509" s="12"/>
      <c r="AE509" s="12"/>
      <c r="AF509" s="11">
        <v>1</v>
      </c>
      <c r="AG509" s="13">
        <v>6.83</v>
      </c>
      <c r="AH509" s="11">
        <v>2</v>
      </c>
      <c r="AI509" s="11"/>
      <c r="AJ509" s="13"/>
      <c r="AK509" s="11"/>
      <c r="AL509" s="12"/>
      <c r="AM509" s="12"/>
      <c r="AN509" s="11">
        <v>18</v>
      </c>
      <c r="AO509" s="13">
        <v>474.81</v>
      </c>
      <c r="AP509" s="11">
        <v>2</v>
      </c>
      <c r="AQ509" s="11"/>
      <c r="AR509" s="13"/>
      <c r="AS509" s="11"/>
      <c r="AT509" s="12"/>
      <c r="AU509" s="12"/>
      <c r="AV509" s="11">
        <v>24</v>
      </c>
      <c r="AW509" s="13">
        <v>803.5</v>
      </c>
      <c r="AX509" s="11">
        <v>2</v>
      </c>
      <c r="AY509" s="11"/>
      <c r="AZ509" s="13"/>
      <c r="BA509" s="11"/>
      <c r="BB509" s="12"/>
      <c r="BC509" s="12"/>
      <c r="BD509" s="11">
        <v>23</v>
      </c>
      <c r="BE509" s="13">
        <v>379.85</v>
      </c>
      <c r="BF509" s="11">
        <v>2</v>
      </c>
      <c r="BG509" s="11"/>
      <c r="BH509" s="13"/>
      <c r="BI509" s="11"/>
      <c r="BJ509" s="12"/>
      <c r="BK509" s="12"/>
      <c r="BL509" s="11"/>
      <c r="BM509" s="13"/>
      <c r="BN509" s="11">
        <v>2</v>
      </c>
      <c r="BO509" s="11"/>
      <c r="BP509" s="13"/>
      <c r="BQ509" s="11"/>
      <c r="BR509" s="12"/>
      <c r="BS509" s="12"/>
      <c r="BT509" s="11">
        <v>3</v>
      </c>
      <c r="BU509" s="13">
        <v>131.13</v>
      </c>
      <c r="BV509" s="11">
        <v>2</v>
      </c>
      <c r="BW509" s="11"/>
      <c r="BX509" s="13"/>
      <c r="BY509" s="11"/>
      <c r="BZ509" s="12"/>
      <c r="CA509" s="12"/>
      <c r="CB509" s="11">
        <v>9</v>
      </c>
      <c r="CC509" s="13">
        <v>305.96</v>
      </c>
      <c r="CD509" s="11">
        <v>2</v>
      </c>
      <c r="CE509" s="11"/>
      <c r="CF509" s="13"/>
      <c r="CG509" s="11"/>
      <c r="CH509" s="12"/>
      <c r="CI509" s="12"/>
      <c r="CJ509" s="11"/>
      <c r="CK509" s="13"/>
      <c r="CL509" s="11"/>
      <c r="CM509" s="11"/>
      <c r="CN509" s="13"/>
      <c r="CO509" s="11"/>
      <c r="CP509" s="12"/>
      <c r="CQ509" s="12"/>
      <c r="CR509" s="11"/>
      <c r="CS509" s="13"/>
      <c r="CT509" s="11"/>
      <c r="CU509" s="11"/>
      <c r="CV509" s="13"/>
      <c r="CW509" s="11"/>
      <c r="CX509" s="12"/>
      <c r="CY509" s="12"/>
      <c r="CZ509" s="11"/>
      <c r="DA509" s="13"/>
      <c r="DB509" s="11"/>
      <c r="DC509" s="11"/>
      <c r="DD509" s="13"/>
      <c r="DE509" s="11"/>
      <c r="DF509" s="12"/>
      <c r="DG509" s="12"/>
      <c r="DH509" s="11"/>
      <c r="DI509" s="13"/>
      <c r="DJ509" s="11"/>
      <c r="DK509" s="11"/>
      <c r="DL509" s="13"/>
      <c r="DM509" s="11"/>
      <c r="DN509" s="12"/>
      <c r="DO509" s="12"/>
      <c r="DP509" s="11">
        <v>2</v>
      </c>
      <c r="DQ509" s="13">
        <v>73.87</v>
      </c>
      <c r="DR509" s="11">
        <v>2</v>
      </c>
      <c r="DS509" s="11"/>
      <c r="DT509" s="13"/>
      <c r="DU509" s="11"/>
      <c r="DV509" s="12"/>
      <c r="DW509" s="12"/>
      <c r="DX509" s="11"/>
      <c r="DY509" s="13"/>
      <c r="DZ509" s="11"/>
      <c r="EA509" s="11"/>
      <c r="EB509" s="13"/>
      <c r="EC509" s="11"/>
      <c r="ED509" s="12"/>
      <c r="EE509" s="12"/>
      <c r="EF509" s="11"/>
      <c r="EG509" s="13"/>
      <c r="EH509" s="11"/>
      <c r="EI509" s="11"/>
      <c r="EJ509" s="13"/>
      <c r="EK509" s="11"/>
      <c r="EL509" s="12"/>
      <c r="EM509" s="12"/>
      <c r="EN509" s="11">
        <v>1</v>
      </c>
      <c r="EO509" s="13">
        <v>39.99</v>
      </c>
      <c r="EP509" s="11">
        <v>2</v>
      </c>
      <c r="EQ509" s="11"/>
      <c r="ER509" s="13"/>
      <c r="ES509" s="11"/>
      <c r="ET509" s="12"/>
      <c r="EU509" s="12"/>
      <c r="EV509" s="11"/>
      <c r="EW509" s="13"/>
      <c r="EX509" s="11"/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/>
      <c r="FU509" s="13"/>
      <c r="FV509" s="11"/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/>
      <c r="GS509" s="13"/>
      <c r="GT509" s="11">
        <v>2</v>
      </c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/>
      <c r="HI509" s="13"/>
      <c r="HJ509" s="11"/>
      <c r="HK509" s="11"/>
      <c r="HL509" s="13"/>
      <c r="HM509" s="11"/>
      <c r="HN509" s="12"/>
      <c r="HO509" s="12"/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/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/>
      <c r="JO509" s="11"/>
      <c r="JP509" s="13"/>
      <c r="JQ509" s="11"/>
      <c r="JR509" s="12"/>
      <c r="JS509" s="12"/>
      <c r="JT509" s="11"/>
      <c r="JU509" s="13"/>
      <c r="JV509" s="11"/>
      <c r="JW509" s="11"/>
      <c r="JX509" s="13"/>
      <c r="JY509" s="11"/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/>
      <c r="KN509" s="13"/>
      <c r="KO509" s="11"/>
      <c r="KP509" s="12"/>
      <c r="KQ509" s="12"/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  <c r="LH509" s="11"/>
      <c r="LI509" s="13"/>
      <c r="LJ509" s="11"/>
      <c r="LK509" s="11"/>
      <c r="LL509" s="13"/>
      <c r="LM509" s="11"/>
      <c r="LN509" s="12"/>
      <c r="LO509" s="12"/>
      <c r="LP509" s="11"/>
      <c r="LQ509" s="13"/>
      <c r="LR509" s="11"/>
      <c r="LS509" s="11"/>
      <c r="LT509" s="13"/>
      <c r="LU509" s="11"/>
      <c r="LV509" s="12"/>
      <c r="LW509" s="12"/>
    </row>
    <row r="510">
      <c r="A510" s="10" t="s">
        <v>278</v>
      </c>
      <c r="B510" s="10" t="s">
        <v>89</v>
      </c>
      <c r="C510" s="10" t="s">
        <v>279</v>
      </c>
      <c r="D510" s="11">
        <v>79338</v>
      </c>
      <c r="E510" s="11">
        <f>=ROUNDDOWN(24.6360700534095,0)</f>
      </c>
      <c r="F510" s="11">
        <v>75729</v>
      </c>
      <c r="G510" s="12">
        <v>0.8633</v>
      </c>
      <c r="H510" s="11"/>
      <c r="I510" s="11">
        <f>=ROUNDDOWN({0},0)</f>
      </c>
      <c r="J510" s="11"/>
      <c r="K510" s="12"/>
      <c r="L510" s="11">
        <v>36686</v>
      </c>
      <c r="M510" s="13">
        <v>704158.37</v>
      </c>
      <c r="N510" s="11">
        <v>261</v>
      </c>
      <c r="O510" s="14">
        <v>2697.92</v>
      </c>
      <c r="P510" s="11"/>
      <c r="Q510" s="13"/>
      <c r="R510" s="11"/>
      <c r="S510" s="14"/>
      <c r="T510" s="12"/>
      <c r="U510" s="12"/>
      <c r="V510" s="12"/>
      <c r="W510" s="12"/>
      <c r="X510" s="11">
        <v>36535</v>
      </c>
      <c r="Y510" s="13">
        <v>697808.38</v>
      </c>
      <c r="Z510" s="11">
        <v>261</v>
      </c>
      <c r="AA510" s="11"/>
      <c r="AB510" s="13"/>
      <c r="AC510" s="11"/>
      <c r="AD510" s="12"/>
      <c r="AE510" s="12"/>
      <c r="AF510" s="11"/>
      <c r="AG510" s="13"/>
      <c r="AH510" s="11"/>
      <c r="AI510" s="11"/>
      <c r="AJ510" s="13"/>
      <c r="AK510" s="11"/>
      <c r="AL510" s="12"/>
      <c r="AM510" s="12"/>
      <c r="AN510" s="11"/>
      <c r="AO510" s="13"/>
      <c r="AP510" s="11"/>
      <c r="AQ510" s="11"/>
      <c r="AR510" s="13"/>
      <c r="AS510" s="11"/>
      <c r="AT510" s="12"/>
      <c r="AU510" s="12"/>
      <c r="AV510" s="11"/>
      <c r="AW510" s="13"/>
      <c r="AX510" s="11"/>
      <c r="AY510" s="11"/>
      <c r="AZ510" s="13"/>
      <c r="BA510" s="11"/>
      <c r="BB510" s="12"/>
      <c r="BC510" s="12"/>
      <c r="BD510" s="11"/>
      <c r="BE510" s="13"/>
      <c r="BF510" s="11"/>
      <c r="BG510" s="11"/>
      <c r="BH510" s="13"/>
      <c r="BI510" s="11"/>
      <c r="BJ510" s="12"/>
      <c r="BK510" s="12"/>
      <c r="BL510" s="11"/>
      <c r="BM510" s="13"/>
      <c r="BN510" s="11"/>
      <c r="BO510" s="11"/>
      <c r="BP510" s="13"/>
      <c r="BQ510" s="11"/>
      <c r="BR510" s="12"/>
      <c r="BS510" s="12"/>
      <c r="BT510" s="11"/>
      <c r="BU510" s="13"/>
      <c r="BV510" s="11"/>
      <c r="BW510" s="11"/>
      <c r="BX510" s="13"/>
      <c r="BY510" s="11"/>
      <c r="BZ510" s="12"/>
      <c r="CA510" s="12"/>
      <c r="CB510" s="11"/>
      <c r="CC510" s="13"/>
      <c r="CD510" s="11"/>
      <c r="CE510" s="11"/>
      <c r="CF510" s="13"/>
      <c r="CG510" s="11"/>
      <c r="CH510" s="12"/>
      <c r="CI510" s="12"/>
      <c r="CJ510" s="11"/>
      <c r="CK510" s="13"/>
      <c r="CL510" s="11">
        <v>32</v>
      </c>
      <c r="CM510" s="11"/>
      <c r="CN510" s="13"/>
      <c r="CO510" s="11"/>
      <c r="CP510" s="12"/>
      <c r="CQ510" s="12"/>
      <c r="CR510" s="11"/>
      <c r="CS510" s="13"/>
      <c r="CT510" s="11"/>
      <c r="CU510" s="11"/>
      <c r="CV510" s="13"/>
      <c r="CW510" s="11"/>
      <c r="CX510" s="12"/>
      <c r="CY510" s="12"/>
      <c r="CZ510" s="11"/>
      <c r="DA510" s="13"/>
      <c r="DB510" s="11"/>
      <c r="DC510" s="11"/>
      <c r="DD510" s="13"/>
      <c r="DE510" s="11"/>
      <c r="DF510" s="12"/>
      <c r="DG510" s="12"/>
      <c r="DH510" s="11"/>
      <c r="DI510" s="13"/>
      <c r="DJ510" s="11"/>
      <c r="DK510" s="11"/>
      <c r="DL510" s="13"/>
      <c r="DM510" s="11"/>
      <c r="DN510" s="12"/>
      <c r="DO510" s="12"/>
      <c r="DP510" s="11"/>
      <c r="DQ510" s="13"/>
      <c r="DR510" s="11"/>
      <c r="DS510" s="11"/>
      <c r="DT510" s="13"/>
      <c r="DU510" s="11"/>
      <c r="DV510" s="12"/>
      <c r="DW510" s="12"/>
      <c r="DX510" s="11"/>
      <c r="DY510" s="13"/>
      <c r="DZ510" s="11"/>
      <c r="EA510" s="11"/>
      <c r="EB510" s="13"/>
      <c r="EC510" s="11"/>
      <c r="ED510" s="12"/>
      <c r="EE510" s="12"/>
      <c r="EF510" s="11"/>
      <c r="EG510" s="13"/>
      <c r="EH510" s="11"/>
      <c r="EI510" s="11"/>
      <c r="EJ510" s="13"/>
      <c r="EK510" s="11"/>
      <c r="EL510" s="12"/>
      <c r="EM510" s="12"/>
      <c r="EN510" s="11">
        <v>151</v>
      </c>
      <c r="EO510" s="13">
        <v>6349.99</v>
      </c>
      <c r="EP510" s="11">
        <v>71</v>
      </c>
      <c r="EQ510" s="11"/>
      <c r="ER510" s="13"/>
      <c r="ES510" s="11"/>
      <c r="ET510" s="12"/>
      <c r="EU510" s="12"/>
      <c r="EV510" s="11"/>
      <c r="EW510" s="13"/>
      <c r="EX510" s="11">
        <v>1</v>
      </c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/>
      <c r="FZ510" s="12"/>
      <c r="GA510" s="12"/>
      <c r="GB510" s="11"/>
      <c r="GC510" s="13"/>
      <c r="GD510" s="11"/>
      <c r="GE510" s="11"/>
      <c r="GF510" s="13"/>
      <c r="GG510" s="11"/>
      <c r="GH510" s="12"/>
      <c r="GI510" s="12"/>
      <c r="GJ510" s="11"/>
      <c r="GK510" s="13"/>
      <c r="GL510" s="11"/>
      <c r="GM510" s="11"/>
      <c r="GN510" s="13"/>
      <c r="GO510" s="11"/>
      <c r="GP510" s="12"/>
      <c r="GQ510" s="12"/>
      <c r="GR510" s="11"/>
      <c r="GS510" s="13"/>
      <c r="GT510" s="11"/>
      <c r="GU510" s="11"/>
      <c r="GV510" s="13"/>
      <c r="GW510" s="11"/>
      <c r="GX510" s="12"/>
      <c r="GY510" s="12"/>
      <c r="GZ510" s="11"/>
      <c r="HA510" s="13"/>
      <c r="HB510" s="11"/>
      <c r="HC510" s="11"/>
      <c r="HD510" s="13"/>
      <c r="HE510" s="11"/>
      <c r="HF510" s="12"/>
      <c r="HG510" s="12"/>
      <c r="HH510" s="11"/>
      <c r="HI510" s="13"/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/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/>
      <c r="IG510" s="13"/>
      <c r="IH510" s="11"/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/>
      <c r="JP510" s="13"/>
      <c r="JQ510" s="11"/>
      <c r="JR510" s="12"/>
      <c r="JS510" s="12"/>
      <c r="JT510" s="11"/>
      <c r="JU510" s="13"/>
      <c r="JV510" s="11"/>
      <c r="JW510" s="11"/>
      <c r="JX510" s="13"/>
      <c r="JY510" s="11"/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/>
      <c r="KN510" s="13"/>
      <c r="KO510" s="11"/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  <c r="LH510" s="11"/>
      <c r="LI510" s="13"/>
      <c r="LJ510" s="11"/>
      <c r="LK510" s="11"/>
      <c r="LL510" s="13"/>
      <c r="LM510" s="11"/>
      <c r="LN510" s="12"/>
      <c r="LO510" s="12"/>
      <c r="LP510" s="11"/>
      <c r="LQ510" s="13"/>
      <c r="LR510" s="11"/>
      <c r="LS510" s="11"/>
      <c r="LT510" s="13"/>
      <c r="LU510" s="11"/>
      <c r="LV510" s="12"/>
      <c r="LW510" s="12"/>
    </row>
    <row r="511">
      <c r="A511" s="10" t="s">
        <v>278</v>
      </c>
      <c r="B511" s="10" t="s">
        <v>90</v>
      </c>
      <c r="C511" s="10" t="s">
        <v>77</v>
      </c>
      <c r="D511" s="11">
        <v>79338</v>
      </c>
      <c r="E511" s="11">
        <f>=ROUNDDOWN({0},0)</f>
      </c>
      <c r="F511" s="11">
        <v>75729</v>
      </c>
      <c r="G511" s="12"/>
      <c r="H511" s="11"/>
      <c r="I511" s="11">
        <f>=ROUNDDOWN({0},0)</f>
      </c>
      <c r="J511" s="11"/>
      <c r="K511" s="12"/>
      <c r="L511" s="11">
        <v>36686</v>
      </c>
      <c r="M511" s="13">
        <v>704158.37</v>
      </c>
      <c r="N511" s="11">
        <v>261</v>
      </c>
      <c r="O511" s="14">
        <v>2697.92</v>
      </c>
      <c r="P511" s="11"/>
      <c r="Q511" s="13"/>
      <c r="R511" s="11"/>
      <c r="S511" s="14"/>
      <c r="T511" s="12"/>
      <c r="U511" s="12"/>
      <c r="V511" s="12"/>
      <c r="W511" s="12"/>
      <c r="X511" s="11">
        <v>36535</v>
      </c>
      <c r="Y511" s="13">
        <v>697808.38</v>
      </c>
      <c r="Z511" s="11">
        <v>261</v>
      </c>
      <c r="AA511" s="11"/>
      <c r="AB511" s="13"/>
      <c r="AC511" s="11"/>
      <c r="AD511" s="12"/>
      <c r="AE511" s="12"/>
      <c r="AF511" s="11"/>
      <c r="AG511" s="13"/>
      <c r="AH511" s="11"/>
      <c r="AI511" s="11"/>
      <c r="AJ511" s="13"/>
      <c r="AK511" s="11"/>
      <c r="AL511" s="12"/>
      <c r="AM511" s="12"/>
      <c r="AN511" s="11"/>
      <c r="AO511" s="13"/>
      <c r="AP511" s="11"/>
      <c r="AQ511" s="11"/>
      <c r="AR511" s="13"/>
      <c r="AS511" s="11"/>
      <c r="AT511" s="12"/>
      <c r="AU511" s="12"/>
      <c r="AV511" s="11"/>
      <c r="AW511" s="13"/>
      <c r="AX511" s="11"/>
      <c r="AY511" s="11"/>
      <c r="AZ511" s="13"/>
      <c r="BA511" s="11"/>
      <c r="BB511" s="12"/>
      <c r="BC511" s="12"/>
      <c r="BD511" s="11"/>
      <c r="BE511" s="13"/>
      <c r="BF511" s="11"/>
      <c r="BG511" s="11"/>
      <c r="BH511" s="13"/>
      <c r="BI511" s="11"/>
      <c r="BJ511" s="12"/>
      <c r="BK511" s="12"/>
      <c r="BL511" s="11"/>
      <c r="BM511" s="13"/>
      <c r="BN511" s="11"/>
      <c r="BO511" s="11"/>
      <c r="BP511" s="13"/>
      <c r="BQ511" s="11"/>
      <c r="BR511" s="12"/>
      <c r="BS511" s="12"/>
      <c r="BT511" s="11"/>
      <c r="BU511" s="13"/>
      <c r="BV511" s="11"/>
      <c r="BW511" s="11"/>
      <c r="BX511" s="13"/>
      <c r="BY511" s="11"/>
      <c r="BZ511" s="12"/>
      <c r="CA511" s="12"/>
      <c r="CB511" s="11"/>
      <c r="CC511" s="13"/>
      <c r="CD511" s="11"/>
      <c r="CE511" s="11"/>
      <c r="CF511" s="13"/>
      <c r="CG511" s="11"/>
      <c r="CH511" s="12"/>
      <c r="CI511" s="12"/>
      <c r="CJ511" s="11"/>
      <c r="CK511" s="13"/>
      <c r="CL511" s="11">
        <v>32</v>
      </c>
      <c r="CM511" s="11"/>
      <c r="CN511" s="13"/>
      <c r="CO511" s="11"/>
      <c r="CP511" s="12"/>
      <c r="CQ511" s="12"/>
      <c r="CR511" s="11"/>
      <c r="CS511" s="13"/>
      <c r="CT511" s="11"/>
      <c r="CU511" s="11"/>
      <c r="CV511" s="13"/>
      <c r="CW511" s="11"/>
      <c r="CX511" s="12"/>
      <c r="CY511" s="12"/>
      <c r="CZ511" s="11"/>
      <c r="DA511" s="13"/>
      <c r="DB511" s="11"/>
      <c r="DC511" s="11"/>
      <c r="DD511" s="13"/>
      <c r="DE511" s="11"/>
      <c r="DF511" s="12"/>
      <c r="DG511" s="12"/>
      <c r="DH511" s="11"/>
      <c r="DI511" s="13"/>
      <c r="DJ511" s="11"/>
      <c r="DK511" s="11"/>
      <c r="DL511" s="13"/>
      <c r="DM511" s="11"/>
      <c r="DN511" s="12"/>
      <c r="DO511" s="12"/>
      <c r="DP511" s="11"/>
      <c r="DQ511" s="13"/>
      <c r="DR511" s="11"/>
      <c r="DS511" s="11"/>
      <c r="DT511" s="13"/>
      <c r="DU511" s="11"/>
      <c r="DV511" s="12"/>
      <c r="DW511" s="12"/>
      <c r="DX511" s="11"/>
      <c r="DY511" s="13"/>
      <c r="DZ511" s="11"/>
      <c r="EA511" s="11"/>
      <c r="EB511" s="13"/>
      <c r="EC511" s="11"/>
      <c r="ED511" s="12"/>
      <c r="EE511" s="12"/>
      <c r="EF511" s="11"/>
      <c r="EG511" s="13"/>
      <c r="EH511" s="11"/>
      <c r="EI511" s="11"/>
      <c r="EJ511" s="13"/>
      <c r="EK511" s="11"/>
      <c r="EL511" s="12"/>
      <c r="EM511" s="12"/>
      <c r="EN511" s="11">
        <v>151</v>
      </c>
      <c r="EO511" s="13">
        <v>6349.99</v>
      </c>
      <c r="EP511" s="11">
        <v>71</v>
      </c>
      <c r="EQ511" s="11"/>
      <c r="ER511" s="13"/>
      <c r="ES511" s="11"/>
      <c r="ET511" s="12"/>
      <c r="EU511" s="12"/>
      <c r="EV511" s="11"/>
      <c r="EW511" s="13"/>
      <c r="EX511" s="11">
        <v>1</v>
      </c>
      <c r="EY511" s="11"/>
      <c r="EZ511" s="13"/>
      <c r="FA511" s="11"/>
      <c r="FB511" s="12"/>
      <c r="FC511" s="12"/>
      <c r="FD511" s="11"/>
      <c r="FE511" s="13"/>
      <c r="FF511" s="11"/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/>
      <c r="FZ511" s="12"/>
      <c r="GA511" s="12"/>
      <c r="GB511" s="11"/>
      <c r="GC511" s="13"/>
      <c r="GD511" s="11"/>
      <c r="GE511" s="11"/>
      <c r="GF511" s="13"/>
      <c r="GG511" s="11"/>
      <c r="GH511" s="12"/>
      <c r="GI511" s="12"/>
      <c r="GJ511" s="11"/>
      <c r="GK511" s="13"/>
      <c r="GL511" s="11"/>
      <c r="GM511" s="11"/>
      <c r="GN511" s="13"/>
      <c r="GO511" s="11"/>
      <c r="GP511" s="12"/>
      <c r="GQ511" s="12"/>
      <c r="GR511" s="11"/>
      <c r="GS511" s="13"/>
      <c r="GT511" s="11"/>
      <c r="GU511" s="11"/>
      <c r="GV511" s="13"/>
      <c r="GW511" s="11"/>
      <c r="GX511" s="12"/>
      <c r="GY511" s="12"/>
      <c r="GZ511" s="11"/>
      <c r="HA511" s="13"/>
      <c r="HB511" s="11"/>
      <c r="HC511" s="11"/>
      <c r="HD511" s="13"/>
      <c r="HE511" s="11"/>
      <c r="HF511" s="12"/>
      <c r="HG511" s="12"/>
      <c r="HH511" s="11"/>
      <c r="HI511" s="13"/>
      <c r="HJ511" s="11"/>
      <c r="HK511" s="11"/>
      <c r="HL511" s="13"/>
      <c r="HM511" s="11"/>
      <c r="HN511" s="12"/>
      <c r="HO511" s="12"/>
      <c r="HP511" s="11"/>
      <c r="HQ511" s="13"/>
      <c r="HR511" s="11"/>
      <c r="HS511" s="11"/>
      <c r="HT511" s="13"/>
      <c r="HU511" s="11"/>
      <c r="HV511" s="12"/>
      <c r="HW511" s="12"/>
      <c r="HX511" s="11"/>
      <c r="HY511" s="13"/>
      <c r="HZ511" s="11"/>
      <c r="IA511" s="11"/>
      <c r="IB511" s="13"/>
      <c r="IC511" s="11"/>
      <c r="ID511" s="12"/>
      <c r="IE511" s="12"/>
      <c r="IF511" s="11"/>
      <c r="IG511" s="13"/>
      <c r="IH511" s="11"/>
      <c r="II511" s="11"/>
      <c r="IJ511" s="13"/>
      <c r="IK511" s="11"/>
      <c r="IL511" s="12"/>
      <c r="IM511" s="12"/>
      <c r="IN511" s="11"/>
      <c r="IO511" s="13"/>
      <c r="IP511" s="11"/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/>
      <c r="JP511" s="13"/>
      <c r="JQ511" s="11"/>
      <c r="JR511" s="12"/>
      <c r="JS511" s="12"/>
      <c r="JT511" s="11"/>
      <c r="JU511" s="13"/>
      <c r="JV511" s="11"/>
      <c r="JW511" s="11"/>
      <c r="JX511" s="13"/>
      <c r="JY511" s="11"/>
      <c r="JZ511" s="12"/>
      <c r="KA511" s="12"/>
      <c r="KB511" s="11"/>
      <c r="KC511" s="13"/>
      <c r="KD511" s="11"/>
      <c r="KE511" s="11"/>
      <c r="KF511" s="13"/>
      <c r="KG511" s="11"/>
      <c r="KH511" s="12"/>
      <c r="KI511" s="12"/>
      <c r="KJ511" s="11"/>
      <c r="KK511" s="13"/>
      <c r="KL511" s="11"/>
      <c r="KM511" s="11"/>
      <c r="KN511" s="13"/>
      <c r="KO511" s="11"/>
      <c r="KP511" s="12"/>
      <c r="KQ511" s="12"/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  <c r="LH511" s="11"/>
      <c r="LI511" s="13"/>
      <c r="LJ511" s="11"/>
      <c r="LK511" s="11"/>
      <c r="LL511" s="13"/>
      <c r="LM511" s="11"/>
      <c r="LN511" s="12"/>
      <c r="LO511" s="12"/>
      <c r="LP511" s="11"/>
      <c r="LQ511" s="13"/>
      <c r="LR511" s="11"/>
      <c r="LS511" s="11"/>
      <c r="LT511" s="13"/>
      <c r="LU511" s="11"/>
      <c r="LV511" s="12"/>
      <c r="LW511" s="12"/>
    </row>
    <row r="512">
      <c r="A512" s="10" t="s">
        <v>278</v>
      </c>
      <c r="B512" s="10" t="s">
        <v>170</v>
      </c>
      <c r="C512" s="10" t="s">
        <v>279</v>
      </c>
      <c r="D512" s="11">
        <v>1744</v>
      </c>
      <c r="E512" s="11">
        <f>=ROUNDDOWN(24.9856733524355,0)</f>
      </c>
      <c r="F512" s="11">
        <v>1942</v>
      </c>
      <c r="G512" s="12">
        <v>0.9428</v>
      </c>
      <c r="H512" s="11"/>
      <c r="I512" s="11">
        <f>=ROUNDDOWN({0},0)</f>
      </c>
      <c r="J512" s="11"/>
      <c r="K512" s="12"/>
      <c r="L512" s="11">
        <v>835</v>
      </c>
      <c r="M512" s="13">
        <v>50366.32</v>
      </c>
      <c r="N512" s="11">
        <v>23</v>
      </c>
      <c r="O512" s="14">
        <v>2189.84</v>
      </c>
      <c r="P512" s="11"/>
      <c r="Q512" s="13"/>
      <c r="R512" s="11"/>
      <c r="S512" s="14"/>
      <c r="T512" s="12"/>
      <c r="U512" s="12"/>
      <c r="V512" s="12"/>
      <c r="W512" s="12"/>
      <c r="X512" s="11">
        <v>141</v>
      </c>
      <c r="Y512" s="13">
        <v>8818.2</v>
      </c>
      <c r="Z512" s="11">
        <v>13</v>
      </c>
      <c r="AA512" s="11"/>
      <c r="AB512" s="13"/>
      <c r="AC512" s="11"/>
      <c r="AD512" s="12"/>
      <c r="AE512" s="12"/>
      <c r="AF512" s="11">
        <v>112</v>
      </c>
      <c r="AG512" s="13">
        <v>5510.97</v>
      </c>
      <c r="AH512" s="11">
        <v>23</v>
      </c>
      <c r="AI512" s="11"/>
      <c r="AJ512" s="13"/>
      <c r="AK512" s="11"/>
      <c r="AL512" s="12"/>
      <c r="AM512" s="12"/>
      <c r="AN512" s="11">
        <v>209</v>
      </c>
      <c r="AO512" s="13">
        <v>13121.18</v>
      </c>
      <c r="AP512" s="11">
        <v>23</v>
      </c>
      <c r="AQ512" s="11"/>
      <c r="AR512" s="13"/>
      <c r="AS512" s="11"/>
      <c r="AT512" s="12"/>
      <c r="AU512" s="12"/>
      <c r="AV512" s="11"/>
      <c r="AW512" s="13"/>
      <c r="AX512" s="11"/>
      <c r="AY512" s="11"/>
      <c r="AZ512" s="13"/>
      <c r="BA512" s="11"/>
      <c r="BB512" s="12"/>
      <c r="BC512" s="12"/>
      <c r="BD512" s="11">
        <v>77</v>
      </c>
      <c r="BE512" s="13">
        <v>4204.54</v>
      </c>
      <c r="BF512" s="11">
        <v>23</v>
      </c>
      <c r="BG512" s="11"/>
      <c r="BH512" s="13"/>
      <c r="BI512" s="11"/>
      <c r="BJ512" s="12"/>
      <c r="BK512" s="12"/>
      <c r="BL512" s="11">
        <v>31</v>
      </c>
      <c r="BM512" s="13">
        <v>1973.4</v>
      </c>
      <c r="BN512" s="11">
        <v>23</v>
      </c>
      <c r="BO512" s="11"/>
      <c r="BP512" s="13"/>
      <c r="BQ512" s="11"/>
      <c r="BR512" s="12"/>
      <c r="BS512" s="12"/>
      <c r="BT512" s="11">
        <v>48</v>
      </c>
      <c r="BU512" s="13">
        <v>2521.68</v>
      </c>
      <c r="BV512" s="11">
        <v>23</v>
      </c>
      <c r="BW512" s="11"/>
      <c r="BX512" s="13"/>
      <c r="BY512" s="11"/>
      <c r="BZ512" s="12"/>
      <c r="CA512" s="12"/>
      <c r="CB512" s="11">
        <v>163</v>
      </c>
      <c r="CC512" s="13">
        <v>9756.09</v>
      </c>
      <c r="CD512" s="11">
        <v>23</v>
      </c>
      <c r="CE512" s="11"/>
      <c r="CF512" s="13"/>
      <c r="CG512" s="11"/>
      <c r="CH512" s="12"/>
      <c r="CI512" s="12"/>
      <c r="CJ512" s="11">
        <v>4</v>
      </c>
      <c r="CK512" s="13">
        <v>514.96</v>
      </c>
      <c r="CL512" s="11">
        <v>22</v>
      </c>
      <c r="CM512" s="11"/>
      <c r="CN512" s="13"/>
      <c r="CO512" s="11"/>
      <c r="CP512" s="12"/>
      <c r="CQ512" s="12"/>
      <c r="CR512" s="11"/>
      <c r="CS512" s="13"/>
      <c r="CT512" s="11"/>
      <c r="CU512" s="11"/>
      <c r="CV512" s="13"/>
      <c r="CW512" s="11"/>
      <c r="CX512" s="12"/>
      <c r="CY512" s="12"/>
      <c r="CZ512" s="11"/>
      <c r="DA512" s="13"/>
      <c r="DB512" s="11"/>
      <c r="DC512" s="11"/>
      <c r="DD512" s="13"/>
      <c r="DE512" s="11"/>
      <c r="DF512" s="12"/>
      <c r="DG512" s="12"/>
      <c r="DH512" s="11"/>
      <c r="DI512" s="13"/>
      <c r="DJ512" s="11"/>
      <c r="DK512" s="11"/>
      <c r="DL512" s="13"/>
      <c r="DM512" s="11"/>
      <c r="DN512" s="12"/>
      <c r="DO512" s="12"/>
      <c r="DP512" s="11">
        <v>18</v>
      </c>
      <c r="DQ512" s="13">
        <v>953.87</v>
      </c>
      <c r="DR512" s="11">
        <v>23</v>
      </c>
      <c r="DS512" s="11"/>
      <c r="DT512" s="13"/>
      <c r="DU512" s="11"/>
      <c r="DV512" s="12"/>
      <c r="DW512" s="12"/>
      <c r="DX512" s="11">
        <v>10</v>
      </c>
      <c r="DY512" s="13">
        <v>438.07</v>
      </c>
      <c r="DZ512" s="11">
        <v>15</v>
      </c>
      <c r="EA512" s="11"/>
      <c r="EB512" s="13"/>
      <c r="EC512" s="11"/>
      <c r="ED512" s="12"/>
      <c r="EE512" s="12"/>
      <c r="EF512" s="11"/>
      <c r="EG512" s="13"/>
      <c r="EH512" s="11"/>
      <c r="EI512" s="11"/>
      <c r="EJ512" s="13"/>
      <c r="EK512" s="11"/>
      <c r="EL512" s="12"/>
      <c r="EM512" s="12"/>
      <c r="EN512" s="11">
        <v>3</v>
      </c>
      <c r="EO512" s="13">
        <v>254.97</v>
      </c>
      <c r="EP512" s="11">
        <v>23</v>
      </c>
      <c r="EQ512" s="11"/>
      <c r="ER512" s="13"/>
      <c r="ES512" s="11"/>
      <c r="ET512" s="12"/>
      <c r="EU512" s="12"/>
      <c r="EV512" s="11"/>
      <c r="EW512" s="13"/>
      <c r="EX512" s="11"/>
      <c r="EY512" s="11"/>
      <c r="EZ512" s="13"/>
      <c r="FA512" s="11"/>
      <c r="FB512" s="12"/>
      <c r="FC512" s="12"/>
      <c r="FD512" s="11"/>
      <c r="FE512" s="13"/>
      <c r="FF512" s="11"/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/>
      <c r="FU512" s="13"/>
      <c r="FV512" s="11"/>
      <c r="FW512" s="11"/>
      <c r="FX512" s="13"/>
      <c r="FY512" s="11"/>
      <c r="FZ512" s="12"/>
      <c r="GA512" s="12"/>
      <c r="GB512" s="11"/>
      <c r="GC512" s="13"/>
      <c r="GD512" s="11"/>
      <c r="GE512" s="11"/>
      <c r="GF512" s="13"/>
      <c r="GG512" s="11"/>
      <c r="GH512" s="12"/>
      <c r="GI512" s="12"/>
      <c r="GJ512" s="11"/>
      <c r="GK512" s="13"/>
      <c r="GL512" s="11"/>
      <c r="GM512" s="11"/>
      <c r="GN512" s="13"/>
      <c r="GO512" s="11"/>
      <c r="GP512" s="12"/>
      <c r="GQ512" s="12"/>
      <c r="GR512" s="11">
        <v>1</v>
      </c>
      <c r="GS512" s="13">
        <v>71.57</v>
      </c>
      <c r="GT512" s="11">
        <v>23</v>
      </c>
      <c r="GU512" s="11"/>
      <c r="GV512" s="13"/>
      <c r="GW512" s="11"/>
      <c r="GX512" s="12"/>
      <c r="GY512" s="12"/>
      <c r="GZ512" s="11"/>
      <c r="HA512" s="13"/>
      <c r="HB512" s="11"/>
      <c r="HC512" s="11"/>
      <c r="HD512" s="13"/>
      <c r="HE512" s="11"/>
      <c r="HF512" s="12"/>
      <c r="HG512" s="12"/>
      <c r="HH512" s="11"/>
      <c r="HI512" s="13"/>
      <c r="HJ512" s="11"/>
      <c r="HK512" s="11"/>
      <c r="HL512" s="13"/>
      <c r="HM512" s="11"/>
      <c r="HN512" s="12"/>
      <c r="HO512" s="12"/>
      <c r="HP512" s="11"/>
      <c r="HQ512" s="13"/>
      <c r="HR512" s="11"/>
      <c r="HS512" s="11"/>
      <c r="HT512" s="13"/>
      <c r="HU512" s="11"/>
      <c r="HV512" s="12"/>
      <c r="HW512" s="12"/>
      <c r="HX512" s="11"/>
      <c r="HY512" s="13"/>
      <c r="HZ512" s="11"/>
      <c r="IA512" s="11"/>
      <c r="IB512" s="13"/>
      <c r="IC512" s="11"/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>
        <v>18</v>
      </c>
      <c r="IO512" s="13">
        <v>2226.82</v>
      </c>
      <c r="IP512" s="11">
        <v>23</v>
      </c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/>
      <c r="JE512" s="13"/>
      <c r="JF512" s="11"/>
      <c r="JG512" s="11"/>
      <c r="JH512" s="13"/>
      <c r="JI512" s="11"/>
      <c r="JJ512" s="12"/>
      <c r="JK512" s="12"/>
      <c r="JL512" s="11"/>
      <c r="JM512" s="13"/>
      <c r="JN512" s="11"/>
      <c r="JO512" s="11"/>
      <c r="JP512" s="13"/>
      <c r="JQ512" s="11"/>
      <c r="JR512" s="12"/>
      <c r="JS512" s="12"/>
      <c r="JT512" s="11"/>
      <c r="JU512" s="13"/>
      <c r="JV512" s="11"/>
      <c r="JW512" s="11"/>
      <c r="JX512" s="13"/>
      <c r="JY512" s="11"/>
      <c r="JZ512" s="12"/>
      <c r="KA512" s="12"/>
      <c r="KB512" s="11"/>
      <c r="KC512" s="13"/>
      <c r="KD512" s="11"/>
      <c r="KE512" s="11"/>
      <c r="KF512" s="13"/>
      <c r="KG512" s="11"/>
      <c r="KH512" s="12"/>
      <c r="KI512" s="12"/>
      <c r="KJ512" s="11"/>
      <c r="KK512" s="13"/>
      <c r="KL512" s="11"/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  <c r="LH512" s="11"/>
      <c r="LI512" s="13"/>
      <c r="LJ512" s="11"/>
      <c r="LK512" s="11"/>
      <c r="LL512" s="13"/>
      <c r="LM512" s="11"/>
      <c r="LN512" s="12"/>
      <c r="LO512" s="12"/>
      <c r="LP512" s="11"/>
      <c r="LQ512" s="13"/>
      <c r="LR512" s="11"/>
      <c r="LS512" s="11"/>
      <c r="LT512" s="13"/>
      <c r="LU512" s="11"/>
      <c r="LV512" s="12"/>
      <c r="LW512" s="12"/>
    </row>
    <row r="513">
      <c r="A513" s="10" t="s">
        <v>278</v>
      </c>
      <c r="B513" s="10" t="s">
        <v>171</v>
      </c>
      <c r="C513" s="10" t="s">
        <v>77</v>
      </c>
      <c r="D513" s="11">
        <v>1744</v>
      </c>
      <c r="E513" s="11">
        <f>=ROUNDDOWN({0},0)</f>
      </c>
      <c r="F513" s="11">
        <v>1942</v>
      </c>
      <c r="G513" s="12"/>
      <c r="H513" s="11"/>
      <c r="I513" s="11">
        <f>=ROUNDDOWN({0},0)</f>
      </c>
      <c r="J513" s="11"/>
      <c r="K513" s="12"/>
      <c r="L513" s="11">
        <v>835</v>
      </c>
      <c r="M513" s="13">
        <v>50366.32</v>
      </c>
      <c r="N513" s="11">
        <v>23</v>
      </c>
      <c r="O513" s="14">
        <v>2189.84</v>
      </c>
      <c r="P513" s="11"/>
      <c r="Q513" s="13"/>
      <c r="R513" s="11"/>
      <c r="S513" s="14"/>
      <c r="T513" s="12"/>
      <c r="U513" s="12"/>
      <c r="V513" s="12"/>
      <c r="W513" s="12"/>
      <c r="X513" s="11">
        <v>141</v>
      </c>
      <c r="Y513" s="13">
        <v>8818.2</v>
      </c>
      <c r="Z513" s="11">
        <v>13</v>
      </c>
      <c r="AA513" s="11"/>
      <c r="AB513" s="13"/>
      <c r="AC513" s="11"/>
      <c r="AD513" s="12"/>
      <c r="AE513" s="12"/>
      <c r="AF513" s="11">
        <v>112</v>
      </c>
      <c r="AG513" s="13">
        <v>5510.97</v>
      </c>
      <c r="AH513" s="11">
        <v>23</v>
      </c>
      <c r="AI513" s="11"/>
      <c r="AJ513" s="13"/>
      <c r="AK513" s="11"/>
      <c r="AL513" s="12"/>
      <c r="AM513" s="12"/>
      <c r="AN513" s="11">
        <v>209</v>
      </c>
      <c r="AO513" s="13">
        <v>13121.18</v>
      </c>
      <c r="AP513" s="11">
        <v>23</v>
      </c>
      <c r="AQ513" s="11"/>
      <c r="AR513" s="13"/>
      <c r="AS513" s="11"/>
      <c r="AT513" s="12"/>
      <c r="AU513" s="12"/>
      <c r="AV513" s="11"/>
      <c r="AW513" s="13"/>
      <c r="AX513" s="11"/>
      <c r="AY513" s="11"/>
      <c r="AZ513" s="13"/>
      <c r="BA513" s="11"/>
      <c r="BB513" s="12"/>
      <c r="BC513" s="12"/>
      <c r="BD513" s="11">
        <v>77</v>
      </c>
      <c r="BE513" s="13">
        <v>4204.54</v>
      </c>
      <c r="BF513" s="11">
        <v>23</v>
      </c>
      <c r="BG513" s="11"/>
      <c r="BH513" s="13"/>
      <c r="BI513" s="11"/>
      <c r="BJ513" s="12"/>
      <c r="BK513" s="12"/>
      <c r="BL513" s="11">
        <v>31</v>
      </c>
      <c r="BM513" s="13">
        <v>1973.4</v>
      </c>
      <c r="BN513" s="11">
        <v>23</v>
      </c>
      <c r="BO513" s="11"/>
      <c r="BP513" s="13"/>
      <c r="BQ513" s="11"/>
      <c r="BR513" s="12"/>
      <c r="BS513" s="12"/>
      <c r="BT513" s="11">
        <v>48</v>
      </c>
      <c r="BU513" s="13">
        <v>2521.68</v>
      </c>
      <c r="BV513" s="11">
        <v>23</v>
      </c>
      <c r="BW513" s="11"/>
      <c r="BX513" s="13"/>
      <c r="BY513" s="11"/>
      <c r="BZ513" s="12"/>
      <c r="CA513" s="12"/>
      <c r="CB513" s="11">
        <v>163</v>
      </c>
      <c r="CC513" s="13">
        <v>9756.09</v>
      </c>
      <c r="CD513" s="11">
        <v>23</v>
      </c>
      <c r="CE513" s="11"/>
      <c r="CF513" s="13"/>
      <c r="CG513" s="11"/>
      <c r="CH513" s="12"/>
      <c r="CI513" s="12"/>
      <c r="CJ513" s="11">
        <v>4</v>
      </c>
      <c r="CK513" s="13">
        <v>514.96</v>
      </c>
      <c r="CL513" s="11">
        <v>22</v>
      </c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/>
      <c r="DC513" s="11"/>
      <c r="DD513" s="13"/>
      <c r="DE513" s="11"/>
      <c r="DF513" s="12"/>
      <c r="DG513" s="12"/>
      <c r="DH513" s="11"/>
      <c r="DI513" s="13"/>
      <c r="DJ513" s="11"/>
      <c r="DK513" s="11"/>
      <c r="DL513" s="13"/>
      <c r="DM513" s="11"/>
      <c r="DN513" s="12"/>
      <c r="DO513" s="12"/>
      <c r="DP513" s="11">
        <v>18</v>
      </c>
      <c r="DQ513" s="13">
        <v>953.87</v>
      </c>
      <c r="DR513" s="11">
        <v>23</v>
      </c>
      <c r="DS513" s="11"/>
      <c r="DT513" s="13"/>
      <c r="DU513" s="11"/>
      <c r="DV513" s="12"/>
      <c r="DW513" s="12"/>
      <c r="DX513" s="11">
        <v>10</v>
      </c>
      <c r="DY513" s="13">
        <v>438.07</v>
      </c>
      <c r="DZ513" s="11">
        <v>15</v>
      </c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>
        <v>3</v>
      </c>
      <c r="EO513" s="13">
        <v>254.97</v>
      </c>
      <c r="EP513" s="11">
        <v>23</v>
      </c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>
        <v>1</v>
      </c>
      <c r="GS513" s="13">
        <v>71.57</v>
      </c>
      <c r="GT513" s="11">
        <v>23</v>
      </c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>
        <v>18</v>
      </c>
      <c r="IO513" s="13">
        <v>2226.82</v>
      </c>
      <c r="IP513" s="11">
        <v>23</v>
      </c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  <c r="LH513" s="11"/>
      <c r="LI513" s="13"/>
      <c r="LJ513" s="11"/>
      <c r="LK513" s="11"/>
      <c r="LL513" s="13"/>
      <c r="LM513" s="11"/>
      <c r="LN513" s="12"/>
      <c r="LO513" s="12"/>
      <c r="LP513" s="11"/>
      <c r="LQ513" s="13"/>
      <c r="LR513" s="11"/>
      <c r="LS513" s="11"/>
      <c r="LT513" s="13"/>
      <c r="LU513" s="11"/>
      <c r="LV513" s="12"/>
      <c r="LW513" s="12"/>
    </row>
    <row r="514">
      <c r="A514" s="10" t="s">
        <v>278</v>
      </c>
      <c r="B514" s="10" t="s">
        <v>204</v>
      </c>
      <c r="C514" s="10" t="s">
        <v>279</v>
      </c>
      <c r="D514" s="11"/>
      <c r="E514" s="11">
        <f>=ROUNDDOWN({0},0)</f>
      </c>
      <c r="F514" s="11"/>
      <c r="G514" s="12">
        <v>1</v>
      </c>
      <c r="H514" s="11"/>
      <c r="I514" s="11">
        <f>=ROUNDDOWN({0},0)</f>
      </c>
      <c r="J514" s="11"/>
      <c r="K514" s="12"/>
      <c r="L514" s="11">
        <v>2069</v>
      </c>
      <c r="M514" s="13">
        <v>18193.8</v>
      </c>
      <c r="N514" s="11"/>
      <c r="O514" s="14"/>
      <c r="P514" s="11"/>
      <c r="Q514" s="13"/>
      <c r="R514" s="11"/>
      <c r="S514" s="14"/>
      <c r="T514" s="12"/>
      <c r="U514" s="12"/>
      <c r="V514" s="12"/>
      <c r="W514" s="12"/>
      <c r="X514" s="11"/>
      <c r="Y514" s="13"/>
      <c r="Z514" s="11"/>
      <c r="AA514" s="11"/>
      <c r="AB514" s="13"/>
      <c r="AC514" s="11"/>
      <c r="AD514" s="12"/>
      <c r="AE514" s="12"/>
      <c r="AF514" s="11"/>
      <c r="AG514" s="13"/>
      <c r="AH514" s="11"/>
      <c r="AI514" s="11"/>
      <c r="AJ514" s="13"/>
      <c r="AK514" s="11"/>
      <c r="AL514" s="12"/>
      <c r="AM514" s="12"/>
      <c r="AN514" s="11"/>
      <c r="AO514" s="13"/>
      <c r="AP514" s="11"/>
      <c r="AQ514" s="11"/>
      <c r="AR514" s="13"/>
      <c r="AS514" s="11"/>
      <c r="AT514" s="12"/>
      <c r="AU514" s="12"/>
      <c r="AV514" s="11"/>
      <c r="AW514" s="13"/>
      <c r="AX514" s="11"/>
      <c r="AY514" s="11"/>
      <c r="AZ514" s="13"/>
      <c r="BA514" s="11"/>
      <c r="BB514" s="12"/>
      <c r="BC514" s="12"/>
      <c r="BD514" s="11">
        <v>2069</v>
      </c>
      <c r="BE514" s="13">
        <v>18193.8</v>
      </c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/>
      <c r="CC514" s="13"/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/>
      <c r="DI514" s="13"/>
      <c r="DJ514" s="11"/>
      <c r="DK514" s="11"/>
      <c r="DL514" s="13"/>
      <c r="DM514" s="11"/>
      <c r="DN514" s="12"/>
      <c r="DO514" s="12"/>
      <c r="DP514" s="11"/>
      <c r="DQ514" s="13"/>
      <c r="DR514" s="11"/>
      <c r="DS514" s="11"/>
      <c r="DT514" s="13"/>
      <c r="DU514" s="11"/>
      <c r="DV514" s="12"/>
      <c r="DW514" s="12"/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/>
      <c r="EW514" s="13"/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/>
      <c r="KN514" s="13"/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  <c r="LH514" s="11"/>
      <c r="LI514" s="13"/>
      <c r="LJ514" s="11"/>
      <c r="LK514" s="11"/>
      <c r="LL514" s="13"/>
      <c r="LM514" s="11"/>
      <c r="LN514" s="12"/>
      <c r="LO514" s="12"/>
      <c r="LP514" s="11"/>
      <c r="LQ514" s="13"/>
      <c r="LR514" s="11"/>
      <c r="LS514" s="11"/>
      <c r="LT514" s="13"/>
      <c r="LU514" s="11"/>
      <c r="LV514" s="12"/>
      <c r="LW514" s="12"/>
    </row>
    <row r="515">
      <c r="A515" s="10" t="s">
        <v>278</v>
      </c>
      <c r="B515" s="10" t="s">
        <v>205</v>
      </c>
      <c r="C515" s="10" t="s">
        <v>77</v>
      </c>
      <c r="D515" s="11"/>
      <c r="E515" s="11">
        <f>=ROUNDDOWN({0},0)</f>
      </c>
      <c r="F515" s="11"/>
      <c r="G515" s="12"/>
      <c r="H515" s="11"/>
      <c r="I515" s="11">
        <f>=ROUNDDOWN({0},0)</f>
      </c>
      <c r="J515" s="11"/>
      <c r="K515" s="12"/>
      <c r="L515" s="11">
        <v>2069</v>
      </c>
      <c r="M515" s="13">
        <v>18193.8</v>
      </c>
      <c r="N515" s="11"/>
      <c r="O515" s="14"/>
      <c r="P515" s="11"/>
      <c r="Q515" s="13"/>
      <c r="R515" s="11"/>
      <c r="S515" s="14"/>
      <c r="T515" s="12"/>
      <c r="U515" s="12"/>
      <c r="V515" s="12"/>
      <c r="W515" s="12"/>
      <c r="X515" s="11"/>
      <c r="Y515" s="13"/>
      <c r="Z515" s="11"/>
      <c r="AA515" s="11"/>
      <c r="AB515" s="13"/>
      <c r="AC515" s="11"/>
      <c r="AD515" s="12"/>
      <c r="AE515" s="12"/>
      <c r="AF515" s="11"/>
      <c r="AG515" s="13"/>
      <c r="AH515" s="11"/>
      <c r="AI515" s="11"/>
      <c r="AJ515" s="13"/>
      <c r="AK515" s="11"/>
      <c r="AL515" s="12"/>
      <c r="AM515" s="12"/>
      <c r="AN515" s="11"/>
      <c r="AO515" s="13"/>
      <c r="AP515" s="11"/>
      <c r="AQ515" s="11"/>
      <c r="AR515" s="13"/>
      <c r="AS515" s="11"/>
      <c r="AT515" s="12"/>
      <c r="AU515" s="12"/>
      <c r="AV515" s="11"/>
      <c r="AW515" s="13"/>
      <c r="AX515" s="11"/>
      <c r="AY515" s="11"/>
      <c r="AZ515" s="13"/>
      <c r="BA515" s="11"/>
      <c r="BB515" s="12"/>
      <c r="BC515" s="12"/>
      <c r="BD515" s="11">
        <v>2069</v>
      </c>
      <c r="BE515" s="13">
        <v>18193.8</v>
      </c>
      <c r="BF515" s="11"/>
      <c r="BG515" s="11"/>
      <c r="BH515" s="13"/>
      <c r="BI515" s="11"/>
      <c r="BJ515" s="12"/>
      <c r="BK515" s="12"/>
      <c r="BL515" s="11"/>
      <c r="BM515" s="13"/>
      <c r="BN515" s="11"/>
      <c r="BO515" s="11"/>
      <c r="BP515" s="13"/>
      <c r="BQ515" s="11"/>
      <c r="BR515" s="12"/>
      <c r="BS515" s="12"/>
      <c r="BT515" s="11"/>
      <c r="BU515" s="13"/>
      <c r="BV515" s="11"/>
      <c r="BW515" s="11"/>
      <c r="BX515" s="13"/>
      <c r="BY515" s="11"/>
      <c r="BZ515" s="12"/>
      <c r="CA515" s="12"/>
      <c r="CB515" s="11"/>
      <c r="CC515" s="13"/>
      <c r="CD515" s="11"/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/>
      <c r="CS515" s="13"/>
      <c r="CT515" s="11"/>
      <c r="CU515" s="11"/>
      <c r="CV515" s="13"/>
      <c r="CW515" s="11"/>
      <c r="CX515" s="12"/>
      <c r="CY515" s="12"/>
      <c r="CZ515" s="11"/>
      <c r="DA515" s="13"/>
      <c r="DB515" s="11"/>
      <c r="DC515" s="11"/>
      <c r="DD515" s="13"/>
      <c r="DE515" s="11"/>
      <c r="DF515" s="12"/>
      <c r="DG515" s="12"/>
      <c r="DH515" s="11"/>
      <c r="DI515" s="13"/>
      <c r="DJ515" s="11"/>
      <c r="DK515" s="11"/>
      <c r="DL515" s="13"/>
      <c r="DM515" s="11"/>
      <c r="DN515" s="12"/>
      <c r="DO515" s="12"/>
      <c r="DP515" s="11"/>
      <c r="DQ515" s="13"/>
      <c r="DR515" s="11"/>
      <c r="DS515" s="11"/>
      <c r="DT515" s="13"/>
      <c r="DU515" s="11"/>
      <c r="DV515" s="12"/>
      <c r="DW515" s="12"/>
      <c r="DX515" s="11"/>
      <c r="DY515" s="13"/>
      <c r="DZ515" s="11"/>
      <c r="EA515" s="11"/>
      <c r="EB515" s="13"/>
      <c r="EC515" s="11"/>
      <c r="ED515" s="12"/>
      <c r="EE515" s="12"/>
      <c r="EF515" s="11"/>
      <c r="EG515" s="13"/>
      <c r="EH515" s="11"/>
      <c r="EI515" s="11"/>
      <c r="EJ515" s="13"/>
      <c r="EK515" s="11"/>
      <c r="EL515" s="12"/>
      <c r="EM515" s="12"/>
      <c r="EN515" s="11"/>
      <c r="EO515" s="13"/>
      <c r="EP515" s="11"/>
      <c r="EQ515" s="11"/>
      <c r="ER515" s="13"/>
      <c r="ES515" s="11"/>
      <c r="ET515" s="12"/>
      <c r="EU515" s="12"/>
      <c r="EV515" s="11"/>
      <c r="EW515" s="13"/>
      <c r="EX515" s="11"/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/>
      <c r="GU515" s="11"/>
      <c r="GV515" s="13"/>
      <c r="GW515" s="11"/>
      <c r="GX515" s="12"/>
      <c r="GY515" s="12"/>
      <c r="GZ515" s="11"/>
      <c r="HA515" s="13"/>
      <c r="HB515" s="11"/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/>
      <c r="HQ515" s="13"/>
      <c r="HR515" s="11"/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/>
      <c r="KM515" s="11"/>
      <c r="KN515" s="13"/>
      <c r="KO515" s="11"/>
      <c r="KP515" s="12"/>
      <c r="KQ515" s="12"/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  <c r="LH515" s="11"/>
      <c r="LI515" s="13"/>
      <c r="LJ515" s="11"/>
      <c r="LK515" s="11"/>
      <c r="LL515" s="13"/>
      <c r="LM515" s="11"/>
      <c r="LN515" s="12"/>
      <c r="LO515" s="12"/>
      <c r="LP515" s="11"/>
      <c r="LQ515" s="13"/>
      <c r="LR515" s="11"/>
      <c r="LS515" s="11"/>
      <c r="LT515" s="13"/>
      <c r="LU515" s="11"/>
      <c r="LV515" s="12"/>
      <c r="LW515" s="12"/>
    </row>
    <row r="516">
      <c r="A516" s="10" t="s">
        <v>278</v>
      </c>
      <c r="B516" s="10" t="s">
        <v>111</v>
      </c>
      <c r="C516" s="10" t="s">
        <v>92</v>
      </c>
      <c r="D516" s="11"/>
      <c r="E516" s="11">
        <f>=ROUNDDOWN({0},0)</f>
      </c>
      <c r="F516" s="11"/>
      <c r="G516" s="12"/>
      <c r="H516" s="11"/>
      <c r="I516" s="11">
        <f>=ROUNDDOWN({0},0)</f>
      </c>
      <c r="J516" s="11"/>
      <c r="K516" s="12"/>
      <c r="L516" s="11">
        <v>190</v>
      </c>
      <c r="M516" s="13">
        <v>2102.33</v>
      </c>
      <c r="N516" s="11"/>
      <c r="O516" s="14"/>
      <c r="P516" s="11"/>
      <c r="Q516" s="13"/>
      <c r="R516" s="11"/>
      <c r="S516" s="14"/>
      <c r="T516" s="12"/>
      <c r="U516" s="12"/>
      <c r="V516" s="12"/>
      <c r="W516" s="12"/>
      <c r="X516" s="11">
        <v>54</v>
      </c>
      <c r="Y516" s="13">
        <v>589.68</v>
      </c>
      <c r="Z516" s="11"/>
      <c r="AA516" s="11"/>
      <c r="AB516" s="13"/>
      <c r="AC516" s="11"/>
      <c r="AD516" s="12"/>
      <c r="AE516" s="12"/>
      <c r="AF516" s="11">
        <v>4</v>
      </c>
      <c r="AG516" s="13">
        <v>40.16</v>
      </c>
      <c r="AH516" s="11"/>
      <c r="AI516" s="11"/>
      <c r="AJ516" s="13"/>
      <c r="AK516" s="11"/>
      <c r="AL516" s="12"/>
      <c r="AM516" s="12"/>
      <c r="AN516" s="11">
        <v>46</v>
      </c>
      <c r="AO516" s="13">
        <v>405.26</v>
      </c>
      <c r="AP516" s="11"/>
      <c r="AQ516" s="11"/>
      <c r="AR516" s="13"/>
      <c r="AS516" s="11"/>
      <c r="AT516" s="12"/>
      <c r="AU516" s="12"/>
      <c r="AV516" s="11">
        <v>28</v>
      </c>
      <c r="AW516" s="13">
        <v>347.2</v>
      </c>
      <c r="AX516" s="11"/>
      <c r="AY516" s="11"/>
      <c r="AZ516" s="13"/>
      <c r="BA516" s="11"/>
      <c r="BB516" s="12"/>
      <c r="BC516" s="12"/>
      <c r="BD516" s="11">
        <v>10</v>
      </c>
      <c r="BE516" s="13">
        <v>92.6</v>
      </c>
      <c r="BF516" s="11"/>
      <c r="BG516" s="11"/>
      <c r="BH516" s="13"/>
      <c r="BI516" s="11"/>
      <c r="BJ516" s="12"/>
      <c r="BK516" s="12"/>
      <c r="BL516" s="11">
        <v>1</v>
      </c>
      <c r="BM516" s="13">
        <v>11</v>
      </c>
      <c r="BN516" s="11"/>
      <c r="BO516" s="11"/>
      <c r="BP516" s="13"/>
      <c r="BQ516" s="11"/>
      <c r="BR516" s="12"/>
      <c r="BS516" s="12"/>
      <c r="BT516" s="11">
        <v>3</v>
      </c>
      <c r="BU516" s="13">
        <v>57.99</v>
      </c>
      <c r="BV516" s="11"/>
      <c r="BW516" s="11"/>
      <c r="BX516" s="13"/>
      <c r="BY516" s="11"/>
      <c r="BZ516" s="12"/>
      <c r="CA516" s="12"/>
      <c r="CB516" s="11">
        <v>16</v>
      </c>
      <c r="CC516" s="13">
        <v>188.96</v>
      </c>
      <c r="CD516" s="11"/>
      <c r="CE516" s="11"/>
      <c r="CF516" s="13"/>
      <c r="CG516" s="11"/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/>
      <c r="CS516" s="13"/>
      <c r="CT516" s="11"/>
      <c r="CU516" s="11"/>
      <c r="CV516" s="13"/>
      <c r="CW516" s="11"/>
      <c r="CX516" s="12"/>
      <c r="CY516" s="12"/>
      <c r="CZ516" s="11"/>
      <c r="DA516" s="13"/>
      <c r="DB516" s="11"/>
      <c r="DC516" s="11"/>
      <c r="DD516" s="13"/>
      <c r="DE516" s="11"/>
      <c r="DF516" s="12"/>
      <c r="DG516" s="12"/>
      <c r="DH516" s="11"/>
      <c r="DI516" s="13"/>
      <c r="DJ516" s="11"/>
      <c r="DK516" s="11"/>
      <c r="DL516" s="13"/>
      <c r="DM516" s="11"/>
      <c r="DN516" s="12"/>
      <c r="DO516" s="12"/>
      <c r="DP516" s="11">
        <v>3</v>
      </c>
      <c r="DQ516" s="13">
        <v>41.07</v>
      </c>
      <c r="DR516" s="11"/>
      <c r="DS516" s="11"/>
      <c r="DT516" s="13"/>
      <c r="DU516" s="11"/>
      <c r="DV516" s="12"/>
      <c r="DW516" s="12"/>
      <c r="DX516" s="11"/>
      <c r="DY516" s="13"/>
      <c r="DZ516" s="11"/>
      <c r="EA516" s="11"/>
      <c r="EB516" s="13"/>
      <c r="EC516" s="11"/>
      <c r="ED516" s="12"/>
      <c r="EE516" s="12"/>
      <c r="EF516" s="11"/>
      <c r="EG516" s="13"/>
      <c r="EH516" s="11"/>
      <c r="EI516" s="11"/>
      <c r="EJ516" s="13"/>
      <c r="EK516" s="11"/>
      <c r="EL516" s="12"/>
      <c r="EM516" s="12"/>
      <c r="EN516" s="11">
        <v>1</v>
      </c>
      <c r="EO516" s="13">
        <v>44.97</v>
      </c>
      <c r="EP516" s="11"/>
      <c r="EQ516" s="11"/>
      <c r="ER516" s="13"/>
      <c r="ES516" s="11"/>
      <c r="ET516" s="12"/>
      <c r="EU516" s="12"/>
      <c r="EV516" s="11">
        <v>24</v>
      </c>
      <c r="EW516" s="13">
        <v>283.44</v>
      </c>
      <c r="EX516" s="11"/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/>
      <c r="GU516" s="11"/>
      <c r="GV516" s="13"/>
      <c r="GW516" s="11"/>
      <c r="GX516" s="12"/>
      <c r="GY516" s="12"/>
      <c r="GZ516" s="11"/>
      <c r="HA516" s="13"/>
      <c r="HB516" s="11"/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/>
      <c r="HQ516" s="13"/>
      <c r="HR516" s="11"/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/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/>
      <c r="KM516" s="11"/>
      <c r="KN516" s="13"/>
      <c r="KO516" s="11"/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  <c r="LH516" s="11"/>
      <c r="LI516" s="13"/>
      <c r="LJ516" s="11"/>
      <c r="LK516" s="11"/>
      <c r="LL516" s="13"/>
      <c r="LM516" s="11"/>
      <c r="LN516" s="12"/>
      <c r="LO516" s="12"/>
      <c r="LP516" s="11"/>
      <c r="LQ516" s="13"/>
      <c r="LR516" s="11"/>
      <c r="LS516" s="11"/>
      <c r="LT516" s="13"/>
      <c r="LU516" s="11"/>
      <c r="LV516" s="12"/>
      <c r="LW516" s="12"/>
    </row>
    <row r="517">
      <c r="A517" s="10" t="s">
        <v>278</v>
      </c>
      <c r="B517" s="10" t="s">
        <v>111</v>
      </c>
      <c r="C517" s="10" t="s">
        <v>279</v>
      </c>
      <c r="D517" s="11">
        <v>31874</v>
      </c>
      <c r="E517" s="11">
        <f>=ROUNDDOWN(13.8281995661605,0)</f>
      </c>
      <c r="F517" s="11">
        <v>28686</v>
      </c>
      <c r="G517" s="12">
        <v>0.9768</v>
      </c>
      <c r="H517" s="11"/>
      <c r="I517" s="11">
        <f>=ROUNDDOWN({0},0)</f>
      </c>
      <c r="J517" s="11"/>
      <c r="K517" s="12"/>
      <c r="L517" s="11">
        <v>25752</v>
      </c>
      <c r="M517" s="13">
        <v>479797.28</v>
      </c>
      <c r="N517" s="11">
        <v>172</v>
      </c>
      <c r="O517" s="14">
        <v>2789.52</v>
      </c>
      <c r="P517" s="11"/>
      <c r="Q517" s="13"/>
      <c r="R517" s="11"/>
      <c r="S517" s="14"/>
      <c r="T517" s="12"/>
      <c r="U517" s="12"/>
      <c r="V517" s="12"/>
      <c r="W517" s="12"/>
      <c r="X517" s="11">
        <v>12030</v>
      </c>
      <c r="Y517" s="13">
        <v>240913.09</v>
      </c>
      <c r="Z517" s="11">
        <v>163</v>
      </c>
      <c r="AA517" s="11"/>
      <c r="AB517" s="13"/>
      <c r="AC517" s="11"/>
      <c r="AD517" s="12"/>
      <c r="AE517" s="12"/>
      <c r="AF517" s="11">
        <v>708</v>
      </c>
      <c r="AG517" s="13">
        <v>11711.66</v>
      </c>
      <c r="AH517" s="11">
        <v>172</v>
      </c>
      <c r="AI517" s="11"/>
      <c r="AJ517" s="13"/>
      <c r="AK517" s="11"/>
      <c r="AL517" s="12"/>
      <c r="AM517" s="12"/>
      <c r="AN517" s="11">
        <v>2266</v>
      </c>
      <c r="AO517" s="13">
        <v>40434.2</v>
      </c>
      <c r="AP517" s="11">
        <v>172</v>
      </c>
      <c r="AQ517" s="11"/>
      <c r="AR517" s="13"/>
      <c r="AS517" s="11"/>
      <c r="AT517" s="12"/>
      <c r="AU517" s="12"/>
      <c r="AV517" s="11">
        <v>3539</v>
      </c>
      <c r="AW517" s="13">
        <v>60370.17</v>
      </c>
      <c r="AX517" s="11">
        <v>141</v>
      </c>
      <c r="AY517" s="11"/>
      <c r="AZ517" s="13"/>
      <c r="BA517" s="11"/>
      <c r="BB517" s="12"/>
      <c r="BC517" s="12"/>
      <c r="BD517" s="11">
        <v>4507</v>
      </c>
      <c r="BE517" s="13">
        <v>75860.32</v>
      </c>
      <c r="BF517" s="11">
        <v>172</v>
      </c>
      <c r="BG517" s="11"/>
      <c r="BH517" s="13"/>
      <c r="BI517" s="11"/>
      <c r="BJ517" s="12"/>
      <c r="BK517" s="12"/>
      <c r="BL517" s="11">
        <v>194</v>
      </c>
      <c r="BM517" s="13">
        <v>3848.25</v>
      </c>
      <c r="BN517" s="11">
        <v>172</v>
      </c>
      <c r="BO517" s="11"/>
      <c r="BP517" s="13"/>
      <c r="BQ517" s="11"/>
      <c r="BR517" s="12"/>
      <c r="BS517" s="12"/>
      <c r="BT517" s="11">
        <v>572</v>
      </c>
      <c r="BU517" s="13">
        <v>9439</v>
      </c>
      <c r="BV517" s="11">
        <v>172</v>
      </c>
      <c r="BW517" s="11"/>
      <c r="BX517" s="13"/>
      <c r="BY517" s="11"/>
      <c r="BZ517" s="12"/>
      <c r="CA517" s="12"/>
      <c r="CB517" s="11">
        <v>882</v>
      </c>
      <c r="CC517" s="13">
        <v>16430.92</v>
      </c>
      <c r="CD517" s="11">
        <v>145</v>
      </c>
      <c r="CE517" s="11"/>
      <c r="CF517" s="13"/>
      <c r="CG517" s="11"/>
      <c r="CH517" s="12"/>
      <c r="CI517" s="12"/>
      <c r="CJ517" s="11">
        <v>84</v>
      </c>
      <c r="CK517" s="13">
        <v>4277.64</v>
      </c>
      <c r="CL517" s="11">
        <v>172</v>
      </c>
      <c r="CM517" s="11"/>
      <c r="CN517" s="13"/>
      <c r="CO517" s="11"/>
      <c r="CP517" s="12"/>
      <c r="CQ517" s="12"/>
      <c r="CR517" s="11"/>
      <c r="CS517" s="13"/>
      <c r="CT517" s="11"/>
      <c r="CU517" s="11"/>
      <c r="CV517" s="13"/>
      <c r="CW517" s="11"/>
      <c r="CX517" s="12"/>
      <c r="CY517" s="12"/>
      <c r="CZ517" s="11"/>
      <c r="DA517" s="13"/>
      <c r="DB517" s="11"/>
      <c r="DC517" s="11"/>
      <c r="DD517" s="13"/>
      <c r="DE517" s="11"/>
      <c r="DF517" s="12"/>
      <c r="DG517" s="12"/>
      <c r="DH517" s="11"/>
      <c r="DI517" s="13"/>
      <c r="DJ517" s="11"/>
      <c r="DK517" s="11"/>
      <c r="DL517" s="13"/>
      <c r="DM517" s="11"/>
      <c r="DN517" s="12"/>
      <c r="DO517" s="12"/>
      <c r="DP517" s="11">
        <v>147</v>
      </c>
      <c r="DQ517" s="13">
        <v>2786.54</v>
      </c>
      <c r="DR517" s="11">
        <v>152</v>
      </c>
      <c r="DS517" s="11"/>
      <c r="DT517" s="13"/>
      <c r="DU517" s="11"/>
      <c r="DV517" s="12"/>
      <c r="DW517" s="12"/>
      <c r="DX517" s="11">
        <v>75</v>
      </c>
      <c r="DY517" s="13">
        <v>1235.24</v>
      </c>
      <c r="DZ517" s="11">
        <v>101</v>
      </c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>
        <v>6</v>
      </c>
      <c r="EO517" s="13">
        <v>178.55</v>
      </c>
      <c r="EP517" s="11">
        <v>172</v>
      </c>
      <c r="EQ517" s="11"/>
      <c r="ER517" s="13"/>
      <c r="ES517" s="11"/>
      <c r="ET517" s="12"/>
      <c r="EU517" s="12"/>
      <c r="EV517" s="11">
        <v>238</v>
      </c>
      <c r="EW517" s="13">
        <v>3388.49</v>
      </c>
      <c r="EX517" s="11">
        <v>94</v>
      </c>
      <c r="EY517" s="11"/>
      <c r="EZ517" s="13"/>
      <c r="FA517" s="11"/>
      <c r="FB517" s="12"/>
      <c r="FC517" s="12"/>
      <c r="FD517" s="11">
        <v>272</v>
      </c>
      <c r="FE517" s="13">
        <v>5023.23</v>
      </c>
      <c r="FF517" s="11">
        <v>78</v>
      </c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>
        <v>159</v>
      </c>
      <c r="GU517" s="11"/>
      <c r="GV517" s="13"/>
      <c r="GW517" s="11"/>
      <c r="GX517" s="12"/>
      <c r="GY517" s="12"/>
      <c r="GZ517" s="11">
        <v>200</v>
      </c>
      <c r="HA517" s="13">
        <v>3341.06</v>
      </c>
      <c r="HB517" s="11">
        <v>78</v>
      </c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/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>
        <v>28</v>
      </c>
      <c r="IW517" s="13">
        <v>452.96</v>
      </c>
      <c r="IX517" s="11">
        <v>88</v>
      </c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>
        <v>4</v>
      </c>
      <c r="JU517" s="13">
        <v>105.96</v>
      </c>
      <c r="JV517" s="11">
        <v>96</v>
      </c>
      <c r="JW517" s="11"/>
      <c r="JX517" s="13"/>
      <c r="JY517" s="11"/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/>
      <c r="KM517" s="11"/>
      <c r="KN517" s="13"/>
      <c r="KO517" s="11"/>
      <c r="KP517" s="12"/>
      <c r="KQ517" s="12"/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  <c r="LH517" s="11"/>
      <c r="LI517" s="13"/>
      <c r="LJ517" s="11"/>
      <c r="LK517" s="11"/>
      <c r="LL517" s="13"/>
      <c r="LM517" s="11"/>
      <c r="LN517" s="12"/>
      <c r="LO517" s="12"/>
      <c r="LP517" s="11"/>
      <c r="LQ517" s="13"/>
      <c r="LR517" s="11"/>
      <c r="LS517" s="11"/>
      <c r="LT517" s="13"/>
      <c r="LU517" s="11"/>
      <c r="LV517" s="12"/>
      <c r="LW517" s="12"/>
    </row>
    <row r="518">
      <c r="A518" s="10" t="s">
        <v>278</v>
      </c>
      <c r="B518" s="10" t="s">
        <v>112</v>
      </c>
      <c r="C518" s="10" t="s">
        <v>77</v>
      </c>
      <c r="D518" s="11">
        <v>31874</v>
      </c>
      <c r="E518" s="11">
        <f>=ROUNDDOWN({0},0)</f>
      </c>
      <c r="F518" s="11">
        <v>28686</v>
      </c>
      <c r="G518" s="12"/>
      <c r="H518" s="11"/>
      <c r="I518" s="11">
        <f>=ROUNDDOWN({0},0)</f>
      </c>
      <c r="J518" s="11"/>
      <c r="K518" s="12"/>
      <c r="L518" s="11">
        <v>25942</v>
      </c>
      <c r="M518" s="13">
        <v>481899.61</v>
      </c>
      <c r="N518" s="11">
        <v>172</v>
      </c>
      <c r="O518" s="14">
        <v>2801.74</v>
      </c>
      <c r="P518" s="11"/>
      <c r="Q518" s="13"/>
      <c r="R518" s="11"/>
      <c r="S518" s="14"/>
      <c r="T518" s="12"/>
      <c r="U518" s="12"/>
      <c r="V518" s="12"/>
      <c r="W518" s="12"/>
      <c r="X518" s="11">
        <v>12084</v>
      </c>
      <c r="Y518" s="13">
        <v>241502.77</v>
      </c>
      <c r="Z518" s="11">
        <v>163</v>
      </c>
      <c r="AA518" s="11"/>
      <c r="AB518" s="13"/>
      <c r="AC518" s="11"/>
      <c r="AD518" s="12"/>
      <c r="AE518" s="12"/>
      <c r="AF518" s="11">
        <v>712</v>
      </c>
      <c r="AG518" s="13">
        <v>11751.82</v>
      </c>
      <c r="AH518" s="11">
        <v>172</v>
      </c>
      <c r="AI518" s="11"/>
      <c r="AJ518" s="13"/>
      <c r="AK518" s="11"/>
      <c r="AL518" s="12"/>
      <c r="AM518" s="12"/>
      <c r="AN518" s="11">
        <v>2312</v>
      </c>
      <c r="AO518" s="13">
        <v>40839.46</v>
      </c>
      <c r="AP518" s="11">
        <v>172</v>
      </c>
      <c r="AQ518" s="11"/>
      <c r="AR518" s="13"/>
      <c r="AS518" s="11"/>
      <c r="AT518" s="12"/>
      <c r="AU518" s="12"/>
      <c r="AV518" s="11">
        <v>3567</v>
      </c>
      <c r="AW518" s="13">
        <v>60717.37</v>
      </c>
      <c r="AX518" s="11">
        <v>141</v>
      </c>
      <c r="AY518" s="11"/>
      <c r="AZ518" s="13"/>
      <c r="BA518" s="11"/>
      <c r="BB518" s="12"/>
      <c r="BC518" s="12"/>
      <c r="BD518" s="11">
        <v>4517</v>
      </c>
      <c r="BE518" s="13">
        <v>75952.92</v>
      </c>
      <c r="BF518" s="11">
        <v>172</v>
      </c>
      <c r="BG518" s="11"/>
      <c r="BH518" s="13"/>
      <c r="BI518" s="11"/>
      <c r="BJ518" s="12"/>
      <c r="BK518" s="12"/>
      <c r="BL518" s="11">
        <v>195</v>
      </c>
      <c r="BM518" s="13">
        <v>3859.25</v>
      </c>
      <c r="BN518" s="11">
        <v>172</v>
      </c>
      <c r="BO518" s="11"/>
      <c r="BP518" s="13"/>
      <c r="BQ518" s="11"/>
      <c r="BR518" s="12"/>
      <c r="BS518" s="12"/>
      <c r="BT518" s="11">
        <v>575</v>
      </c>
      <c r="BU518" s="13">
        <v>9496.99</v>
      </c>
      <c r="BV518" s="11">
        <v>172</v>
      </c>
      <c r="BW518" s="11"/>
      <c r="BX518" s="13"/>
      <c r="BY518" s="11"/>
      <c r="BZ518" s="12"/>
      <c r="CA518" s="12"/>
      <c r="CB518" s="11">
        <v>898</v>
      </c>
      <c r="CC518" s="13">
        <v>16619.88</v>
      </c>
      <c r="CD518" s="11">
        <v>145</v>
      </c>
      <c r="CE518" s="11"/>
      <c r="CF518" s="13"/>
      <c r="CG518" s="11"/>
      <c r="CH518" s="12"/>
      <c r="CI518" s="12"/>
      <c r="CJ518" s="11">
        <v>84</v>
      </c>
      <c r="CK518" s="13">
        <v>4277.64</v>
      </c>
      <c r="CL518" s="11">
        <v>172</v>
      </c>
      <c r="CM518" s="11"/>
      <c r="CN518" s="13"/>
      <c r="CO518" s="11"/>
      <c r="CP518" s="12"/>
      <c r="CQ518" s="12"/>
      <c r="CR518" s="11"/>
      <c r="CS518" s="13"/>
      <c r="CT518" s="11"/>
      <c r="CU518" s="11"/>
      <c r="CV518" s="13"/>
      <c r="CW518" s="11"/>
      <c r="CX518" s="12"/>
      <c r="CY518" s="12"/>
      <c r="CZ518" s="11"/>
      <c r="DA518" s="13"/>
      <c r="DB518" s="11"/>
      <c r="DC518" s="11"/>
      <c r="DD518" s="13"/>
      <c r="DE518" s="11"/>
      <c r="DF518" s="12"/>
      <c r="DG518" s="12"/>
      <c r="DH518" s="11"/>
      <c r="DI518" s="13"/>
      <c r="DJ518" s="11"/>
      <c r="DK518" s="11"/>
      <c r="DL518" s="13"/>
      <c r="DM518" s="11"/>
      <c r="DN518" s="12"/>
      <c r="DO518" s="12"/>
      <c r="DP518" s="11">
        <v>150</v>
      </c>
      <c r="DQ518" s="13">
        <v>2827.61</v>
      </c>
      <c r="DR518" s="11">
        <v>152</v>
      </c>
      <c r="DS518" s="11"/>
      <c r="DT518" s="13"/>
      <c r="DU518" s="11"/>
      <c r="DV518" s="12"/>
      <c r="DW518" s="12"/>
      <c r="DX518" s="11">
        <v>75</v>
      </c>
      <c r="DY518" s="13">
        <v>1235.24</v>
      </c>
      <c r="DZ518" s="11">
        <v>101</v>
      </c>
      <c r="EA518" s="11"/>
      <c r="EB518" s="13"/>
      <c r="EC518" s="11"/>
      <c r="ED518" s="12"/>
      <c r="EE518" s="12"/>
      <c r="EF518" s="11"/>
      <c r="EG518" s="13"/>
      <c r="EH518" s="11"/>
      <c r="EI518" s="11"/>
      <c r="EJ518" s="13"/>
      <c r="EK518" s="11"/>
      <c r="EL518" s="12"/>
      <c r="EM518" s="12"/>
      <c r="EN518" s="11">
        <v>7</v>
      </c>
      <c r="EO518" s="13">
        <v>223.52</v>
      </c>
      <c r="EP518" s="11">
        <v>172</v>
      </c>
      <c r="EQ518" s="11"/>
      <c r="ER518" s="13"/>
      <c r="ES518" s="11"/>
      <c r="ET518" s="12"/>
      <c r="EU518" s="12"/>
      <c r="EV518" s="11">
        <v>262</v>
      </c>
      <c r="EW518" s="13">
        <v>3671.93</v>
      </c>
      <c r="EX518" s="11">
        <v>94</v>
      </c>
      <c r="EY518" s="11"/>
      <c r="EZ518" s="13"/>
      <c r="FA518" s="11"/>
      <c r="FB518" s="12"/>
      <c r="FC518" s="12"/>
      <c r="FD518" s="11">
        <v>272</v>
      </c>
      <c r="FE518" s="13">
        <v>5023.23</v>
      </c>
      <c r="FF518" s="11">
        <v>78</v>
      </c>
      <c r="FG518" s="11"/>
      <c r="FH518" s="13"/>
      <c r="FI518" s="11"/>
      <c r="FJ518" s="12"/>
      <c r="FK518" s="12"/>
      <c r="FL518" s="11"/>
      <c r="FM518" s="13"/>
      <c r="FN518" s="11"/>
      <c r="FO518" s="11"/>
      <c r="FP518" s="13"/>
      <c r="FQ518" s="11"/>
      <c r="FR518" s="12"/>
      <c r="FS518" s="12"/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/>
      <c r="GE518" s="11"/>
      <c r="GF518" s="13"/>
      <c r="GG518" s="11"/>
      <c r="GH518" s="12"/>
      <c r="GI518" s="12"/>
      <c r="GJ518" s="11"/>
      <c r="GK518" s="13"/>
      <c r="GL518" s="11"/>
      <c r="GM518" s="11"/>
      <c r="GN518" s="13"/>
      <c r="GO518" s="11"/>
      <c r="GP518" s="12"/>
      <c r="GQ518" s="12"/>
      <c r="GR518" s="11"/>
      <c r="GS518" s="13"/>
      <c r="GT518" s="11">
        <v>159</v>
      </c>
      <c r="GU518" s="11"/>
      <c r="GV518" s="13"/>
      <c r="GW518" s="11"/>
      <c r="GX518" s="12"/>
      <c r="GY518" s="12"/>
      <c r="GZ518" s="11">
        <v>200</v>
      </c>
      <c r="HA518" s="13">
        <v>3341.06</v>
      </c>
      <c r="HB518" s="11">
        <v>78</v>
      </c>
      <c r="HC518" s="11"/>
      <c r="HD518" s="13"/>
      <c r="HE518" s="11"/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/>
      <c r="HQ518" s="13"/>
      <c r="HR518" s="11"/>
      <c r="HS518" s="11"/>
      <c r="HT518" s="13"/>
      <c r="HU518" s="11"/>
      <c r="HV518" s="12"/>
      <c r="HW518" s="12"/>
      <c r="HX518" s="11"/>
      <c r="HY518" s="13"/>
      <c r="HZ518" s="11"/>
      <c r="IA518" s="11"/>
      <c r="IB518" s="13"/>
      <c r="IC518" s="11"/>
      <c r="ID518" s="12"/>
      <c r="IE518" s="12"/>
      <c r="IF518" s="11"/>
      <c r="IG518" s="13"/>
      <c r="IH518" s="11"/>
      <c r="II518" s="11"/>
      <c r="IJ518" s="13"/>
      <c r="IK518" s="11"/>
      <c r="IL518" s="12"/>
      <c r="IM518" s="12"/>
      <c r="IN518" s="11"/>
      <c r="IO518" s="13"/>
      <c r="IP518" s="11"/>
      <c r="IQ518" s="11"/>
      <c r="IR518" s="13"/>
      <c r="IS518" s="11"/>
      <c r="IT518" s="12"/>
      <c r="IU518" s="12"/>
      <c r="IV518" s="11">
        <v>28</v>
      </c>
      <c r="IW518" s="13">
        <v>452.96</v>
      </c>
      <c r="IX518" s="11">
        <v>88</v>
      </c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/>
      <c r="JO518" s="11"/>
      <c r="JP518" s="13"/>
      <c r="JQ518" s="11"/>
      <c r="JR518" s="12"/>
      <c r="JS518" s="12"/>
      <c r="JT518" s="11">
        <v>4</v>
      </c>
      <c r="JU518" s="13">
        <v>105.96</v>
      </c>
      <c r="JV518" s="11">
        <v>96</v>
      </c>
      <c r="JW518" s="11"/>
      <c r="JX518" s="13"/>
      <c r="JY518" s="11"/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/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  <c r="LH518" s="11"/>
      <c r="LI518" s="13"/>
      <c r="LJ518" s="11"/>
      <c r="LK518" s="11"/>
      <c r="LL518" s="13"/>
      <c r="LM518" s="11"/>
      <c r="LN518" s="12"/>
      <c r="LO518" s="12"/>
      <c r="LP518" s="11"/>
      <c r="LQ518" s="13"/>
      <c r="LR518" s="11"/>
      <c r="LS518" s="11"/>
      <c r="LT518" s="13"/>
      <c r="LU518" s="11"/>
      <c r="LV518" s="12"/>
      <c r="LW518" s="12"/>
    </row>
    <row r="519">
      <c r="A519" s="10" t="s">
        <v>278</v>
      </c>
      <c r="B519" s="10" t="s">
        <v>113</v>
      </c>
      <c r="C519" s="10" t="s">
        <v>173</v>
      </c>
      <c r="D519" s="11">
        <v>16196</v>
      </c>
      <c r="E519" s="11">
        <f>=ROUNDDOWN(35.0714595062798,0)</f>
      </c>
      <c r="F519" s="11">
        <v>8136</v>
      </c>
      <c r="G519" s="12">
        <v>0.9991</v>
      </c>
      <c r="H519" s="11"/>
      <c r="I519" s="11">
        <f>=ROUNDDOWN({0},0)</f>
      </c>
      <c r="J519" s="11"/>
      <c r="K519" s="12"/>
      <c r="L519" s="11">
        <v>5715</v>
      </c>
      <c r="M519" s="13">
        <v>116065.62</v>
      </c>
      <c r="N519" s="11">
        <v>24</v>
      </c>
      <c r="O519" s="14">
        <v>4836.07</v>
      </c>
      <c r="P519" s="11"/>
      <c r="Q519" s="13"/>
      <c r="R519" s="11"/>
      <c r="S519" s="14"/>
      <c r="T519" s="12"/>
      <c r="U519" s="12"/>
      <c r="V519" s="12"/>
      <c r="W519" s="12"/>
      <c r="X519" s="11"/>
      <c r="Y519" s="13"/>
      <c r="Z519" s="11"/>
      <c r="AA519" s="11"/>
      <c r="AB519" s="13"/>
      <c r="AC519" s="11"/>
      <c r="AD519" s="12"/>
      <c r="AE519" s="12"/>
      <c r="AF519" s="11">
        <v>175</v>
      </c>
      <c r="AG519" s="13">
        <v>3640.63</v>
      </c>
      <c r="AH519" s="11">
        <v>24</v>
      </c>
      <c r="AI519" s="11"/>
      <c r="AJ519" s="13"/>
      <c r="AK519" s="11"/>
      <c r="AL519" s="12"/>
      <c r="AM519" s="12"/>
      <c r="AN519" s="11">
        <v>749</v>
      </c>
      <c r="AO519" s="13">
        <v>16469.2</v>
      </c>
      <c r="AP519" s="11">
        <v>24</v>
      </c>
      <c r="AQ519" s="11"/>
      <c r="AR519" s="13"/>
      <c r="AS519" s="11"/>
      <c r="AT519" s="12"/>
      <c r="AU519" s="12"/>
      <c r="AV519" s="11">
        <v>329</v>
      </c>
      <c r="AW519" s="13">
        <v>8593.56</v>
      </c>
      <c r="AX519" s="11">
        <v>21</v>
      </c>
      <c r="AY519" s="11"/>
      <c r="AZ519" s="13"/>
      <c r="BA519" s="11"/>
      <c r="BB519" s="12"/>
      <c r="BC519" s="12"/>
      <c r="BD519" s="11">
        <v>2657</v>
      </c>
      <c r="BE519" s="13">
        <v>52816.75</v>
      </c>
      <c r="BF519" s="11">
        <v>24</v>
      </c>
      <c r="BG519" s="11"/>
      <c r="BH519" s="13"/>
      <c r="BI519" s="11"/>
      <c r="BJ519" s="12"/>
      <c r="BK519" s="12"/>
      <c r="BL519" s="11">
        <v>364</v>
      </c>
      <c r="BM519" s="13">
        <v>8520.99</v>
      </c>
      <c r="BN519" s="11">
        <v>24</v>
      </c>
      <c r="BO519" s="11"/>
      <c r="BP519" s="13"/>
      <c r="BQ519" s="11"/>
      <c r="BR519" s="12"/>
      <c r="BS519" s="12"/>
      <c r="BT519" s="11">
        <v>85</v>
      </c>
      <c r="BU519" s="13">
        <v>2091.78</v>
      </c>
      <c r="BV519" s="11">
        <v>24</v>
      </c>
      <c r="BW519" s="11"/>
      <c r="BX519" s="13"/>
      <c r="BY519" s="11"/>
      <c r="BZ519" s="12"/>
      <c r="CA519" s="12"/>
      <c r="CB519" s="11">
        <v>1115</v>
      </c>
      <c r="CC519" s="13">
        <v>19280.5</v>
      </c>
      <c r="CD519" s="11">
        <v>24</v>
      </c>
      <c r="CE519" s="11"/>
      <c r="CF519" s="13"/>
      <c r="CG519" s="11"/>
      <c r="CH519" s="12"/>
      <c r="CI519" s="12"/>
      <c r="CJ519" s="11"/>
      <c r="CK519" s="13"/>
      <c r="CL519" s="11">
        <v>24</v>
      </c>
      <c r="CM519" s="11"/>
      <c r="CN519" s="13"/>
      <c r="CO519" s="11"/>
      <c r="CP519" s="12"/>
      <c r="CQ519" s="12"/>
      <c r="CR519" s="11"/>
      <c r="CS519" s="13"/>
      <c r="CT519" s="11"/>
      <c r="CU519" s="11"/>
      <c r="CV519" s="13"/>
      <c r="CW519" s="11"/>
      <c r="CX519" s="12"/>
      <c r="CY519" s="12"/>
      <c r="CZ519" s="11"/>
      <c r="DA519" s="13"/>
      <c r="DB519" s="11"/>
      <c r="DC519" s="11"/>
      <c r="DD519" s="13"/>
      <c r="DE519" s="11"/>
      <c r="DF519" s="12"/>
      <c r="DG519" s="12"/>
      <c r="DH519" s="11"/>
      <c r="DI519" s="13"/>
      <c r="DJ519" s="11"/>
      <c r="DK519" s="11"/>
      <c r="DL519" s="13"/>
      <c r="DM519" s="11"/>
      <c r="DN519" s="12"/>
      <c r="DO519" s="12"/>
      <c r="DP519" s="11">
        <v>232</v>
      </c>
      <c r="DQ519" s="13">
        <v>4409.64</v>
      </c>
      <c r="DR519" s="11">
        <v>24</v>
      </c>
      <c r="DS519" s="11"/>
      <c r="DT519" s="13"/>
      <c r="DU519" s="11"/>
      <c r="DV519" s="12"/>
      <c r="DW519" s="12"/>
      <c r="DX519" s="11"/>
      <c r="DY519" s="13"/>
      <c r="DZ519" s="11"/>
      <c r="EA519" s="11"/>
      <c r="EB519" s="13"/>
      <c r="EC519" s="11"/>
      <c r="ED519" s="12"/>
      <c r="EE519" s="12"/>
      <c r="EF519" s="11"/>
      <c r="EG519" s="13"/>
      <c r="EH519" s="11"/>
      <c r="EI519" s="11"/>
      <c r="EJ519" s="13"/>
      <c r="EK519" s="11"/>
      <c r="EL519" s="12"/>
      <c r="EM519" s="12"/>
      <c r="EN519" s="11">
        <v>4</v>
      </c>
      <c r="EO519" s="13">
        <v>115.46</v>
      </c>
      <c r="EP519" s="11">
        <v>24</v>
      </c>
      <c r="EQ519" s="11"/>
      <c r="ER519" s="13"/>
      <c r="ES519" s="11"/>
      <c r="ET519" s="12"/>
      <c r="EU519" s="12"/>
      <c r="EV519" s="11">
        <v>4</v>
      </c>
      <c r="EW519" s="13">
        <v>94.72</v>
      </c>
      <c r="EX519" s="11">
        <v>3</v>
      </c>
      <c r="EY519" s="11"/>
      <c r="EZ519" s="13"/>
      <c r="FA519" s="11"/>
      <c r="FB519" s="12"/>
      <c r="FC519" s="12"/>
      <c r="FD519" s="11"/>
      <c r="FE519" s="13"/>
      <c r="FF519" s="11"/>
      <c r="FG519" s="11"/>
      <c r="FH519" s="13"/>
      <c r="FI519" s="11"/>
      <c r="FJ519" s="12"/>
      <c r="FK519" s="12"/>
      <c r="FL519" s="11"/>
      <c r="FM519" s="13"/>
      <c r="FN519" s="11"/>
      <c r="FO519" s="11"/>
      <c r="FP519" s="13"/>
      <c r="FQ519" s="11"/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/>
      <c r="GK519" s="13"/>
      <c r="GL519" s="11"/>
      <c r="GM519" s="11"/>
      <c r="GN519" s="13"/>
      <c r="GO519" s="11"/>
      <c r="GP519" s="12"/>
      <c r="GQ519" s="12"/>
      <c r="GR519" s="11">
        <v>1</v>
      </c>
      <c r="GS519" s="13">
        <v>32.39</v>
      </c>
      <c r="GT519" s="11">
        <v>24</v>
      </c>
      <c r="GU519" s="11"/>
      <c r="GV519" s="13"/>
      <c r="GW519" s="11"/>
      <c r="GX519" s="12"/>
      <c r="GY519" s="12"/>
      <c r="GZ519" s="11"/>
      <c r="HA519" s="13"/>
      <c r="HB519" s="11"/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/>
      <c r="HQ519" s="13"/>
      <c r="HR519" s="11"/>
      <c r="HS519" s="11"/>
      <c r="HT519" s="13"/>
      <c r="HU519" s="11"/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>
        <v>15</v>
      </c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/>
      <c r="JO519" s="11"/>
      <c r="JP519" s="13"/>
      <c r="JQ519" s="11"/>
      <c r="JR519" s="12"/>
      <c r="JS519" s="12"/>
      <c r="JT519" s="11"/>
      <c r="JU519" s="13"/>
      <c r="JV519" s="11">
        <v>12</v>
      </c>
      <c r="JW519" s="11"/>
      <c r="JX519" s="13"/>
      <c r="JY519" s="11"/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/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  <c r="LH519" s="11"/>
      <c r="LI519" s="13"/>
      <c r="LJ519" s="11"/>
      <c r="LK519" s="11"/>
      <c r="LL519" s="13"/>
      <c r="LM519" s="11"/>
      <c r="LN519" s="12"/>
      <c r="LO519" s="12"/>
      <c r="LP519" s="11"/>
      <c r="LQ519" s="13"/>
      <c r="LR519" s="11"/>
      <c r="LS519" s="11"/>
      <c r="LT519" s="13"/>
      <c r="LU519" s="11"/>
      <c r="LV519" s="12"/>
      <c r="LW519" s="12"/>
    </row>
    <row r="520">
      <c r="A520" s="10" t="s">
        <v>278</v>
      </c>
      <c r="B520" s="10" t="s">
        <v>113</v>
      </c>
      <c r="C520" s="10" t="s">
        <v>279</v>
      </c>
      <c r="D520" s="11">
        <v>38680</v>
      </c>
      <c r="E520" s="11">
        <f>=ROUNDDOWN(23.4197142165173,0)</f>
      </c>
      <c r="F520" s="11">
        <v>28688</v>
      </c>
      <c r="G520" s="12">
        <v>0.9641</v>
      </c>
      <c r="H520" s="11"/>
      <c r="I520" s="11">
        <f>=ROUNDDOWN({0},0)</f>
      </c>
      <c r="J520" s="11"/>
      <c r="K520" s="12"/>
      <c r="L520" s="11">
        <v>20114</v>
      </c>
      <c r="M520" s="13">
        <v>716754.26</v>
      </c>
      <c r="N520" s="11">
        <v>184</v>
      </c>
      <c r="O520" s="14">
        <v>3895.4</v>
      </c>
      <c r="P520" s="11"/>
      <c r="Q520" s="13"/>
      <c r="R520" s="11"/>
      <c r="S520" s="14"/>
      <c r="T520" s="12"/>
      <c r="U520" s="12"/>
      <c r="V520" s="12"/>
      <c r="W520" s="12"/>
      <c r="X520" s="11">
        <v>825</v>
      </c>
      <c r="Y520" s="13">
        <v>22115.58</v>
      </c>
      <c r="Z520" s="11">
        <v>35</v>
      </c>
      <c r="AA520" s="11"/>
      <c r="AB520" s="13"/>
      <c r="AC520" s="11"/>
      <c r="AD520" s="12"/>
      <c r="AE520" s="12"/>
      <c r="AF520" s="11">
        <v>592</v>
      </c>
      <c r="AG520" s="13">
        <v>20632.53</v>
      </c>
      <c r="AH520" s="11">
        <v>184</v>
      </c>
      <c r="AI520" s="11"/>
      <c r="AJ520" s="13"/>
      <c r="AK520" s="11"/>
      <c r="AL520" s="12"/>
      <c r="AM520" s="12"/>
      <c r="AN520" s="11">
        <v>4598</v>
      </c>
      <c r="AO520" s="13">
        <v>136511.02</v>
      </c>
      <c r="AP520" s="11">
        <v>184</v>
      </c>
      <c r="AQ520" s="11"/>
      <c r="AR520" s="13"/>
      <c r="AS520" s="11"/>
      <c r="AT520" s="12"/>
      <c r="AU520" s="12"/>
      <c r="AV520" s="11">
        <v>1096</v>
      </c>
      <c r="AW520" s="13">
        <v>39869.94</v>
      </c>
      <c r="AX520" s="11">
        <v>131</v>
      </c>
      <c r="AY520" s="11"/>
      <c r="AZ520" s="13"/>
      <c r="BA520" s="11"/>
      <c r="BB520" s="12"/>
      <c r="BC520" s="12"/>
      <c r="BD520" s="11">
        <v>4986</v>
      </c>
      <c r="BE520" s="13">
        <v>183369.47</v>
      </c>
      <c r="BF520" s="11">
        <v>176</v>
      </c>
      <c r="BG520" s="11"/>
      <c r="BH520" s="13"/>
      <c r="BI520" s="11"/>
      <c r="BJ520" s="12"/>
      <c r="BK520" s="12"/>
      <c r="BL520" s="11">
        <v>989</v>
      </c>
      <c r="BM520" s="13">
        <v>48037.52</v>
      </c>
      <c r="BN520" s="11">
        <v>184</v>
      </c>
      <c r="BO520" s="11"/>
      <c r="BP520" s="13"/>
      <c r="BQ520" s="11"/>
      <c r="BR520" s="12"/>
      <c r="BS520" s="12"/>
      <c r="BT520" s="11">
        <v>1139</v>
      </c>
      <c r="BU520" s="13">
        <v>42967.19</v>
      </c>
      <c r="BV520" s="11">
        <v>184</v>
      </c>
      <c r="BW520" s="11"/>
      <c r="BX520" s="13"/>
      <c r="BY520" s="11"/>
      <c r="BZ520" s="12"/>
      <c r="CA520" s="12"/>
      <c r="CB520" s="11">
        <v>4708</v>
      </c>
      <c r="CC520" s="13">
        <v>178186.67</v>
      </c>
      <c r="CD520" s="11">
        <v>184</v>
      </c>
      <c r="CE520" s="11"/>
      <c r="CF520" s="13"/>
      <c r="CG520" s="11"/>
      <c r="CH520" s="12"/>
      <c r="CI520" s="12"/>
      <c r="CJ520" s="11">
        <v>61</v>
      </c>
      <c r="CK520" s="13">
        <v>6807.39</v>
      </c>
      <c r="CL520" s="11">
        <v>181</v>
      </c>
      <c r="CM520" s="11"/>
      <c r="CN520" s="13"/>
      <c r="CO520" s="11"/>
      <c r="CP520" s="12"/>
      <c r="CQ520" s="12"/>
      <c r="CR520" s="11"/>
      <c r="CS520" s="13"/>
      <c r="CT520" s="11"/>
      <c r="CU520" s="11"/>
      <c r="CV520" s="13"/>
      <c r="CW520" s="11"/>
      <c r="CX520" s="12"/>
      <c r="CY520" s="12"/>
      <c r="CZ520" s="11">
        <v>44</v>
      </c>
      <c r="DA520" s="13">
        <v>1465.6</v>
      </c>
      <c r="DB520" s="11">
        <v>13</v>
      </c>
      <c r="DC520" s="11"/>
      <c r="DD520" s="13"/>
      <c r="DE520" s="11"/>
      <c r="DF520" s="12"/>
      <c r="DG520" s="12"/>
      <c r="DH520" s="11"/>
      <c r="DI520" s="13"/>
      <c r="DJ520" s="11"/>
      <c r="DK520" s="11"/>
      <c r="DL520" s="13"/>
      <c r="DM520" s="11"/>
      <c r="DN520" s="12"/>
      <c r="DO520" s="12"/>
      <c r="DP520" s="11">
        <v>337</v>
      </c>
      <c r="DQ520" s="13">
        <v>11266.93</v>
      </c>
      <c r="DR520" s="11">
        <v>153</v>
      </c>
      <c r="DS520" s="11"/>
      <c r="DT520" s="13"/>
      <c r="DU520" s="11"/>
      <c r="DV520" s="12"/>
      <c r="DW520" s="12"/>
      <c r="DX520" s="11">
        <v>159</v>
      </c>
      <c r="DY520" s="13">
        <v>5549.8</v>
      </c>
      <c r="DZ520" s="11">
        <v>114</v>
      </c>
      <c r="EA520" s="11"/>
      <c r="EB520" s="13"/>
      <c r="EC520" s="11"/>
      <c r="ED520" s="12"/>
      <c r="EE520" s="12"/>
      <c r="EF520" s="11"/>
      <c r="EG520" s="13"/>
      <c r="EH520" s="11"/>
      <c r="EI520" s="11"/>
      <c r="EJ520" s="13"/>
      <c r="EK520" s="11"/>
      <c r="EL520" s="12"/>
      <c r="EM520" s="12"/>
      <c r="EN520" s="11">
        <v>41</v>
      </c>
      <c r="EO520" s="13">
        <v>2760.36</v>
      </c>
      <c r="EP520" s="11">
        <v>184</v>
      </c>
      <c r="EQ520" s="11"/>
      <c r="ER520" s="13"/>
      <c r="ES520" s="11"/>
      <c r="ET520" s="12"/>
      <c r="EU520" s="12"/>
      <c r="EV520" s="11">
        <v>111</v>
      </c>
      <c r="EW520" s="13">
        <v>3333.22</v>
      </c>
      <c r="EX520" s="11">
        <v>114</v>
      </c>
      <c r="EY520" s="11"/>
      <c r="EZ520" s="13"/>
      <c r="FA520" s="11"/>
      <c r="FB520" s="12"/>
      <c r="FC520" s="12"/>
      <c r="FD520" s="11">
        <v>44</v>
      </c>
      <c r="FE520" s="13">
        <v>1662.87</v>
      </c>
      <c r="FF520" s="11">
        <v>80</v>
      </c>
      <c r="FG520" s="11"/>
      <c r="FH520" s="13"/>
      <c r="FI520" s="11"/>
      <c r="FJ520" s="12"/>
      <c r="FK520" s="12"/>
      <c r="FL520" s="11">
        <v>289</v>
      </c>
      <c r="FM520" s="13">
        <v>9681.39</v>
      </c>
      <c r="FN520" s="11">
        <v>21</v>
      </c>
      <c r="FO520" s="11"/>
      <c r="FP520" s="13"/>
      <c r="FQ520" s="11"/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/>
      <c r="GF520" s="13"/>
      <c r="GG520" s="11"/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>
        <v>1</v>
      </c>
      <c r="GS520" s="13">
        <v>45.18</v>
      </c>
      <c r="GT520" s="11">
        <v>165</v>
      </c>
      <c r="GU520" s="11"/>
      <c r="GV520" s="13"/>
      <c r="GW520" s="11"/>
      <c r="GX520" s="12"/>
      <c r="GY520" s="12"/>
      <c r="GZ520" s="11">
        <v>62</v>
      </c>
      <c r="HA520" s="13">
        <v>1329.96</v>
      </c>
      <c r="HB520" s="11">
        <v>37</v>
      </c>
      <c r="HC520" s="11"/>
      <c r="HD520" s="13"/>
      <c r="HE520" s="11"/>
      <c r="HF520" s="12"/>
      <c r="HG520" s="12"/>
      <c r="HH520" s="11">
        <v>1</v>
      </c>
      <c r="HI520" s="13">
        <v>57.13</v>
      </c>
      <c r="HJ520" s="11"/>
      <c r="HK520" s="11"/>
      <c r="HL520" s="13"/>
      <c r="HM520" s="11"/>
      <c r="HN520" s="12"/>
      <c r="HO520" s="12"/>
      <c r="HP520" s="11"/>
      <c r="HQ520" s="13"/>
      <c r="HR520" s="11"/>
      <c r="HS520" s="11"/>
      <c r="HT520" s="13"/>
      <c r="HU520" s="11"/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/>
      <c r="II520" s="11"/>
      <c r="IJ520" s="13"/>
      <c r="IK520" s="11"/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>
        <v>31</v>
      </c>
      <c r="IW520" s="13">
        <v>1104.51</v>
      </c>
      <c r="IX520" s="11">
        <v>118</v>
      </c>
      <c r="IY520" s="11"/>
      <c r="IZ520" s="13"/>
      <c r="JA520" s="11"/>
      <c r="JB520" s="12"/>
      <c r="JC520" s="12"/>
      <c r="JD520" s="11"/>
      <c r="JE520" s="13"/>
      <c r="JF520" s="11"/>
      <c r="JG520" s="11"/>
      <c r="JH520" s="13"/>
      <c r="JI520" s="11"/>
      <c r="JJ520" s="12"/>
      <c r="JK520" s="12"/>
      <c r="JL520" s="11"/>
      <c r="JM520" s="13"/>
      <c r="JN520" s="11"/>
      <c r="JO520" s="11"/>
      <c r="JP520" s="13"/>
      <c r="JQ520" s="11"/>
      <c r="JR520" s="12"/>
      <c r="JS520" s="12"/>
      <c r="JT520" s="11"/>
      <c r="JU520" s="13"/>
      <c r="JV520" s="11">
        <v>72</v>
      </c>
      <c r="JW520" s="11"/>
      <c r="JX520" s="13"/>
      <c r="JY520" s="11"/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/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  <c r="LH520" s="11"/>
      <c r="LI520" s="13"/>
      <c r="LJ520" s="11"/>
      <c r="LK520" s="11"/>
      <c r="LL520" s="13"/>
      <c r="LM520" s="11"/>
      <c r="LN520" s="12"/>
      <c r="LO520" s="12"/>
      <c r="LP520" s="11"/>
      <c r="LQ520" s="13"/>
      <c r="LR520" s="11"/>
      <c r="LS520" s="11"/>
      <c r="LT520" s="13"/>
      <c r="LU520" s="11"/>
      <c r="LV520" s="12"/>
      <c r="LW520" s="12"/>
    </row>
    <row r="521">
      <c r="A521" s="10" t="s">
        <v>278</v>
      </c>
      <c r="B521" s="10" t="s">
        <v>116</v>
      </c>
      <c r="C521" s="10" t="s">
        <v>77</v>
      </c>
      <c r="D521" s="11">
        <v>54876</v>
      </c>
      <c r="E521" s="11">
        <f>=ROUNDDOWN({0},0)</f>
      </c>
      <c r="F521" s="11">
        <v>36824</v>
      </c>
      <c r="G521" s="12"/>
      <c r="H521" s="11"/>
      <c r="I521" s="11">
        <f>=ROUNDDOWN({0},0)</f>
      </c>
      <c r="J521" s="11"/>
      <c r="K521" s="12"/>
      <c r="L521" s="11">
        <v>25829</v>
      </c>
      <c r="M521" s="13">
        <v>832819.88</v>
      </c>
      <c r="N521" s="11">
        <v>208</v>
      </c>
      <c r="O521" s="14">
        <v>4003.94</v>
      </c>
      <c r="P521" s="11"/>
      <c r="Q521" s="13"/>
      <c r="R521" s="11"/>
      <c r="S521" s="14"/>
      <c r="T521" s="12"/>
      <c r="U521" s="12"/>
      <c r="V521" s="12"/>
      <c r="W521" s="12"/>
      <c r="X521" s="11">
        <v>825</v>
      </c>
      <c r="Y521" s="13">
        <v>22115.58</v>
      </c>
      <c r="Z521" s="11">
        <v>35</v>
      </c>
      <c r="AA521" s="11"/>
      <c r="AB521" s="13"/>
      <c r="AC521" s="11"/>
      <c r="AD521" s="12"/>
      <c r="AE521" s="12"/>
      <c r="AF521" s="11">
        <v>767</v>
      </c>
      <c r="AG521" s="13">
        <v>24273.16</v>
      </c>
      <c r="AH521" s="11">
        <v>208</v>
      </c>
      <c r="AI521" s="11"/>
      <c r="AJ521" s="13"/>
      <c r="AK521" s="11"/>
      <c r="AL521" s="12"/>
      <c r="AM521" s="12"/>
      <c r="AN521" s="11">
        <v>5347</v>
      </c>
      <c r="AO521" s="13">
        <v>152980.22</v>
      </c>
      <c r="AP521" s="11">
        <v>208</v>
      </c>
      <c r="AQ521" s="11"/>
      <c r="AR521" s="13"/>
      <c r="AS521" s="11"/>
      <c r="AT521" s="12"/>
      <c r="AU521" s="12"/>
      <c r="AV521" s="11">
        <v>1425</v>
      </c>
      <c r="AW521" s="13">
        <v>48463.5</v>
      </c>
      <c r="AX521" s="11">
        <v>152</v>
      </c>
      <c r="AY521" s="11"/>
      <c r="AZ521" s="13"/>
      <c r="BA521" s="11"/>
      <c r="BB521" s="12"/>
      <c r="BC521" s="12"/>
      <c r="BD521" s="11">
        <v>7643</v>
      </c>
      <c r="BE521" s="13">
        <v>236186.22</v>
      </c>
      <c r="BF521" s="11">
        <v>200</v>
      </c>
      <c r="BG521" s="11"/>
      <c r="BH521" s="13"/>
      <c r="BI521" s="11"/>
      <c r="BJ521" s="12"/>
      <c r="BK521" s="12"/>
      <c r="BL521" s="11">
        <v>1353</v>
      </c>
      <c r="BM521" s="13">
        <v>56558.51</v>
      </c>
      <c r="BN521" s="11">
        <v>208</v>
      </c>
      <c r="BO521" s="11"/>
      <c r="BP521" s="13"/>
      <c r="BQ521" s="11"/>
      <c r="BR521" s="12"/>
      <c r="BS521" s="12"/>
      <c r="BT521" s="11">
        <v>1224</v>
      </c>
      <c r="BU521" s="13">
        <v>45058.97</v>
      </c>
      <c r="BV521" s="11">
        <v>208</v>
      </c>
      <c r="BW521" s="11"/>
      <c r="BX521" s="13"/>
      <c r="BY521" s="11"/>
      <c r="BZ521" s="12"/>
      <c r="CA521" s="12"/>
      <c r="CB521" s="11">
        <v>5823</v>
      </c>
      <c r="CC521" s="13">
        <v>197467.17</v>
      </c>
      <c r="CD521" s="11">
        <v>208</v>
      </c>
      <c r="CE521" s="11"/>
      <c r="CF521" s="13"/>
      <c r="CG521" s="11"/>
      <c r="CH521" s="12"/>
      <c r="CI521" s="12"/>
      <c r="CJ521" s="11">
        <v>61</v>
      </c>
      <c r="CK521" s="13">
        <v>6807.39</v>
      </c>
      <c r="CL521" s="11">
        <v>205</v>
      </c>
      <c r="CM521" s="11"/>
      <c r="CN521" s="13"/>
      <c r="CO521" s="11"/>
      <c r="CP521" s="12"/>
      <c r="CQ521" s="12"/>
      <c r="CR521" s="11"/>
      <c r="CS521" s="13"/>
      <c r="CT521" s="11"/>
      <c r="CU521" s="11"/>
      <c r="CV521" s="13"/>
      <c r="CW521" s="11"/>
      <c r="CX521" s="12"/>
      <c r="CY521" s="12"/>
      <c r="CZ521" s="11">
        <v>44</v>
      </c>
      <c r="DA521" s="13">
        <v>1465.6</v>
      </c>
      <c r="DB521" s="11">
        <v>13</v>
      </c>
      <c r="DC521" s="11"/>
      <c r="DD521" s="13"/>
      <c r="DE521" s="11"/>
      <c r="DF521" s="12"/>
      <c r="DG521" s="12"/>
      <c r="DH521" s="11"/>
      <c r="DI521" s="13"/>
      <c r="DJ521" s="11"/>
      <c r="DK521" s="11"/>
      <c r="DL521" s="13"/>
      <c r="DM521" s="11"/>
      <c r="DN521" s="12"/>
      <c r="DO521" s="12"/>
      <c r="DP521" s="11">
        <v>569</v>
      </c>
      <c r="DQ521" s="13">
        <v>15676.57</v>
      </c>
      <c r="DR521" s="11">
        <v>177</v>
      </c>
      <c r="DS521" s="11"/>
      <c r="DT521" s="13"/>
      <c r="DU521" s="11"/>
      <c r="DV521" s="12"/>
      <c r="DW521" s="12"/>
      <c r="DX521" s="11">
        <v>159</v>
      </c>
      <c r="DY521" s="13">
        <v>5549.8</v>
      </c>
      <c r="DZ521" s="11">
        <v>114</v>
      </c>
      <c r="EA521" s="11"/>
      <c r="EB521" s="13"/>
      <c r="EC521" s="11"/>
      <c r="ED521" s="12"/>
      <c r="EE521" s="12"/>
      <c r="EF521" s="11"/>
      <c r="EG521" s="13"/>
      <c r="EH521" s="11"/>
      <c r="EI521" s="11"/>
      <c r="EJ521" s="13"/>
      <c r="EK521" s="11"/>
      <c r="EL521" s="12"/>
      <c r="EM521" s="12"/>
      <c r="EN521" s="11">
        <v>45</v>
      </c>
      <c r="EO521" s="13">
        <v>2875.82</v>
      </c>
      <c r="EP521" s="11">
        <v>208</v>
      </c>
      <c r="EQ521" s="11"/>
      <c r="ER521" s="13"/>
      <c r="ES521" s="11"/>
      <c r="ET521" s="12"/>
      <c r="EU521" s="12"/>
      <c r="EV521" s="11">
        <v>115</v>
      </c>
      <c r="EW521" s="13">
        <v>3427.94</v>
      </c>
      <c r="EX521" s="11">
        <v>117</v>
      </c>
      <c r="EY521" s="11"/>
      <c r="EZ521" s="13"/>
      <c r="FA521" s="11"/>
      <c r="FB521" s="12"/>
      <c r="FC521" s="12"/>
      <c r="FD521" s="11">
        <v>44</v>
      </c>
      <c r="FE521" s="13">
        <v>1662.87</v>
      </c>
      <c r="FF521" s="11">
        <v>80</v>
      </c>
      <c r="FG521" s="11"/>
      <c r="FH521" s="13"/>
      <c r="FI521" s="11"/>
      <c r="FJ521" s="12"/>
      <c r="FK521" s="12"/>
      <c r="FL521" s="11">
        <v>289</v>
      </c>
      <c r="FM521" s="13">
        <v>9681.39</v>
      </c>
      <c r="FN521" s="11">
        <v>21</v>
      </c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/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>
        <v>2</v>
      </c>
      <c r="GS521" s="13">
        <v>77.57</v>
      </c>
      <c r="GT521" s="11">
        <v>189</v>
      </c>
      <c r="GU521" s="11"/>
      <c r="GV521" s="13"/>
      <c r="GW521" s="11"/>
      <c r="GX521" s="12"/>
      <c r="GY521" s="12"/>
      <c r="GZ521" s="11">
        <v>62</v>
      </c>
      <c r="HA521" s="13">
        <v>1329.96</v>
      </c>
      <c r="HB521" s="11">
        <v>37</v>
      </c>
      <c r="HC521" s="11"/>
      <c r="HD521" s="13"/>
      <c r="HE521" s="11"/>
      <c r="HF521" s="12"/>
      <c r="HG521" s="12"/>
      <c r="HH521" s="11">
        <v>1</v>
      </c>
      <c r="HI521" s="13">
        <v>57.13</v>
      </c>
      <c r="HJ521" s="11"/>
      <c r="HK521" s="11"/>
      <c r="HL521" s="13"/>
      <c r="HM521" s="11"/>
      <c r="HN521" s="12"/>
      <c r="HO521" s="12"/>
      <c r="HP521" s="11"/>
      <c r="HQ521" s="13"/>
      <c r="HR521" s="11"/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/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>
        <v>31</v>
      </c>
      <c r="IW521" s="13">
        <v>1104.51</v>
      </c>
      <c r="IX521" s="11">
        <v>133</v>
      </c>
      <c r="IY521" s="11"/>
      <c r="IZ521" s="13"/>
      <c r="JA521" s="11"/>
      <c r="JB521" s="12"/>
      <c r="JC521" s="12"/>
      <c r="JD521" s="11"/>
      <c r="JE521" s="13"/>
      <c r="JF521" s="11"/>
      <c r="JG521" s="11"/>
      <c r="JH521" s="13"/>
      <c r="JI521" s="11"/>
      <c r="JJ521" s="12"/>
      <c r="JK521" s="12"/>
      <c r="JL521" s="11"/>
      <c r="JM521" s="13"/>
      <c r="JN521" s="11"/>
      <c r="JO521" s="11"/>
      <c r="JP521" s="13"/>
      <c r="JQ521" s="11"/>
      <c r="JR521" s="12"/>
      <c r="JS521" s="12"/>
      <c r="JT521" s="11"/>
      <c r="JU521" s="13"/>
      <c r="JV521" s="11">
        <v>84</v>
      </c>
      <c r="JW521" s="11"/>
      <c r="JX521" s="13"/>
      <c r="JY521" s="11"/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/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  <c r="LH521" s="11"/>
      <c r="LI521" s="13"/>
      <c r="LJ521" s="11"/>
      <c r="LK521" s="11"/>
      <c r="LL521" s="13"/>
      <c r="LM521" s="11"/>
      <c r="LN521" s="12"/>
      <c r="LO521" s="12"/>
      <c r="LP521" s="11"/>
      <c r="LQ521" s="13"/>
      <c r="LR521" s="11"/>
      <c r="LS521" s="11"/>
      <c r="LT521" s="13"/>
      <c r="LU521" s="11"/>
      <c r="LV521" s="12"/>
      <c r="LW521" s="12"/>
    </row>
    <row r="522">
      <c r="A522" s="10" t="s">
        <v>278</v>
      </c>
      <c r="B522" s="10" t="s">
        <v>117</v>
      </c>
      <c r="C522" s="10" t="s">
        <v>173</v>
      </c>
      <c r="D522" s="11">
        <v>12448</v>
      </c>
      <c r="E522" s="11">
        <f>=ROUNDDOWN(12.5877237334412,0)</f>
      </c>
      <c r="F522" s="11">
        <v>18704</v>
      </c>
      <c r="G522" s="12">
        <v>1</v>
      </c>
      <c r="H522" s="11"/>
      <c r="I522" s="11">
        <f>=ROUNDDOWN({0},0)</f>
      </c>
      <c r="J522" s="11"/>
      <c r="K522" s="12"/>
      <c r="L522" s="11">
        <v>7584</v>
      </c>
      <c r="M522" s="13">
        <v>47600.44</v>
      </c>
      <c r="N522" s="11">
        <v>34</v>
      </c>
      <c r="O522" s="14">
        <v>1400.01</v>
      </c>
      <c r="P522" s="11"/>
      <c r="Q522" s="13"/>
      <c r="R522" s="11"/>
      <c r="S522" s="14"/>
      <c r="T522" s="12"/>
      <c r="U522" s="12"/>
      <c r="V522" s="12"/>
      <c r="W522" s="12"/>
      <c r="X522" s="11">
        <v>580</v>
      </c>
      <c r="Y522" s="13">
        <v>3827.81</v>
      </c>
      <c r="Z522" s="11">
        <v>34</v>
      </c>
      <c r="AA522" s="11"/>
      <c r="AB522" s="13"/>
      <c r="AC522" s="11"/>
      <c r="AD522" s="12"/>
      <c r="AE522" s="12"/>
      <c r="AF522" s="11">
        <v>313</v>
      </c>
      <c r="AG522" s="13">
        <v>1714.84</v>
      </c>
      <c r="AH522" s="11">
        <v>34</v>
      </c>
      <c r="AI522" s="11"/>
      <c r="AJ522" s="13"/>
      <c r="AK522" s="11"/>
      <c r="AL522" s="12"/>
      <c r="AM522" s="12"/>
      <c r="AN522" s="11">
        <v>1125</v>
      </c>
      <c r="AO522" s="13">
        <v>5877.03</v>
      </c>
      <c r="AP522" s="11">
        <v>34</v>
      </c>
      <c r="AQ522" s="11"/>
      <c r="AR522" s="13"/>
      <c r="AS522" s="11"/>
      <c r="AT522" s="12"/>
      <c r="AU522" s="12"/>
      <c r="AV522" s="11">
        <v>1330</v>
      </c>
      <c r="AW522" s="13">
        <v>8520</v>
      </c>
      <c r="AX522" s="11">
        <v>34</v>
      </c>
      <c r="AY522" s="11"/>
      <c r="AZ522" s="13"/>
      <c r="BA522" s="11"/>
      <c r="BB522" s="12"/>
      <c r="BC522" s="12"/>
      <c r="BD522" s="11">
        <v>2181</v>
      </c>
      <c r="BE522" s="13">
        <v>14147.21</v>
      </c>
      <c r="BF522" s="11">
        <v>34</v>
      </c>
      <c r="BG522" s="11"/>
      <c r="BH522" s="13"/>
      <c r="BI522" s="11"/>
      <c r="BJ522" s="12"/>
      <c r="BK522" s="12"/>
      <c r="BL522" s="11">
        <v>203</v>
      </c>
      <c r="BM522" s="13">
        <v>1256.53</v>
      </c>
      <c r="BN522" s="11">
        <v>34</v>
      </c>
      <c r="BO522" s="11"/>
      <c r="BP522" s="13"/>
      <c r="BQ522" s="11"/>
      <c r="BR522" s="12"/>
      <c r="BS522" s="12"/>
      <c r="BT522" s="11">
        <v>84</v>
      </c>
      <c r="BU522" s="13">
        <v>610.42</v>
      </c>
      <c r="BV522" s="11">
        <v>34</v>
      </c>
      <c r="BW522" s="11"/>
      <c r="BX522" s="13"/>
      <c r="BY522" s="11"/>
      <c r="BZ522" s="12"/>
      <c r="CA522" s="12"/>
      <c r="CB522" s="11">
        <v>1567</v>
      </c>
      <c r="CC522" s="13">
        <v>10258.91</v>
      </c>
      <c r="CD522" s="11">
        <v>22</v>
      </c>
      <c r="CE522" s="11"/>
      <c r="CF522" s="13"/>
      <c r="CG522" s="11"/>
      <c r="CH522" s="12"/>
      <c r="CI522" s="12"/>
      <c r="CJ522" s="11">
        <v>13</v>
      </c>
      <c r="CK522" s="13">
        <v>200.1</v>
      </c>
      <c r="CL522" s="11">
        <v>33</v>
      </c>
      <c r="CM522" s="11"/>
      <c r="CN522" s="13"/>
      <c r="CO522" s="11"/>
      <c r="CP522" s="12"/>
      <c r="CQ522" s="12"/>
      <c r="CR522" s="11"/>
      <c r="CS522" s="13"/>
      <c r="CT522" s="11"/>
      <c r="CU522" s="11"/>
      <c r="CV522" s="13"/>
      <c r="CW522" s="11"/>
      <c r="CX522" s="12"/>
      <c r="CY522" s="12"/>
      <c r="CZ522" s="11">
        <v>19</v>
      </c>
      <c r="DA522" s="13">
        <v>127.54</v>
      </c>
      <c r="DB522" s="11">
        <v>22</v>
      </c>
      <c r="DC522" s="11"/>
      <c r="DD522" s="13"/>
      <c r="DE522" s="11"/>
      <c r="DF522" s="12"/>
      <c r="DG522" s="12"/>
      <c r="DH522" s="11"/>
      <c r="DI522" s="13"/>
      <c r="DJ522" s="11"/>
      <c r="DK522" s="11"/>
      <c r="DL522" s="13"/>
      <c r="DM522" s="11"/>
      <c r="DN522" s="12"/>
      <c r="DO522" s="12"/>
      <c r="DP522" s="11"/>
      <c r="DQ522" s="13"/>
      <c r="DR522" s="11">
        <v>16</v>
      </c>
      <c r="DS522" s="11"/>
      <c r="DT522" s="13"/>
      <c r="DU522" s="11"/>
      <c r="DV522" s="12"/>
      <c r="DW522" s="12"/>
      <c r="DX522" s="11">
        <v>16</v>
      </c>
      <c r="DY522" s="13">
        <v>97.55</v>
      </c>
      <c r="DZ522" s="11">
        <v>22</v>
      </c>
      <c r="EA522" s="11"/>
      <c r="EB522" s="13"/>
      <c r="EC522" s="11"/>
      <c r="ED522" s="12"/>
      <c r="EE522" s="12"/>
      <c r="EF522" s="11"/>
      <c r="EG522" s="13"/>
      <c r="EH522" s="11"/>
      <c r="EI522" s="11"/>
      <c r="EJ522" s="13"/>
      <c r="EK522" s="11"/>
      <c r="EL522" s="12"/>
      <c r="EM522" s="12"/>
      <c r="EN522" s="11">
        <v>2</v>
      </c>
      <c r="EO522" s="13">
        <v>25.98</v>
      </c>
      <c r="EP522" s="11">
        <v>34</v>
      </c>
      <c r="EQ522" s="11"/>
      <c r="ER522" s="13"/>
      <c r="ES522" s="11"/>
      <c r="ET522" s="12"/>
      <c r="EU522" s="12"/>
      <c r="EV522" s="11">
        <v>3</v>
      </c>
      <c r="EW522" s="13">
        <v>15.12</v>
      </c>
      <c r="EX522" s="11">
        <v>6</v>
      </c>
      <c r="EY522" s="11"/>
      <c r="EZ522" s="13"/>
      <c r="FA522" s="11"/>
      <c r="FB522" s="12"/>
      <c r="FC522" s="12"/>
      <c r="FD522" s="11">
        <v>148</v>
      </c>
      <c r="FE522" s="13">
        <v>921.4</v>
      </c>
      <c r="FF522" s="11">
        <v>16</v>
      </c>
      <c r="FG522" s="11"/>
      <c r="FH522" s="13"/>
      <c r="FI522" s="11"/>
      <c r="FJ522" s="12"/>
      <c r="FK522" s="12"/>
      <c r="FL522" s="11"/>
      <c r="FM522" s="13"/>
      <c r="FN522" s="11"/>
      <c r="FO522" s="11"/>
      <c r="FP522" s="13"/>
      <c r="FQ522" s="11"/>
      <c r="FR522" s="12"/>
      <c r="FS522" s="12"/>
      <c r="FT522" s="11"/>
      <c r="FU522" s="13"/>
      <c r="FV522" s="11"/>
      <c r="FW522" s="11"/>
      <c r="FX522" s="13"/>
      <c r="FY522" s="11"/>
      <c r="FZ522" s="12"/>
      <c r="GA522" s="12"/>
      <c r="GB522" s="11"/>
      <c r="GC522" s="13"/>
      <c r="GD522" s="11"/>
      <c r="GE522" s="11"/>
      <c r="GF522" s="13"/>
      <c r="GG522" s="11"/>
      <c r="GH522" s="12"/>
      <c r="GI522" s="12"/>
      <c r="GJ522" s="11"/>
      <c r="GK522" s="13"/>
      <c r="GL522" s="11"/>
      <c r="GM522" s="11"/>
      <c r="GN522" s="13"/>
      <c r="GO522" s="11"/>
      <c r="GP522" s="12"/>
      <c r="GQ522" s="12"/>
      <c r="GR522" s="11"/>
      <c r="GS522" s="13"/>
      <c r="GT522" s="11">
        <v>2</v>
      </c>
      <c r="GU522" s="11"/>
      <c r="GV522" s="13"/>
      <c r="GW522" s="11"/>
      <c r="GX522" s="12"/>
      <c r="GY522" s="12"/>
      <c r="GZ522" s="11"/>
      <c r="HA522" s="13"/>
      <c r="HB522" s="11"/>
      <c r="HC522" s="11"/>
      <c r="HD522" s="13"/>
      <c r="HE522" s="11"/>
      <c r="HF522" s="12"/>
      <c r="HG522" s="12"/>
      <c r="HH522" s="11"/>
      <c r="HI522" s="13"/>
      <c r="HJ522" s="11"/>
      <c r="HK522" s="11"/>
      <c r="HL522" s="13"/>
      <c r="HM522" s="11"/>
      <c r="HN522" s="12"/>
      <c r="HO522" s="12"/>
      <c r="HP522" s="11"/>
      <c r="HQ522" s="13"/>
      <c r="HR522" s="11"/>
      <c r="HS522" s="11"/>
      <c r="HT522" s="13"/>
      <c r="HU522" s="11"/>
      <c r="HV522" s="12"/>
      <c r="HW522" s="12"/>
      <c r="HX522" s="11"/>
      <c r="HY522" s="13"/>
      <c r="HZ522" s="11"/>
      <c r="IA522" s="11"/>
      <c r="IB522" s="13"/>
      <c r="IC522" s="11"/>
      <c r="ID522" s="12"/>
      <c r="IE522" s="12"/>
      <c r="IF522" s="11"/>
      <c r="IG522" s="13"/>
      <c r="IH522" s="11"/>
      <c r="II522" s="11"/>
      <c r="IJ522" s="13"/>
      <c r="IK522" s="11"/>
      <c r="IL522" s="12"/>
      <c r="IM522" s="12"/>
      <c r="IN522" s="11"/>
      <c r="IO522" s="13"/>
      <c r="IP522" s="11"/>
      <c r="IQ522" s="11"/>
      <c r="IR522" s="13"/>
      <c r="IS522" s="11"/>
      <c r="IT522" s="12"/>
      <c r="IU522" s="12"/>
      <c r="IV522" s="11"/>
      <c r="IW522" s="13"/>
      <c r="IX522" s="11"/>
      <c r="IY522" s="11"/>
      <c r="IZ522" s="13"/>
      <c r="JA522" s="11"/>
      <c r="JB522" s="12"/>
      <c r="JC522" s="12"/>
      <c r="JD522" s="11"/>
      <c r="JE522" s="13"/>
      <c r="JF522" s="11"/>
      <c r="JG522" s="11"/>
      <c r="JH522" s="13"/>
      <c r="JI522" s="11"/>
      <c r="JJ522" s="12"/>
      <c r="JK522" s="12"/>
      <c r="JL522" s="11"/>
      <c r="JM522" s="13"/>
      <c r="JN522" s="11"/>
      <c r="JO522" s="11"/>
      <c r="JP522" s="13"/>
      <c r="JQ522" s="11"/>
      <c r="JR522" s="12"/>
      <c r="JS522" s="12"/>
      <c r="JT522" s="11"/>
      <c r="JU522" s="13"/>
      <c r="JV522" s="11"/>
      <c r="JW522" s="11"/>
      <c r="JX522" s="13"/>
      <c r="JY522" s="11"/>
      <c r="JZ522" s="12"/>
      <c r="KA522" s="12"/>
      <c r="KB522" s="11"/>
      <c r="KC522" s="13"/>
      <c r="KD522" s="11"/>
      <c r="KE522" s="11"/>
      <c r="KF522" s="13"/>
      <c r="KG522" s="11"/>
      <c r="KH522" s="12"/>
      <c r="KI522" s="12"/>
      <c r="KJ522" s="11"/>
      <c r="KK522" s="13"/>
      <c r="KL522" s="11"/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  <c r="LH522" s="11"/>
      <c r="LI522" s="13"/>
      <c r="LJ522" s="11"/>
      <c r="LK522" s="11"/>
      <c r="LL522" s="13"/>
      <c r="LM522" s="11"/>
      <c r="LN522" s="12"/>
      <c r="LO522" s="12"/>
      <c r="LP522" s="11"/>
      <c r="LQ522" s="13"/>
      <c r="LR522" s="11"/>
      <c r="LS522" s="11"/>
      <c r="LT522" s="13"/>
      <c r="LU522" s="11"/>
      <c r="LV522" s="12"/>
      <c r="LW522" s="12"/>
    </row>
    <row r="523">
      <c r="A523" s="10" t="s">
        <v>278</v>
      </c>
      <c r="B523" s="10" t="s">
        <v>117</v>
      </c>
      <c r="C523" s="10" t="s">
        <v>279</v>
      </c>
      <c r="D523" s="11">
        <v>110411</v>
      </c>
      <c r="E523" s="11">
        <f>=ROUNDDOWN(40.3018688859688,0)</f>
      </c>
      <c r="F523" s="11">
        <v>51812</v>
      </c>
      <c r="G523" s="12">
        <v>0.9107</v>
      </c>
      <c r="H523" s="11"/>
      <c r="I523" s="11">
        <f>=ROUNDDOWN({0},0)</f>
      </c>
      <c r="J523" s="11"/>
      <c r="K523" s="12"/>
      <c r="L523" s="11">
        <v>26545</v>
      </c>
      <c r="M523" s="13">
        <v>574625.77</v>
      </c>
      <c r="N523" s="11">
        <v>99</v>
      </c>
      <c r="O523" s="14">
        <v>5804.3</v>
      </c>
      <c r="P523" s="11"/>
      <c r="Q523" s="13"/>
      <c r="R523" s="11"/>
      <c r="S523" s="14"/>
      <c r="T523" s="12"/>
      <c r="U523" s="12"/>
      <c r="V523" s="12"/>
      <c r="W523" s="12"/>
      <c r="X523" s="11">
        <v>6274</v>
      </c>
      <c r="Y523" s="13">
        <v>122072.87</v>
      </c>
      <c r="Z523" s="11">
        <v>99</v>
      </c>
      <c r="AA523" s="11"/>
      <c r="AB523" s="13"/>
      <c r="AC523" s="11"/>
      <c r="AD523" s="12"/>
      <c r="AE523" s="12"/>
      <c r="AF523" s="11">
        <v>1087</v>
      </c>
      <c r="AG523" s="13">
        <v>20012.26</v>
      </c>
      <c r="AH523" s="11">
        <v>99</v>
      </c>
      <c r="AI523" s="11"/>
      <c r="AJ523" s="13"/>
      <c r="AK523" s="11"/>
      <c r="AL523" s="12"/>
      <c r="AM523" s="12"/>
      <c r="AN523" s="11">
        <v>4998</v>
      </c>
      <c r="AO523" s="13">
        <v>101192.97</v>
      </c>
      <c r="AP523" s="11">
        <v>99</v>
      </c>
      <c r="AQ523" s="11"/>
      <c r="AR523" s="13"/>
      <c r="AS523" s="11"/>
      <c r="AT523" s="12"/>
      <c r="AU523" s="12"/>
      <c r="AV523" s="11">
        <v>2440</v>
      </c>
      <c r="AW523" s="13">
        <v>47157.43</v>
      </c>
      <c r="AX523" s="11">
        <v>97</v>
      </c>
      <c r="AY523" s="11"/>
      <c r="AZ523" s="13"/>
      <c r="BA523" s="11"/>
      <c r="BB523" s="12"/>
      <c r="BC523" s="12"/>
      <c r="BD523" s="11">
        <v>2577</v>
      </c>
      <c r="BE523" s="13">
        <v>59770.85</v>
      </c>
      <c r="BF523" s="11">
        <v>99</v>
      </c>
      <c r="BG523" s="11"/>
      <c r="BH523" s="13"/>
      <c r="BI523" s="11"/>
      <c r="BJ523" s="12"/>
      <c r="BK523" s="12"/>
      <c r="BL523" s="11">
        <v>676</v>
      </c>
      <c r="BM523" s="13">
        <v>14602.95</v>
      </c>
      <c r="BN523" s="11">
        <v>99</v>
      </c>
      <c r="BO523" s="11"/>
      <c r="BP523" s="13"/>
      <c r="BQ523" s="11"/>
      <c r="BR523" s="12"/>
      <c r="BS523" s="12"/>
      <c r="BT523" s="11">
        <v>391</v>
      </c>
      <c r="BU523" s="13">
        <v>8857.25</v>
      </c>
      <c r="BV523" s="11">
        <v>99</v>
      </c>
      <c r="BW523" s="11"/>
      <c r="BX523" s="13"/>
      <c r="BY523" s="11"/>
      <c r="BZ523" s="12"/>
      <c r="CA523" s="12"/>
      <c r="CB523" s="11">
        <v>1241</v>
      </c>
      <c r="CC523" s="13">
        <v>25545.01</v>
      </c>
      <c r="CD523" s="11">
        <v>84</v>
      </c>
      <c r="CE523" s="11"/>
      <c r="CF523" s="13"/>
      <c r="CG523" s="11"/>
      <c r="CH523" s="12"/>
      <c r="CI523" s="12"/>
      <c r="CJ523" s="11">
        <v>6088</v>
      </c>
      <c r="CK523" s="13">
        <v>159571.31</v>
      </c>
      <c r="CL523" s="11">
        <v>99</v>
      </c>
      <c r="CM523" s="11"/>
      <c r="CN523" s="13"/>
      <c r="CO523" s="11"/>
      <c r="CP523" s="12"/>
      <c r="CQ523" s="12"/>
      <c r="CR523" s="11"/>
      <c r="CS523" s="13"/>
      <c r="CT523" s="11"/>
      <c r="CU523" s="11"/>
      <c r="CV523" s="13"/>
      <c r="CW523" s="11"/>
      <c r="CX523" s="12"/>
      <c r="CY523" s="12"/>
      <c r="CZ523" s="11">
        <v>38</v>
      </c>
      <c r="DA523" s="13">
        <v>840.07</v>
      </c>
      <c r="DB523" s="11">
        <v>24</v>
      </c>
      <c r="DC523" s="11"/>
      <c r="DD523" s="13"/>
      <c r="DE523" s="11"/>
      <c r="DF523" s="12"/>
      <c r="DG523" s="12"/>
      <c r="DH523" s="11"/>
      <c r="DI523" s="13"/>
      <c r="DJ523" s="11"/>
      <c r="DK523" s="11"/>
      <c r="DL523" s="13"/>
      <c r="DM523" s="11"/>
      <c r="DN523" s="12"/>
      <c r="DO523" s="12"/>
      <c r="DP523" s="11">
        <v>229</v>
      </c>
      <c r="DQ523" s="13">
        <v>4798.9</v>
      </c>
      <c r="DR523" s="11">
        <v>95</v>
      </c>
      <c r="DS523" s="11"/>
      <c r="DT523" s="13"/>
      <c r="DU523" s="11"/>
      <c r="DV523" s="12"/>
      <c r="DW523" s="12"/>
      <c r="DX523" s="11">
        <v>49</v>
      </c>
      <c r="DY523" s="13">
        <v>949.61</v>
      </c>
      <c r="DZ523" s="11">
        <v>50</v>
      </c>
      <c r="EA523" s="11"/>
      <c r="EB523" s="13"/>
      <c r="EC523" s="11"/>
      <c r="ED523" s="12"/>
      <c r="EE523" s="12"/>
      <c r="EF523" s="11"/>
      <c r="EG523" s="13"/>
      <c r="EH523" s="11"/>
      <c r="EI523" s="11"/>
      <c r="EJ523" s="13"/>
      <c r="EK523" s="11"/>
      <c r="EL523" s="12"/>
      <c r="EM523" s="12"/>
      <c r="EN523" s="11">
        <v>16</v>
      </c>
      <c r="EO523" s="13">
        <v>805.84</v>
      </c>
      <c r="EP523" s="11">
        <v>99</v>
      </c>
      <c r="EQ523" s="11"/>
      <c r="ER523" s="13"/>
      <c r="ES523" s="11"/>
      <c r="ET523" s="12"/>
      <c r="EU523" s="12"/>
      <c r="EV523" s="11">
        <v>54</v>
      </c>
      <c r="EW523" s="13">
        <v>1081.86</v>
      </c>
      <c r="EX523" s="11">
        <v>10</v>
      </c>
      <c r="EY523" s="11"/>
      <c r="EZ523" s="13"/>
      <c r="FA523" s="11"/>
      <c r="FB523" s="12"/>
      <c r="FC523" s="12"/>
      <c r="FD523" s="11">
        <v>310</v>
      </c>
      <c r="FE523" s="13">
        <v>6421.74</v>
      </c>
      <c r="FF523" s="11">
        <v>36</v>
      </c>
      <c r="FG523" s="11"/>
      <c r="FH523" s="13"/>
      <c r="FI523" s="11"/>
      <c r="FJ523" s="12"/>
      <c r="FK523" s="12"/>
      <c r="FL523" s="11"/>
      <c r="FM523" s="13"/>
      <c r="FN523" s="11"/>
      <c r="FO523" s="11"/>
      <c r="FP523" s="13"/>
      <c r="FQ523" s="11"/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/>
      <c r="GE523" s="11"/>
      <c r="GF523" s="13"/>
      <c r="GG523" s="11"/>
      <c r="GH523" s="12"/>
      <c r="GI523" s="12"/>
      <c r="GJ523" s="11"/>
      <c r="GK523" s="13"/>
      <c r="GL523" s="11"/>
      <c r="GM523" s="11"/>
      <c r="GN523" s="13"/>
      <c r="GO523" s="11"/>
      <c r="GP523" s="12"/>
      <c r="GQ523" s="12"/>
      <c r="GR523" s="11"/>
      <c r="GS523" s="13"/>
      <c r="GT523" s="11">
        <v>54</v>
      </c>
      <c r="GU523" s="11"/>
      <c r="GV523" s="13"/>
      <c r="GW523" s="11"/>
      <c r="GX523" s="12"/>
      <c r="GY523" s="12"/>
      <c r="GZ523" s="11">
        <v>32</v>
      </c>
      <c r="HA523" s="13">
        <v>745.46</v>
      </c>
      <c r="HB523" s="11">
        <v>23</v>
      </c>
      <c r="HC523" s="11"/>
      <c r="HD523" s="13"/>
      <c r="HE523" s="11"/>
      <c r="HF523" s="12"/>
      <c r="HG523" s="12"/>
      <c r="HH523" s="11"/>
      <c r="HI523" s="13"/>
      <c r="HJ523" s="11"/>
      <c r="HK523" s="11"/>
      <c r="HL523" s="13"/>
      <c r="HM523" s="11"/>
      <c r="HN523" s="12"/>
      <c r="HO523" s="12"/>
      <c r="HP523" s="11"/>
      <c r="HQ523" s="13"/>
      <c r="HR523" s="11"/>
      <c r="HS523" s="11"/>
      <c r="HT523" s="13"/>
      <c r="HU523" s="11"/>
      <c r="HV523" s="12"/>
      <c r="HW523" s="12"/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/>
      <c r="II523" s="11"/>
      <c r="IJ523" s="13"/>
      <c r="IK523" s="11"/>
      <c r="IL523" s="12"/>
      <c r="IM523" s="12"/>
      <c r="IN523" s="11"/>
      <c r="IO523" s="13"/>
      <c r="IP523" s="11"/>
      <c r="IQ523" s="11"/>
      <c r="IR523" s="13"/>
      <c r="IS523" s="11"/>
      <c r="IT523" s="12"/>
      <c r="IU523" s="12"/>
      <c r="IV523" s="11">
        <v>3</v>
      </c>
      <c r="IW523" s="13">
        <v>82.42</v>
      </c>
      <c r="IX523" s="11">
        <v>25</v>
      </c>
      <c r="IY523" s="11"/>
      <c r="IZ523" s="13"/>
      <c r="JA523" s="11"/>
      <c r="JB523" s="12"/>
      <c r="JC523" s="12"/>
      <c r="JD523" s="11"/>
      <c r="JE523" s="13"/>
      <c r="JF523" s="11"/>
      <c r="JG523" s="11"/>
      <c r="JH523" s="13"/>
      <c r="JI523" s="11"/>
      <c r="JJ523" s="12"/>
      <c r="JK523" s="12"/>
      <c r="JL523" s="11"/>
      <c r="JM523" s="13"/>
      <c r="JN523" s="11"/>
      <c r="JO523" s="11"/>
      <c r="JP523" s="13"/>
      <c r="JQ523" s="11"/>
      <c r="JR523" s="12"/>
      <c r="JS523" s="12"/>
      <c r="JT523" s="11">
        <v>42</v>
      </c>
      <c r="JU523" s="13">
        <v>116.97</v>
      </c>
      <c r="JV523" s="11">
        <v>67</v>
      </c>
      <c r="JW523" s="11"/>
      <c r="JX523" s="13"/>
      <c r="JY523" s="11"/>
      <c r="JZ523" s="12"/>
      <c r="KA523" s="12"/>
      <c r="KB523" s="11"/>
      <c r="KC523" s="13"/>
      <c r="KD523" s="11"/>
      <c r="KE523" s="11"/>
      <c r="KF523" s="13"/>
      <c r="KG523" s="11"/>
      <c r="KH523" s="12"/>
      <c r="KI523" s="12"/>
      <c r="KJ523" s="11"/>
      <c r="KK523" s="13"/>
      <c r="KL523" s="11"/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  <c r="LH523" s="11"/>
      <c r="LI523" s="13"/>
      <c r="LJ523" s="11"/>
      <c r="LK523" s="11"/>
      <c r="LL523" s="13"/>
      <c r="LM523" s="11"/>
      <c r="LN523" s="12"/>
      <c r="LO523" s="12"/>
      <c r="LP523" s="11"/>
      <c r="LQ523" s="13"/>
      <c r="LR523" s="11"/>
      <c r="LS523" s="11"/>
      <c r="LT523" s="13"/>
      <c r="LU523" s="11"/>
      <c r="LV523" s="12"/>
      <c r="LW523" s="12"/>
    </row>
    <row r="524">
      <c r="A524" s="10" t="s">
        <v>278</v>
      </c>
      <c r="B524" s="10" t="s">
        <v>119</v>
      </c>
      <c r="C524" s="10" t="s">
        <v>77</v>
      </c>
      <c r="D524" s="11">
        <v>122859</v>
      </c>
      <c r="E524" s="11">
        <f>=ROUNDDOWN({0},0)</f>
      </c>
      <c r="F524" s="11">
        <v>70516</v>
      </c>
      <c r="G524" s="12"/>
      <c r="H524" s="11"/>
      <c r="I524" s="11">
        <f>=ROUNDDOWN({0},0)</f>
      </c>
      <c r="J524" s="11"/>
      <c r="K524" s="12"/>
      <c r="L524" s="11">
        <v>34129</v>
      </c>
      <c r="M524" s="13">
        <v>622226.21</v>
      </c>
      <c r="N524" s="11">
        <v>133</v>
      </c>
      <c r="O524" s="14">
        <v>4678.39</v>
      </c>
      <c r="P524" s="11"/>
      <c r="Q524" s="13"/>
      <c r="R524" s="11"/>
      <c r="S524" s="14"/>
      <c r="T524" s="12"/>
      <c r="U524" s="12"/>
      <c r="V524" s="12"/>
      <c r="W524" s="12"/>
      <c r="X524" s="11">
        <v>6854</v>
      </c>
      <c r="Y524" s="13">
        <v>125900.68</v>
      </c>
      <c r="Z524" s="11">
        <v>133</v>
      </c>
      <c r="AA524" s="11"/>
      <c r="AB524" s="13"/>
      <c r="AC524" s="11"/>
      <c r="AD524" s="12"/>
      <c r="AE524" s="12"/>
      <c r="AF524" s="11">
        <v>1400</v>
      </c>
      <c r="AG524" s="13">
        <v>21727.1</v>
      </c>
      <c r="AH524" s="11">
        <v>133</v>
      </c>
      <c r="AI524" s="11"/>
      <c r="AJ524" s="13"/>
      <c r="AK524" s="11"/>
      <c r="AL524" s="12"/>
      <c r="AM524" s="12"/>
      <c r="AN524" s="11">
        <v>6123</v>
      </c>
      <c r="AO524" s="13">
        <v>107070</v>
      </c>
      <c r="AP524" s="11">
        <v>133</v>
      </c>
      <c r="AQ524" s="11"/>
      <c r="AR524" s="13"/>
      <c r="AS524" s="11"/>
      <c r="AT524" s="12"/>
      <c r="AU524" s="12"/>
      <c r="AV524" s="11">
        <v>3770</v>
      </c>
      <c r="AW524" s="13">
        <v>55677.43</v>
      </c>
      <c r="AX524" s="11">
        <v>131</v>
      </c>
      <c r="AY524" s="11"/>
      <c r="AZ524" s="13"/>
      <c r="BA524" s="11"/>
      <c r="BB524" s="12"/>
      <c r="BC524" s="12"/>
      <c r="BD524" s="11">
        <v>4758</v>
      </c>
      <c r="BE524" s="13">
        <v>73918.06</v>
      </c>
      <c r="BF524" s="11">
        <v>133</v>
      </c>
      <c r="BG524" s="11"/>
      <c r="BH524" s="13"/>
      <c r="BI524" s="11"/>
      <c r="BJ524" s="12"/>
      <c r="BK524" s="12"/>
      <c r="BL524" s="11">
        <v>879</v>
      </c>
      <c r="BM524" s="13">
        <v>15859.48</v>
      </c>
      <c r="BN524" s="11">
        <v>133</v>
      </c>
      <c r="BO524" s="11"/>
      <c r="BP524" s="13"/>
      <c r="BQ524" s="11"/>
      <c r="BR524" s="12"/>
      <c r="BS524" s="12"/>
      <c r="BT524" s="11">
        <v>475</v>
      </c>
      <c r="BU524" s="13">
        <v>9467.67</v>
      </c>
      <c r="BV524" s="11">
        <v>133</v>
      </c>
      <c r="BW524" s="11"/>
      <c r="BX524" s="13"/>
      <c r="BY524" s="11"/>
      <c r="BZ524" s="12"/>
      <c r="CA524" s="12"/>
      <c r="CB524" s="11">
        <v>2808</v>
      </c>
      <c r="CC524" s="13">
        <v>35803.92</v>
      </c>
      <c r="CD524" s="11">
        <v>106</v>
      </c>
      <c r="CE524" s="11"/>
      <c r="CF524" s="13"/>
      <c r="CG524" s="11"/>
      <c r="CH524" s="12"/>
      <c r="CI524" s="12"/>
      <c r="CJ524" s="11">
        <v>6101</v>
      </c>
      <c r="CK524" s="13">
        <v>159771.41</v>
      </c>
      <c r="CL524" s="11">
        <v>132</v>
      </c>
      <c r="CM524" s="11"/>
      <c r="CN524" s="13"/>
      <c r="CO524" s="11"/>
      <c r="CP524" s="12"/>
      <c r="CQ524" s="12"/>
      <c r="CR524" s="11"/>
      <c r="CS524" s="13"/>
      <c r="CT524" s="11"/>
      <c r="CU524" s="11"/>
      <c r="CV524" s="13"/>
      <c r="CW524" s="11"/>
      <c r="CX524" s="12"/>
      <c r="CY524" s="12"/>
      <c r="CZ524" s="11">
        <v>57</v>
      </c>
      <c r="DA524" s="13">
        <v>967.61</v>
      </c>
      <c r="DB524" s="11">
        <v>46</v>
      </c>
      <c r="DC524" s="11"/>
      <c r="DD524" s="13"/>
      <c r="DE524" s="11"/>
      <c r="DF524" s="12"/>
      <c r="DG524" s="12"/>
      <c r="DH524" s="11"/>
      <c r="DI524" s="13"/>
      <c r="DJ524" s="11"/>
      <c r="DK524" s="11"/>
      <c r="DL524" s="13"/>
      <c r="DM524" s="11"/>
      <c r="DN524" s="12"/>
      <c r="DO524" s="12"/>
      <c r="DP524" s="11">
        <v>229</v>
      </c>
      <c r="DQ524" s="13">
        <v>4798.9</v>
      </c>
      <c r="DR524" s="11">
        <v>111</v>
      </c>
      <c r="DS524" s="11"/>
      <c r="DT524" s="13"/>
      <c r="DU524" s="11"/>
      <c r="DV524" s="12"/>
      <c r="DW524" s="12"/>
      <c r="DX524" s="11">
        <v>65</v>
      </c>
      <c r="DY524" s="13">
        <v>1047.16</v>
      </c>
      <c r="DZ524" s="11">
        <v>72</v>
      </c>
      <c r="EA524" s="11"/>
      <c r="EB524" s="13"/>
      <c r="EC524" s="11"/>
      <c r="ED524" s="12"/>
      <c r="EE524" s="12"/>
      <c r="EF524" s="11"/>
      <c r="EG524" s="13"/>
      <c r="EH524" s="11"/>
      <c r="EI524" s="11"/>
      <c r="EJ524" s="13"/>
      <c r="EK524" s="11"/>
      <c r="EL524" s="12"/>
      <c r="EM524" s="12"/>
      <c r="EN524" s="11">
        <v>18</v>
      </c>
      <c r="EO524" s="13">
        <v>831.82</v>
      </c>
      <c r="EP524" s="11">
        <v>133</v>
      </c>
      <c r="EQ524" s="11"/>
      <c r="ER524" s="13"/>
      <c r="ES524" s="11"/>
      <c r="ET524" s="12"/>
      <c r="EU524" s="12"/>
      <c r="EV524" s="11">
        <v>57</v>
      </c>
      <c r="EW524" s="13">
        <v>1096.98</v>
      </c>
      <c r="EX524" s="11">
        <v>16</v>
      </c>
      <c r="EY524" s="11"/>
      <c r="EZ524" s="13"/>
      <c r="FA524" s="11"/>
      <c r="FB524" s="12"/>
      <c r="FC524" s="12"/>
      <c r="FD524" s="11">
        <v>458</v>
      </c>
      <c r="FE524" s="13">
        <v>7343.14</v>
      </c>
      <c r="FF524" s="11">
        <v>52</v>
      </c>
      <c r="FG524" s="11"/>
      <c r="FH524" s="13"/>
      <c r="FI524" s="11"/>
      <c r="FJ524" s="12"/>
      <c r="FK524" s="12"/>
      <c r="FL524" s="11"/>
      <c r="FM524" s="13"/>
      <c r="FN524" s="11"/>
      <c r="FO524" s="11"/>
      <c r="FP524" s="13"/>
      <c r="FQ524" s="11"/>
      <c r="FR524" s="12"/>
      <c r="FS524" s="12"/>
      <c r="FT524" s="11"/>
      <c r="FU524" s="13"/>
      <c r="FV524" s="11"/>
      <c r="FW524" s="11"/>
      <c r="FX524" s="13"/>
      <c r="FY524" s="11"/>
      <c r="FZ524" s="12"/>
      <c r="GA524" s="12"/>
      <c r="GB524" s="11"/>
      <c r="GC524" s="13"/>
      <c r="GD524" s="11"/>
      <c r="GE524" s="11"/>
      <c r="GF524" s="13"/>
      <c r="GG524" s="11"/>
      <c r="GH524" s="12"/>
      <c r="GI524" s="12"/>
      <c r="GJ524" s="11"/>
      <c r="GK524" s="13"/>
      <c r="GL524" s="11"/>
      <c r="GM524" s="11"/>
      <c r="GN524" s="13"/>
      <c r="GO524" s="11"/>
      <c r="GP524" s="12"/>
      <c r="GQ524" s="12"/>
      <c r="GR524" s="11"/>
      <c r="GS524" s="13"/>
      <c r="GT524" s="11">
        <v>56</v>
      </c>
      <c r="GU524" s="11"/>
      <c r="GV524" s="13"/>
      <c r="GW524" s="11"/>
      <c r="GX524" s="12"/>
      <c r="GY524" s="12"/>
      <c r="GZ524" s="11">
        <v>32</v>
      </c>
      <c r="HA524" s="13">
        <v>745.46</v>
      </c>
      <c r="HB524" s="11">
        <v>23</v>
      </c>
      <c r="HC524" s="11"/>
      <c r="HD524" s="13"/>
      <c r="HE524" s="11"/>
      <c r="HF524" s="12"/>
      <c r="HG524" s="12"/>
      <c r="HH524" s="11"/>
      <c r="HI524" s="13"/>
      <c r="HJ524" s="11"/>
      <c r="HK524" s="11"/>
      <c r="HL524" s="13"/>
      <c r="HM524" s="11"/>
      <c r="HN524" s="12"/>
      <c r="HO524" s="12"/>
      <c r="HP524" s="11"/>
      <c r="HQ524" s="13"/>
      <c r="HR524" s="11"/>
      <c r="HS524" s="11"/>
      <c r="HT524" s="13"/>
      <c r="HU524" s="11"/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/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>
        <v>3</v>
      </c>
      <c r="IW524" s="13">
        <v>82.42</v>
      </c>
      <c r="IX524" s="11">
        <v>25</v>
      </c>
      <c r="IY524" s="11"/>
      <c r="IZ524" s="13"/>
      <c r="JA524" s="11"/>
      <c r="JB524" s="12"/>
      <c r="JC524" s="12"/>
      <c r="JD524" s="11"/>
      <c r="JE524" s="13"/>
      <c r="JF524" s="11"/>
      <c r="JG524" s="11"/>
      <c r="JH524" s="13"/>
      <c r="JI524" s="11"/>
      <c r="JJ524" s="12"/>
      <c r="JK524" s="12"/>
      <c r="JL524" s="11"/>
      <c r="JM524" s="13"/>
      <c r="JN524" s="11"/>
      <c r="JO524" s="11"/>
      <c r="JP524" s="13"/>
      <c r="JQ524" s="11"/>
      <c r="JR524" s="12"/>
      <c r="JS524" s="12"/>
      <c r="JT524" s="11">
        <v>42</v>
      </c>
      <c r="JU524" s="13">
        <v>116.97</v>
      </c>
      <c r="JV524" s="11">
        <v>67</v>
      </c>
      <c r="JW524" s="11"/>
      <c r="JX524" s="13"/>
      <c r="JY524" s="11"/>
      <c r="JZ524" s="12"/>
      <c r="KA524" s="12"/>
      <c r="KB524" s="11"/>
      <c r="KC524" s="13"/>
      <c r="KD524" s="11"/>
      <c r="KE524" s="11"/>
      <c r="KF524" s="13"/>
      <c r="KG524" s="11"/>
      <c r="KH524" s="12"/>
      <c r="KI524" s="12"/>
      <c r="KJ524" s="11"/>
      <c r="KK524" s="13"/>
      <c r="KL524" s="11"/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  <c r="LH524" s="11"/>
      <c r="LI524" s="13"/>
      <c r="LJ524" s="11"/>
      <c r="LK524" s="11"/>
      <c r="LL524" s="13"/>
      <c r="LM524" s="11"/>
      <c r="LN524" s="12"/>
      <c r="LO524" s="12"/>
      <c r="LP524" s="11"/>
      <c r="LQ524" s="13"/>
      <c r="LR524" s="11"/>
      <c r="LS524" s="11"/>
      <c r="LT524" s="13"/>
      <c r="LU524" s="11"/>
      <c r="LV524" s="12"/>
      <c r="LW524" s="12"/>
    </row>
    <row r="525">
      <c r="A525" s="10" t="s">
        <v>278</v>
      </c>
      <c r="B525" s="10" t="s">
        <v>190</v>
      </c>
      <c r="C525" s="10" t="s">
        <v>279</v>
      </c>
      <c r="D525" s="11">
        <v>3110</v>
      </c>
      <c r="E525" s="11">
        <f>=ROUNDDOWN(22.1509971509971,0)</f>
      </c>
      <c r="F525" s="11">
        <v>1152</v>
      </c>
      <c r="G525" s="12">
        <v>0.9402</v>
      </c>
      <c r="H525" s="11"/>
      <c r="I525" s="11">
        <f>=ROUNDDOWN({0},0)</f>
      </c>
      <c r="J525" s="11"/>
      <c r="K525" s="12"/>
      <c r="L525" s="11">
        <v>2253</v>
      </c>
      <c r="M525" s="13">
        <v>51875.59</v>
      </c>
      <c r="N525" s="11">
        <v>17</v>
      </c>
      <c r="O525" s="14">
        <v>3051.51</v>
      </c>
      <c r="P525" s="11"/>
      <c r="Q525" s="13"/>
      <c r="R525" s="11"/>
      <c r="S525" s="14"/>
      <c r="T525" s="12"/>
      <c r="U525" s="12"/>
      <c r="V525" s="12"/>
      <c r="W525" s="12"/>
      <c r="X525" s="11">
        <v>1339</v>
      </c>
      <c r="Y525" s="13">
        <v>30134.36</v>
      </c>
      <c r="Z525" s="11">
        <v>17</v>
      </c>
      <c r="AA525" s="11"/>
      <c r="AB525" s="13"/>
      <c r="AC525" s="11"/>
      <c r="AD525" s="12"/>
      <c r="AE525" s="12"/>
      <c r="AF525" s="11">
        <v>196</v>
      </c>
      <c r="AG525" s="13">
        <v>4329.86</v>
      </c>
      <c r="AH525" s="11">
        <v>17</v>
      </c>
      <c r="AI525" s="11"/>
      <c r="AJ525" s="13"/>
      <c r="AK525" s="11"/>
      <c r="AL525" s="12"/>
      <c r="AM525" s="12"/>
      <c r="AN525" s="11">
        <v>162</v>
      </c>
      <c r="AO525" s="13">
        <v>2859.6</v>
      </c>
      <c r="AP525" s="11">
        <v>17</v>
      </c>
      <c r="AQ525" s="11"/>
      <c r="AR525" s="13"/>
      <c r="AS525" s="11"/>
      <c r="AT525" s="12"/>
      <c r="AU525" s="12"/>
      <c r="AV525" s="11">
        <v>166</v>
      </c>
      <c r="AW525" s="13">
        <v>4310.88</v>
      </c>
      <c r="AX525" s="11">
        <v>12</v>
      </c>
      <c r="AY525" s="11"/>
      <c r="AZ525" s="13"/>
      <c r="BA525" s="11"/>
      <c r="BB525" s="12"/>
      <c r="BC525" s="12"/>
      <c r="BD525" s="11">
        <v>269</v>
      </c>
      <c r="BE525" s="13">
        <v>7189.26</v>
      </c>
      <c r="BF525" s="11">
        <v>15</v>
      </c>
      <c r="BG525" s="11"/>
      <c r="BH525" s="13"/>
      <c r="BI525" s="11"/>
      <c r="BJ525" s="12"/>
      <c r="BK525" s="12"/>
      <c r="BL525" s="11">
        <v>19</v>
      </c>
      <c r="BM525" s="13">
        <v>545.18</v>
      </c>
      <c r="BN525" s="11">
        <v>17</v>
      </c>
      <c r="BO525" s="11"/>
      <c r="BP525" s="13"/>
      <c r="BQ525" s="11"/>
      <c r="BR525" s="12"/>
      <c r="BS525" s="12"/>
      <c r="BT525" s="11">
        <v>30</v>
      </c>
      <c r="BU525" s="13">
        <v>468.67</v>
      </c>
      <c r="BV525" s="11">
        <v>17</v>
      </c>
      <c r="BW525" s="11"/>
      <c r="BX525" s="13"/>
      <c r="BY525" s="11"/>
      <c r="BZ525" s="12"/>
      <c r="CA525" s="12"/>
      <c r="CB525" s="11"/>
      <c r="CC525" s="13"/>
      <c r="CD525" s="11"/>
      <c r="CE525" s="11"/>
      <c r="CF525" s="13"/>
      <c r="CG525" s="11"/>
      <c r="CH525" s="12"/>
      <c r="CI525" s="12"/>
      <c r="CJ525" s="11">
        <v>28</v>
      </c>
      <c r="CK525" s="13">
        <v>882.8</v>
      </c>
      <c r="CL525" s="11">
        <v>17</v>
      </c>
      <c r="CM525" s="11"/>
      <c r="CN525" s="13"/>
      <c r="CO525" s="11"/>
      <c r="CP525" s="12"/>
      <c r="CQ525" s="12"/>
      <c r="CR525" s="11"/>
      <c r="CS525" s="13"/>
      <c r="CT525" s="11"/>
      <c r="CU525" s="11"/>
      <c r="CV525" s="13"/>
      <c r="CW525" s="11"/>
      <c r="CX525" s="12"/>
      <c r="CY525" s="12"/>
      <c r="CZ525" s="11"/>
      <c r="DA525" s="13"/>
      <c r="DB525" s="11"/>
      <c r="DC525" s="11"/>
      <c r="DD525" s="13"/>
      <c r="DE525" s="11"/>
      <c r="DF525" s="12"/>
      <c r="DG525" s="12"/>
      <c r="DH525" s="11"/>
      <c r="DI525" s="13"/>
      <c r="DJ525" s="11"/>
      <c r="DK525" s="11"/>
      <c r="DL525" s="13"/>
      <c r="DM525" s="11"/>
      <c r="DN525" s="12"/>
      <c r="DO525" s="12"/>
      <c r="DP525" s="11">
        <v>24</v>
      </c>
      <c r="DQ525" s="13">
        <v>570.92</v>
      </c>
      <c r="DR525" s="11">
        <v>15</v>
      </c>
      <c r="DS525" s="11"/>
      <c r="DT525" s="13"/>
      <c r="DU525" s="11"/>
      <c r="DV525" s="12"/>
      <c r="DW525" s="12"/>
      <c r="DX525" s="11">
        <v>2</v>
      </c>
      <c r="DY525" s="13">
        <v>57.06</v>
      </c>
      <c r="DZ525" s="11">
        <v>12</v>
      </c>
      <c r="EA525" s="11"/>
      <c r="EB525" s="13"/>
      <c r="EC525" s="11"/>
      <c r="ED525" s="12"/>
      <c r="EE525" s="12"/>
      <c r="EF525" s="11"/>
      <c r="EG525" s="13"/>
      <c r="EH525" s="11"/>
      <c r="EI525" s="11"/>
      <c r="EJ525" s="13"/>
      <c r="EK525" s="11"/>
      <c r="EL525" s="12"/>
      <c r="EM525" s="12"/>
      <c r="EN525" s="11"/>
      <c r="EO525" s="13"/>
      <c r="EP525" s="11">
        <v>17</v>
      </c>
      <c r="EQ525" s="11"/>
      <c r="ER525" s="13"/>
      <c r="ES525" s="11"/>
      <c r="ET525" s="12"/>
      <c r="EU525" s="12"/>
      <c r="EV525" s="11">
        <v>2</v>
      </c>
      <c r="EW525" s="13">
        <v>42</v>
      </c>
      <c r="EX525" s="11">
        <v>3</v>
      </c>
      <c r="EY525" s="11"/>
      <c r="EZ525" s="13"/>
      <c r="FA525" s="11"/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>
        <v>16</v>
      </c>
      <c r="GU525" s="11"/>
      <c r="GV525" s="13"/>
      <c r="GW525" s="11"/>
      <c r="GX525" s="12"/>
      <c r="GY525" s="12"/>
      <c r="GZ525" s="11">
        <v>16</v>
      </c>
      <c r="HA525" s="13">
        <v>485</v>
      </c>
      <c r="HB525" s="11">
        <v>8</v>
      </c>
      <c r="HC525" s="11"/>
      <c r="HD525" s="13"/>
      <c r="HE525" s="11"/>
      <c r="HF525" s="12"/>
      <c r="HG525" s="12"/>
      <c r="HH525" s="11"/>
      <c r="HI525" s="13"/>
      <c r="HJ525" s="11"/>
      <c r="HK525" s="11"/>
      <c r="HL525" s="13"/>
      <c r="HM525" s="11"/>
      <c r="HN525" s="12"/>
      <c r="HO525" s="12"/>
      <c r="HP525" s="11"/>
      <c r="HQ525" s="13"/>
      <c r="HR525" s="11"/>
      <c r="HS525" s="11"/>
      <c r="HT525" s="13"/>
      <c r="HU525" s="11"/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/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/>
      <c r="JG525" s="11"/>
      <c r="JH525" s="13"/>
      <c r="JI525" s="11"/>
      <c r="JJ525" s="12"/>
      <c r="JK525" s="12"/>
      <c r="JL525" s="11"/>
      <c r="JM525" s="13"/>
      <c r="JN525" s="11"/>
      <c r="JO525" s="11"/>
      <c r="JP525" s="13"/>
      <c r="JQ525" s="11"/>
      <c r="JR525" s="12"/>
      <c r="JS525" s="12"/>
      <c r="JT525" s="11"/>
      <c r="JU525" s="13"/>
      <c r="JV525" s="11">
        <v>5</v>
      </c>
      <c r="JW525" s="11"/>
      <c r="JX525" s="13"/>
      <c r="JY525" s="11"/>
      <c r="JZ525" s="12"/>
      <c r="KA525" s="12"/>
      <c r="KB525" s="11"/>
      <c r="KC525" s="13"/>
      <c r="KD525" s="11"/>
      <c r="KE525" s="11"/>
      <c r="KF525" s="13"/>
      <c r="KG525" s="11"/>
      <c r="KH525" s="12"/>
      <c r="KI525" s="12"/>
      <c r="KJ525" s="11"/>
      <c r="KK525" s="13"/>
      <c r="KL525" s="11"/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  <c r="LH525" s="11"/>
      <c r="LI525" s="13"/>
      <c r="LJ525" s="11"/>
      <c r="LK525" s="11"/>
      <c r="LL525" s="13"/>
      <c r="LM525" s="11"/>
      <c r="LN525" s="12"/>
      <c r="LO525" s="12"/>
      <c r="LP525" s="11"/>
      <c r="LQ525" s="13"/>
      <c r="LR525" s="11"/>
      <c r="LS525" s="11"/>
      <c r="LT525" s="13"/>
      <c r="LU525" s="11"/>
      <c r="LV525" s="12"/>
      <c r="LW525" s="12"/>
    </row>
    <row r="526">
      <c r="A526" s="10" t="s">
        <v>278</v>
      </c>
      <c r="B526" s="10" t="s">
        <v>191</v>
      </c>
      <c r="C526" s="10" t="s">
        <v>77</v>
      </c>
      <c r="D526" s="11">
        <v>3110</v>
      </c>
      <c r="E526" s="11">
        <f>=ROUNDDOWN({0},0)</f>
      </c>
      <c r="F526" s="11">
        <v>1152</v>
      </c>
      <c r="G526" s="12"/>
      <c r="H526" s="11"/>
      <c r="I526" s="11">
        <f>=ROUNDDOWN({0},0)</f>
      </c>
      <c r="J526" s="11"/>
      <c r="K526" s="12"/>
      <c r="L526" s="11">
        <v>2253</v>
      </c>
      <c r="M526" s="13">
        <v>51875.59</v>
      </c>
      <c r="N526" s="11">
        <v>17</v>
      </c>
      <c r="O526" s="14">
        <v>3051.51</v>
      </c>
      <c r="P526" s="11"/>
      <c r="Q526" s="13"/>
      <c r="R526" s="11"/>
      <c r="S526" s="14"/>
      <c r="T526" s="12"/>
      <c r="U526" s="12"/>
      <c r="V526" s="12"/>
      <c r="W526" s="12"/>
      <c r="X526" s="11">
        <v>1339</v>
      </c>
      <c r="Y526" s="13">
        <v>30134.36</v>
      </c>
      <c r="Z526" s="11">
        <v>17</v>
      </c>
      <c r="AA526" s="11"/>
      <c r="AB526" s="13"/>
      <c r="AC526" s="11"/>
      <c r="AD526" s="12"/>
      <c r="AE526" s="12"/>
      <c r="AF526" s="11">
        <v>196</v>
      </c>
      <c r="AG526" s="13">
        <v>4329.86</v>
      </c>
      <c r="AH526" s="11">
        <v>17</v>
      </c>
      <c r="AI526" s="11"/>
      <c r="AJ526" s="13"/>
      <c r="AK526" s="11"/>
      <c r="AL526" s="12"/>
      <c r="AM526" s="12"/>
      <c r="AN526" s="11">
        <v>162</v>
      </c>
      <c r="AO526" s="13">
        <v>2859.6</v>
      </c>
      <c r="AP526" s="11">
        <v>17</v>
      </c>
      <c r="AQ526" s="11"/>
      <c r="AR526" s="13"/>
      <c r="AS526" s="11"/>
      <c r="AT526" s="12"/>
      <c r="AU526" s="12"/>
      <c r="AV526" s="11">
        <v>166</v>
      </c>
      <c r="AW526" s="13">
        <v>4310.88</v>
      </c>
      <c r="AX526" s="11">
        <v>12</v>
      </c>
      <c r="AY526" s="11"/>
      <c r="AZ526" s="13"/>
      <c r="BA526" s="11"/>
      <c r="BB526" s="12"/>
      <c r="BC526" s="12"/>
      <c r="BD526" s="11">
        <v>269</v>
      </c>
      <c r="BE526" s="13">
        <v>7189.26</v>
      </c>
      <c r="BF526" s="11">
        <v>15</v>
      </c>
      <c r="BG526" s="11"/>
      <c r="BH526" s="13"/>
      <c r="BI526" s="11"/>
      <c r="BJ526" s="12"/>
      <c r="BK526" s="12"/>
      <c r="BL526" s="11">
        <v>19</v>
      </c>
      <c r="BM526" s="13">
        <v>545.18</v>
      </c>
      <c r="BN526" s="11">
        <v>17</v>
      </c>
      <c r="BO526" s="11"/>
      <c r="BP526" s="13"/>
      <c r="BQ526" s="11"/>
      <c r="BR526" s="12"/>
      <c r="BS526" s="12"/>
      <c r="BT526" s="11">
        <v>30</v>
      </c>
      <c r="BU526" s="13">
        <v>468.67</v>
      </c>
      <c r="BV526" s="11">
        <v>17</v>
      </c>
      <c r="BW526" s="11"/>
      <c r="BX526" s="13"/>
      <c r="BY526" s="11"/>
      <c r="BZ526" s="12"/>
      <c r="CA526" s="12"/>
      <c r="CB526" s="11"/>
      <c r="CC526" s="13"/>
      <c r="CD526" s="11"/>
      <c r="CE526" s="11"/>
      <c r="CF526" s="13"/>
      <c r="CG526" s="11"/>
      <c r="CH526" s="12"/>
      <c r="CI526" s="12"/>
      <c r="CJ526" s="11">
        <v>28</v>
      </c>
      <c r="CK526" s="13">
        <v>882.8</v>
      </c>
      <c r="CL526" s="11">
        <v>17</v>
      </c>
      <c r="CM526" s="11"/>
      <c r="CN526" s="13"/>
      <c r="CO526" s="11"/>
      <c r="CP526" s="12"/>
      <c r="CQ526" s="12"/>
      <c r="CR526" s="11"/>
      <c r="CS526" s="13"/>
      <c r="CT526" s="11"/>
      <c r="CU526" s="11"/>
      <c r="CV526" s="13"/>
      <c r="CW526" s="11"/>
      <c r="CX526" s="12"/>
      <c r="CY526" s="12"/>
      <c r="CZ526" s="11"/>
      <c r="DA526" s="13"/>
      <c r="DB526" s="11"/>
      <c r="DC526" s="11"/>
      <c r="DD526" s="13"/>
      <c r="DE526" s="11"/>
      <c r="DF526" s="12"/>
      <c r="DG526" s="12"/>
      <c r="DH526" s="11"/>
      <c r="DI526" s="13"/>
      <c r="DJ526" s="11"/>
      <c r="DK526" s="11"/>
      <c r="DL526" s="13"/>
      <c r="DM526" s="11"/>
      <c r="DN526" s="12"/>
      <c r="DO526" s="12"/>
      <c r="DP526" s="11">
        <v>24</v>
      </c>
      <c r="DQ526" s="13">
        <v>570.92</v>
      </c>
      <c r="DR526" s="11">
        <v>15</v>
      </c>
      <c r="DS526" s="11"/>
      <c r="DT526" s="13"/>
      <c r="DU526" s="11"/>
      <c r="DV526" s="12"/>
      <c r="DW526" s="12"/>
      <c r="DX526" s="11">
        <v>2</v>
      </c>
      <c r="DY526" s="13">
        <v>57.06</v>
      </c>
      <c r="DZ526" s="11">
        <v>12</v>
      </c>
      <c r="EA526" s="11"/>
      <c r="EB526" s="13"/>
      <c r="EC526" s="11"/>
      <c r="ED526" s="12"/>
      <c r="EE526" s="12"/>
      <c r="EF526" s="11"/>
      <c r="EG526" s="13"/>
      <c r="EH526" s="11"/>
      <c r="EI526" s="11"/>
      <c r="EJ526" s="13"/>
      <c r="EK526" s="11"/>
      <c r="EL526" s="12"/>
      <c r="EM526" s="12"/>
      <c r="EN526" s="11"/>
      <c r="EO526" s="13"/>
      <c r="EP526" s="11">
        <v>17</v>
      </c>
      <c r="EQ526" s="11"/>
      <c r="ER526" s="13"/>
      <c r="ES526" s="11"/>
      <c r="ET526" s="12"/>
      <c r="EU526" s="12"/>
      <c r="EV526" s="11">
        <v>2</v>
      </c>
      <c r="EW526" s="13">
        <v>42</v>
      </c>
      <c r="EX526" s="11">
        <v>3</v>
      </c>
      <c r="EY526" s="11"/>
      <c r="EZ526" s="13"/>
      <c r="FA526" s="11"/>
      <c r="FB526" s="12"/>
      <c r="FC526" s="12"/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/>
      <c r="FU526" s="13"/>
      <c r="FV526" s="11"/>
      <c r="FW526" s="11"/>
      <c r="FX526" s="13"/>
      <c r="FY526" s="11"/>
      <c r="FZ526" s="12"/>
      <c r="GA526" s="12"/>
      <c r="GB526" s="11"/>
      <c r="GC526" s="13"/>
      <c r="GD526" s="11"/>
      <c r="GE526" s="11"/>
      <c r="GF526" s="13"/>
      <c r="GG526" s="11"/>
      <c r="GH526" s="12"/>
      <c r="GI526" s="12"/>
      <c r="GJ526" s="11"/>
      <c r="GK526" s="13"/>
      <c r="GL526" s="11"/>
      <c r="GM526" s="11"/>
      <c r="GN526" s="13"/>
      <c r="GO526" s="11"/>
      <c r="GP526" s="12"/>
      <c r="GQ526" s="12"/>
      <c r="GR526" s="11"/>
      <c r="GS526" s="13"/>
      <c r="GT526" s="11">
        <v>16</v>
      </c>
      <c r="GU526" s="11"/>
      <c r="GV526" s="13"/>
      <c r="GW526" s="11"/>
      <c r="GX526" s="12"/>
      <c r="GY526" s="12"/>
      <c r="GZ526" s="11">
        <v>16</v>
      </c>
      <c r="HA526" s="13">
        <v>485</v>
      </c>
      <c r="HB526" s="11">
        <v>8</v>
      </c>
      <c r="HC526" s="11"/>
      <c r="HD526" s="13"/>
      <c r="HE526" s="11"/>
      <c r="HF526" s="12"/>
      <c r="HG526" s="12"/>
      <c r="HH526" s="11"/>
      <c r="HI526" s="13"/>
      <c r="HJ526" s="11"/>
      <c r="HK526" s="11"/>
      <c r="HL526" s="13"/>
      <c r="HM526" s="11"/>
      <c r="HN526" s="12"/>
      <c r="HO526" s="12"/>
      <c r="HP526" s="11"/>
      <c r="HQ526" s="13"/>
      <c r="HR526" s="11"/>
      <c r="HS526" s="11"/>
      <c r="HT526" s="13"/>
      <c r="HU526" s="11"/>
      <c r="HV526" s="12"/>
      <c r="HW526" s="12"/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/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/>
      <c r="JO526" s="11"/>
      <c r="JP526" s="13"/>
      <c r="JQ526" s="11"/>
      <c r="JR526" s="12"/>
      <c r="JS526" s="12"/>
      <c r="JT526" s="11"/>
      <c r="JU526" s="13"/>
      <c r="JV526" s="11">
        <v>5</v>
      </c>
      <c r="JW526" s="11"/>
      <c r="JX526" s="13"/>
      <c r="JY526" s="11"/>
      <c r="JZ526" s="12"/>
      <c r="KA526" s="12"/>
      <c r="KB526" s="11"/>
      <c r="KC526" s="13"/>
      <c r="KD526" s="11"/>
      <c r="KE526" s="11"/>
      <c r="KF526" s="13"/>
      <c r="KG526" s="11"/>
      <c r="KH526" s="12"/>
      <c r="KI526" s="12"/>
      <c r="KJ526" s="11"/>
      <c r="KK526" s="13"/>
      <c r="KL526" s="11"/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  <c r="LH526" s="11"/>
      <c r="LI526" s="13"/>
      <c r="LJ526" s="11"/>
      <c r="LK526" s="11"/>
      <c r="LL526" s="13"/>
      <c r="LM526" s="11"/>
      <c r="LN526" s="12"/>
      <c r="LO526" s="12"/>
      <c r="LP526" s="11"/>
      <c r="LQ526" s="13"/>
      <c r="LR526" s="11"/>
      <c r="LS526" s="11"/>
      <c r="LT526" s="13"/>
      <c r="LU526" s="11"/>
      <c r="LV526" s="12"/>
      <c r="LW526" s="12"/>
    </row>
    <row r="527">
      <c r="A527" s="10" t="s">
        <v>278</v>
      </c>
      <c r="B527" s="10" t="s">
        <v>126</v>
      </c>
      <c r="C527" s="10" t="s">
        <v>279</v>
      </c>
      <c r="D527" s="11">
        <v>3083</v>
      </c>
      <c r="E527" s="11">
        <f>=ROUNDDOWN(31.7835051546392,0)</f>
      </c>
      <c r="F527" s="11"/>
      <c r="G527" s="12"/>
      <c r="H527" s="11"/>
      <c r="I527" s="11">
        <f>=ROUNDDOWN({0},0)</f>
      </c>
      <c r="J527" s="11"/>
      <c r="K527" s="12"/>
      <c r="L527" s="11"/>
      <c r="M527" s="13"/>
      <c r="N527" s="11"/>
      <c r="O527" s="14"/>
      <c r="P527" s="11"/>
      <c r="Q527" s="13"/>
      <c r="R527" s="11"/>
      <c r="S527" s="14"/>
      <c r="T527" s="12"/>
      <c r="U527" s="12"/>
      <c r="V527" s="12"/>
      <c r="W527" s="12"/>
      <c r="X527" s="11"/>
      <c r="Y527" s="13"/>
      <c r="Z527" s="11"/>
      <c r="AA527" s="11"/>
      <c r="AB527" s="13"/>
      <c r="AC527" s="11"/>
      <c r="AD527" s="12"/>
      <c r="AE527" s="12"/>
      <c r="AF527" s="11"/>
      <c r="AG527" s="13"/>
      <c r="AH527" s="11"/>
      <c r="AI527" s="11"/>
      <c r="AJ527" s="13"/>
      <c r="AK527" s="11"/>
      <c r="AL527" s="12"/>
      <c r="AM527" s="12"/>
      <c r="AN527" s="11"/>
      <c r="AO527" s="13"/>
      <c r="AP527" s="11"/>
      <c r="AQ527" s="11"/>
      <c r="AR527" s="13"/>
      <c r="AS527" s="11"/>
      <c r="AT527" s="12"/>
      <c r="AU527" s="12"/>
      <c r="AV527" s="11"/>
      <c r="AW527" s="13"/>
      <c r="AX527" s="11"/>
      <c r="AY527" s="11"/>
      <c r="AZ527" s="13"/>
      <c r="BA527" s="11"/>
      <c r="BB527" s="12"/>
      <c r="BC527" s="12"/>
      <c r="BD527" s="11"/>
      <c r="BE527" s="13"/>
      <c r="BF527" s="11"/>
      <c r="BG527" s="11"/>
      <c r="BH527" s="13"/>
      <c r="BI527" s="11"/>
      <c r="BJ527" s="12"/>
      <c r="BK527" s="12"/>
      <c r="BL527" s="11"/>
      <c r="BM527" s="13"/>
      <c r="BN527" s="11"/>
      <c r="BO527" s="11"/>
      <c r="BP527" s="13"/>
      <c r="BQ527" s="11"/>
      <c r="BR527" s="12"/>
      <c r="BS527" s="12"/>
      <c r="BT527" s="11"/>
      <c r="BU527" s="13"/>
      <c r="BV527" s="11"/>
      <c r="BW527" s="11"/>
      <c r="BX527" s="13"/>
      <c r="BY527" s="11"/>
      <c r="BZ527" s="12"/>
      <c r="CA527" s="12"/>
      <c r="CB527" s="11"/>
      <c r="CC527" s="13"/>
      <c r="CD527" s="11"/>
      <c r="CE527" s="11"/>
      <c r="CF527" s="13"/>
      <c r="CG527" s="11"/>
      <c r="CH527" s="12"/>
      <c r="CI527" s="12"/>
      <c r="CJ527" s="11"/>
      <c r="CK527" s="13"/>
      <c r="CL527" s="11"/>
      <c r="CM527" s="11"/>
      <c r="CN527" s="13"/>
      <c r="CO527" s="11"/>
      <c r="CP527" s="12"/>
      <c r="CQ527" s="12"/>
      <c r="CR527" s="11"/>
      <c r="CS527" s="13"/>
      <c r="CT527" s="11"/>
      <c r="CU527" s="11"/>
      <c r="CV527" s="13"/>
      <c r="CW527" s="11"/>
      <c r="CX527" s="12"/>
      <c r="CY527" s="12"/>
      <c r="CZ527" s="11"/>
      <c r="DA527" s="13"/>
      <c r="DB527" s="11"/>
      <c r="DC527" s="11"/>
      <c r="DD527" s="13"/>
      <c r="DE527" s="11"/>
      <c r="DF527" s="12"/>
      <c r="DG527" s="12"/>
      <c r="DH527" s="11"/>
      <c r="DI527" s="13"/>
      <c r="DJ527" s="11"/>
      <c r="DK527" s="11"/>
      <c r="DL527" s="13"/>
      <c r="DM527" s="11"/>
      <c r="DN527" s="12"/>
      <c r="DO527" s="12"/>
      <c r="DP527" s="11"/>
      <c r="DQ527" s="13"/>
      <c r="DR527" s="11"/>
      <c r="DS527" s="11"/>
      <c r="DT527" s="13"/>
      <c r="DU527" s="11"/>
      <c r="DV527" s="12"/>
      <c r="DW527" s="12"/>
      <c r="DX527" s="11"/>
      <c r="DY527" s="13"/>
      <c r="DZ527" s="11"/>
      <c r="EA527" s="11"/>
      <c r="EB527" s="13"/>
      <c r="EC527" s="11"/>
      <c r="ED527" s="12"/>
      <c r="EE527" s="12"/>
      <c r="EF527" s="11"/>
      <c r="EG527" s="13"/>
      <c r="EH527" s="11"/>
      <c r="EI527" s="11"/>
      <c r="EJ527" s="13"/>
      <c r="EK527" s="11"/>
      <c r="EL527" s="12"/>
      <c r="EM527" s="12"/>
      <c r="EN527" s="11"/>
      <c r="EO527" s="13"/>
      <c r="EP527" s="11"/>
      <c r="EQ527" s="11"/>
      <c r="ER527" s="13"/>
      <c r="ES527" s="11"/>
      <c r="ET527" s="12"/>
      <c r="EU527" s="12"/>
      <c r="EV527" s="11"/>
      <c r="EW527" s="13"/>
      <c r="EX527" s="11"/>
      <c r="EY527" s="11"/>
      <c r="EZ527" s="13"/>
      <c r="FA527" s="11"/>
      <c r="FB527" s="12"/>
      <c r="FC527" s="12"/>
      <c r="FD527" s="11"/>
      <c r="FE527" s="13"/>
      <c r="FF527" s="11"/>
      <c r="FG527" s="11"/>
      <c r="FH527" s="13"/>
      <c r="FI527" s="11"/>
      <c r="FJ527" s="12"/>
      <c r="FK527" s="12"/>
      <c r="FL527" s="11"/>
      <c r="FM527" s="13"/>
      <c r="FN527" s="11"/>
      <c r="FO527" s="11"/>
      <c r="FP527" s="13"/>
      <c r="FQ527" s="11"/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/>
      <c r="GE527" s="11"/>
      <c r="GF527" s="13"/>
      <c r="GG527" s="11"/>
      <c r="GH527" s="12"/>
      <c r="GI527" s="12"/>
      <c r="GJ527" s="11"/>
      <c r="GK527" s="13"/>
      <c r="GL527" s="11"/>
      <c r="GM527" s="11"/>
      <c r="GN527" s="13"/>
      <c r="GO527" s="11"/>
      <c r="GP527" s="12"/>
      <c r="GQ527" s="12"/>
      <c r="GR527" s="11"/>
      <c r="GS527" s="13"/>
      <c r="GT527" s="11"/>
      <c r="GU527" s="11"/>
      <c r="GV527" s="13"/>
      <c r="GW527" s="11"/>
      <c r="GX527" s="12"/>
      <c r="GY527" s="12"/>
      <c r="GZ527" s="11"/>
      <c r="HA527" s="13"/>
      <c r="HB527" s="11"/>
      <c r="HC527" s="11"/>
      <c r="HD527" s="13"/>
      <c r="HE527" s="11"/>
      <c r="HF527" s="12"/>
      <c r="HG527" s="12"/>
      <c r="HH527" s="11"/>
      <c r="HI527" s="13"/>
      <c r="HJ527" s="11"/>
      <c r="HK527" s="11"/>
      <c r="HL527" s="13"/>
      <c r="HM527" s="11"/>
      <c r="HN527" s="12"/>
      <c r="HO527" s="12"/>
      <c r="HP527" s="11"/>
      <c r="HQ527" s="13"/>
      <c r="HR527" s="11"/>
      <c r="HS527" s="11"/>
      <c r="HT527" s="13"/>
      <c r="HU527" s="11"/>
      <c r="HV527" s="12"/>
      <c r="HW527" s="12"/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/>
      <c r="IQ527" s="11"/>
      <c r="IR527" s="13"/>
      <c r="IS527" s="11"/>
      <c r="IT527" s="12"/>
      <c r="IU527" s="12"/>
      <c r="IV527" s="11"/>
      <c r="IW527" s="13"/>
      <c r="IX527" s="11"/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/>
      <c r="JO527" s="11"/>
      <c r="JP527" s="13"/>
      <c r="JQ527" s="11"/>
      <c r="JR527" s="12"/>
      <c r="JS527" s="12"/>
      <c r="JT527" s="11"/>
      <c r="JU527" s="13"/>
      <c r="JV527" s="11"/>
      <c r="JW527" s="11"/>
      <c r="JX527" s="13"/>
      <c r="JY527" s="11"/>
      <c r="JZ527" s="12"/>
      <c r="KA527" s="12"/>
      <c r="KB527" s="11"/>
      <c r="KC527" s="13"/>
      <c r="KD527" s="11"/>
      <c r="KE527" s="11"/>
      <c r="KF527" s="13"/>
      <c r="KG527" s="11"/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  <c r="LH527" s="11"/>
      <c r="LI527" s="13"/>
      <c r="LJ527" s="11"/>
      <c r="LK527" s="11"/>
      <c r="LL527" s="13"/>
      <c r="LM527" s="11"/>
      <c r="LN527" s="12"/>
      <c r="LO527" s="12"/>
      <c r="LP527" s="11"/>
      <c r="LQ527" s="13"/>
      <c r="LR527" s="11"/>
      <c r="LS527" s="11"/>
      <c r="LT527" s="13"/>
      <c r="LU527" s="11"/>
      <c r="LV527" s="12"/>
      <c r="LW527" s="12"/>
    </row>
    <row r="528">
      <c r="A528" s="10" t="s">
        <v>278</v>
      </c>
      <c r="B528" s="10" t="s">
        <v>127</v>
      </c>
      <c r="C528" s="10" t="s">
        <v>77</v>
      </c>
      <c r="D528" s="11">
        <v>3083</v>
      </c>
      <c r="E528" s="11">
        <f>=ROUNDDOWN({0},0)</f>
      </c>
      <c r="F528" s="11"/>
      <c r="G528" s="12"/>
      <c r="H528" s="11"/>
      <c r="I528" s="11">
        <f>=ROUNDDOWN({0},0)</f>
      </c>
      <c r="J528" s="11"/>
      <c r="K528" s="12"/>
      <c r="L528" s="11"/>
      <c r="M528" s="13"/>
      <c r="N528" s="11"/>
      <c r="O528" s="14"/>
      <c r="P528" s="11"/>
      <c r="Q528" s="13"/>
      <c r="R528" s="11"/>
      <c r="S528" s="14"/>
      <c r="T528" s="12"/>
      <c r="U528" s="12"/>
      <c r="V528" s="12"/>
      <c r="W528" s="12"/>
      <c r="X528" s="11"/>
      <c r="Y528" s="13"/>
      <c r="Z528" s="11"/>
      <c r="AA528" s="11"/>
      <c r="AB528" s="13"/>
      <c r="AC528" s="11"/>
      <c r="AD528" s="12"/>
      <c r="AE528" s="12"/>
      <c r="AF528" s="11"/>
      <c r="AG528" s="13"/>
      <c r="AH528" s="11"/>
      <c r="AI528" s="11"/>
      <c r="AJ528" s="13"/>
      <c r="AK528" s="11"/>
      <c r="AL528" s="12"/>
      <c r="AM528" s="12"/>
      <c r="AN528" s="11"/>
      <c r="AO528" s="13"/>
      <c r="AP528" s="11"/>
      <c r="AQ528" s="11"/>
      <c r="AR528" s="13"/>
      <c r="AS528" s="11"/>
      <c r="AT528" s="12"/>
      <c r="AU528" s="12"/>
      <c r="AV528" s="11"/>
      <c r="AW528" s="13"/>
      <c r="AX528" s="11"/>
      <c r="AY528" s="11"/>
      <c r="AZ528" s="13"/>
      <c r="BA528" s="11"/>
      <c r="BB528" s="12"/>
      <c r="BC528" s="12"/>
      <c r="BD528" s="11"/>
      <c r="BE528" s="13"/>
      <c r="BF528" s="11"/>
      <c r="BG528" s="11"/>
      <c r="BH528" s="13"/>
      <c r="BI528" s="11"/>
      <c r="BJ528" s="12"/>
      <c r="BK528" s="12"/>
      <c r="BL528" s="11"/>
      <c r="BM528" s="13"/>
      <c r="BN528" s="11"/>
      <c r="BO528" s="11"/>
      <c r="BP528" s="13"/>
      <c r="BQ528" s="11"/>
      <c r="BR528" s="12"/>
      <c r="BS528" s="12"/>
      <c r="BT528" s="11"/>
      <c r="BU528" s="13"/>
      <c r="BV528" s="11"/>
      <c r="BW528" s="11"/>
      <c r="BX528" s="13"/>
      <c r="BY528" s="11"/>
      <c r="BZ528" s="12"/>
      <c r="CA528" s="12"/>
      <c r="CB528" s="11"/>
      <c r="CC528" s="13"/>
      <c r="CD528" s="11"/>
      <c r="CE528" s="11"/>
      <c r="CF528" s="13"/>
      <c r="CG528" s="11"/>
      <c r="CH528" s="12"/>
      <c r="CI528" s="12"/>
      <c r="CJ528" s="11"/>
      <c r="CK528" s="13"/>
      <c r="CL528" s="11"/>
      <c r="CM528" s="11"/>
      <c r="CN528" s="13"/>
      <c r="CO528" s="11"/>
      <c r="CP528" s="12"/>
      <c r="CQ528" s="12"/>
      <c r="CR528" s="11"/>
      <c r="CS528" s="13"/>
      <c r="CT528" s="11"/>
      <c r="CU528" s="11"/>
      <c r="CV528" s="13"/>
      <c r="CW528" s="11"/>
      <c r="CX528" s="12"/>
      <c r="CY528" s="12"/>
      <c r="CZ528" s="11"/>
      <c r="DA528" s="13"/>
      <c r="DB528" s="11"/>
      <c r="DC528" s="11"/>
      <c r="DD528" s="13"/>
      <c r="DE528" s="11"/>
      <c r="DF528" s="12"/>
      <c r="DG528" s="12"/>
      <c r="DH528" s="11"/>
      <c r="DI528" s="13"/>
      <c r="DJ528" s="11"/>
      <c r="DK528" s="11"/>
      <c r="DL528" s="13"/>
      <c r="DM528" s="11"/>
      <c r="DN528" s="12"/>
      <c r="DO528" s="12"/>
      <c r="DP528" s="11"/>
      <c r="DQ528" s="13"/>
      <c r="DR528" s="11"/>
      <c r="DS528" s="11"/>
      <c r="DT528" s="13"/>
      <c r="DU528" s="11"/>
      <c r="DV528" s="12"/>
      <c r="DW528" s="12"/>
      <c r="DX528" s="11"/>
      <c r="DY528" s="13"/>
      <c r="DZ528" s="11"/>
      <c r="EA528" s="11"/>
      <c r="EB528" s="13"/>
      <c r="EC528" s="11"/>
      <c r="ED528" s="12"/>
      <c r="EE528" s="12"/>
      <c r="EF528" s="11"/>
      <c r="EG528" s="13"/>
      <c r="EH528" s="11"/>
      <c r="EI528" s="11"/>
      <c r="EJ528" s="13"/>
      <c r="EK528" s="11"/>
      <c r="EL528" s="12"/>
      <c r="EM528" s="12"/>
      <c r="EN528" s="11"/>
      <c r="EO528" s="13"/>
      <c r="EP528" s="11"/>
      <c r="EQ528" s="11"/>
      <c r="ER528" s="13"/>
      <c r="ES528" s="11"/>
      <c r="ET528" s="12"/>
      <c r="EU528" s="12"/>
      <c r="EV528" s="11"/>
      <c r="EW528" s="13"/>
      <c r="EX528" s="11"/>
      <c r="EY528" s="11"/>
      <c r="EZ528" s="13"/>
      <c r="FA528" s="11"/>
      <c r="FB528" s="12"/>
      <c r="FC528" s="12"/>
      <c r="FD528" s="11"/>
      <c r="FE528" s="13"/>
      <c r="FF528" s="11"/>
      <c r="FG528" s="11"/>
      <c r="FH528" s="13"/>
      <c r="FI528" s="11"/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/>
      <c r="FW528" s="11"/>
      <c r="FX528" s="13"/>
      <c r="FY528" s="11"/>
      <c r="FZ528" s="12"/>
      <c r="GA528" s="12"/>
      <c r="GB528" s="11"/>
      <c r="GC528" s="13"/>
      <c r="GD528" s="11"/>
      <c r="GE528" s="11"/>
      <c r="GF528" s="13"/>
      <c r="GG528" s="11"/>
      <c r="GH528" s="12"/>
      <c r="GI528" s="12"/>
      <c r="GJ528" s="11"/>
      <c r="GK528" s="13"/>
      <c r="GL528" s="11"/>
      <c r="GM528" s="11"/>
      <c r="GN528" s="13"/>
      <c r="GO528" s="11"/>
      <c r="GP528" s="12"/>
      <c r="GQ528" s="12"/>
      <c r="GR528" s="11"/>
      <c r="GS528" s="13"/>
      <c r="GT528" s="11"/>
      <c r="GU528" s="11"/>
      <c r="GV528" s="13"/>
      <c r="GW528" s="11"/>
      <c r="GX528" s="12"/>
      <c r="GY528" s="12"/>
      <c r="GZ528" s="11"/>
      <c r="HA528" s="13"/>
      <c r="HB528" s="11"/>
      <c r="HC528" s="11"/>
      <c r="HD528" s="13"/>
      <c r="HE528" s="11"/>
      <c r="HF528" s="12"/>
      <c r="HG528" s="12"/>
      <c r="HH528" s="11"/>
      <c r="HI528" s="13"/>
      <c r="HJ528" s="11"/>
      <c r="HK528" s="11"/>
      <c r="HL528" s="13"/>
      <c r="HM528" s="11"/>
      <c r="HN528" s="12"/>
      <c r="HO528" s="12"/>
      <c r="HP528" s="11"/>
      <c r="HQ528" s="13"/>
      <c r="HR528" s="11"/>
      <c r="HS528" s="11"/>
      <c r="HT528" s="13"/>
      <c r="HU528" s="11"/>
      <c r="HV528" s="12"/>
      <c r="HW528" s="12"/>
      <c r="HX528" s="11"/>
      <c r="HY528" s="13"/>
      <c r="HZ528" s="11"/>
      <c r="IA528" s="11"/>
      <c r="IB528" s="13"/>
      <c r="IC528" s="11"/>
      <c r="ID528" s="12"/>
      <c r="IE528" s="12"/>
      <c r="IF528" s="11"/>
      <c r="IG528" s="13"/>
      <c r="IH528" s="11"/>
      <c r="II528" s="11"/>
      <c r="IJ528" s="13"/>
      <c r="IK528" s="11"/>
      <c r="IL528" s="12"/>
      <c r="IM528" s="12"/>
      <c r="IN528" s="11"/>
      <c r="IO528" s="13"/>
      <c r="IP528" s="11"/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/>
      <c r="JO528" s="11"/>
      <c r="JP528" s="13"/>
      <c r="JQ528" s="11"/>
      <c r="JR528" s="12"/>
      <c r="JS528" s="12"/>
      <c r="JT528" s="11"/>
      <c r="JU528" s="13"/>
      <c r="JV528" s="11"/>
      <c r="JW528" s="11"/>
      <c r="JX528" s="13"/>
      <c r="JY528" s="11"/>
      <c r="JZ528" s="12"/>
      <c r="KA528" s="12"/>
      <c r="KB528" s="11"/>
      <c r="KC528" s="13"/>
      <c r="KD528" s="11"/>
      <c r="KE528" s="11"/>
      <c r="KF528" s="13"/>
      <c r="KG528" s="11"/>
      <c r="KH528" s="12"/>
      <c r="KI528" s="12"/>
      <c r="KJ528" s="11"/>
      <c r="KK528" s="13"/>
      <c r="KL528" s="11"/>
      <c r="KM528" s="11"/>
      <c r="KN528" s="13"/>
      <c r="KO528" s="11"/>
      <c r="KP528" s="12"/>
      <c r="KQ528" s="12"/>
      <c r="KR528" s="11"/>
      <c r="KS528" s="13"/>
      <c r="KT528" s="11"/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  <c r="LH528" s="11"/>
      <c r="LI528" s="13"/>
      <c r="LJ528" s="11"/>
      <c r="LK528" s="11"/>
      <c r="LL528" s="13"/>
      <c r="LM528" s="11"/>
      <c r="LN528" s="12"/>
      <c r="LO528" s="12"/>
      <c r="LP528" s="11"/>
      <c r="LQ528" s="13"/>
      <c r="LR528" s="11"/>
      <c r="LS528" s="11"/>
      <c r="LT528" s="13"/>
      <c r="LU528" s="11"/>
      <c r="LV528" s="12"/>
      <c r="LW528" s="12"/>
    </row>
    <row r="529">
      <c r="A529" s="10" t="s">
        <v>278</v>
      </c>
      <c r="B529" s="10" t="s">
        <v>128</v>
      </c>
      <c r="C529" s="10" t="s">
        <v>279</v>
      </c>
      <c r="D529" s="11"/>
      <c r="E529" s="11">
        <f>=ROUNDDOWN({0},0)</f>
      </c>
      <c r="F529" s="11"/>
      <c r="G529" s="12"/>
      <c r="H529" s="11"/>
      <c r="I529" s="11">
        <f>=ROUNDDOWN({0},0)</f>
      </c>
      <c r="J529" s="11"/>
      <c r="K529" s="12"/>
      <c r="L529" s="11"/>
      <c r="M529" s="13"/>
      <c r="N529" s="11"/>
      <c r="O529" s="14"/>
      <c r="P529" s="11"/>
      <c r="Q529" s="13"/>
      <c r="R529" s="11"/>
      <c r="S529" s="14"/>
      <c r="T529" s="12"/>
      <c r="U529" s="12"/>
      <c r="V529" s="12"/>
      <c r="W529" s="12"/>
      <c r="X529" s="11"/>
      <c r="Y529" s="13"/>
      <c r="Z529" s="11"/>
      <c r="AA529" s="11"/>
      <c r="AB529" s="13"/>
      <c r="AC529" s="11"/>
      <c r="AD529" s="12"/>
      <c r="AE529" s="12"/>
      <c r="AF529" s="11"/>
      <c r="AG529" s="13"/>
      <c r="AH529" s="11"/>
      <c r="AI529" s="11"/>
      <c r="AJ529" s="13"/>
      <c r="AK529" s="11"/>
      <c r="AL529" s="12"/>
      <c r="AM529" s="12"/>
      <c r="AN529" s="11"/>
      <c r="AO529" s="13"/>
      <c r="AP529" s="11"/>
      <c r="AQ529" s="11"/>
      <c r="AR529" s="13"/>
      <c r="AS529" s="11"/>
      <c r="AT529" s="12"/>
      <c r="AU529" s="12"/>
      <c r="AV529" s="11"/>
      <c r="AW529" s="13"/>
      <c r="AX529" s="11"/>
      <c r="AY529" s="11"/>
      <c r="AZ529" s="13"/>
      <c r="BA529" s="11"/>
      <c r="BB529" s="12"/>
      <c r="BC529" s="12"/>
      <c r="BD529" s="11"/>
      <c r="BE529" s="13"/>
      <c r="BF529" s="11"/>
      <c r="BG529" s="11"/>
      <c r="BH529" s="13"/>
      <c r="BI529" s="11"/>
      <c r="BJ529" s="12"/>
      <c r="BK529" s="12"/>
      <c r="BL529" s="11"/>
      <c r="BM529" s="13"/>
      <c r="BN529" s="11"/>
      <c r="BO529" s="11"/>
      <c r="BP529" s="13"/>
      <c r="BQ529" s="11"/>
      <c r="BR529" s="12"/>
      <c r="BS529" s="12"/>
      <c r="BT529" s="11"/>
      <c r="BU529" s="13"/>
      <c r="BV529" s="11"/>
      <c r="BW529" s="11"/>
      <c r="BX529" s="13"/>
      <c r="BY529" s="11"/>
      <c r="BZ529" s="12"/>
      <c r="CA529" s="12"/>
      <c r="CB529" s="11"/>
      <c r="CC529" s="13"/>
      <c r="CD529" s="11"/>
      <c r="CE529" s="11"/>
      <c r="CF529" s="13"/>
      <c r="CG529" s="11"/>
      <c r="CH529" s="12"/>
      <c r="CI529" s="12"/>
      <c r="CJ529" s="11"/>
      <c r="CK529" s="13"/>
      <c r="CL529" s="11"/>
      <c r="CM529" s="11"/>
      <c r="CN529" s="13"/>
      <c r="CO529" s="11"/>
      <c r="CP529" s="12"/>
      <c r="CQ529" s="12"/>
      <c r="CR529" s="11"/>
      <c r="CS529" s="13"/>
      <c r="CT529" s="11"/>
      <c r="CU529" s="11"/>
      <c r="CV529" s="13"/>
      <c r="CW529" s="11"/>
      <c r="CX529" s="12"/>
      <c r="CY529" s="12"/>
      <c r="CZ529" s="11"/>
      <c r="DA529" s="13"/>
      <c r="DB529" s="11"/>
      <c r="DC529" s="11"/>
      <c r="DD529" s="13"/>
      <c r="DE529" s="11"/>
      <c r="DF529" s="12"/>
      <c r="DG529" s="12"/>
      <c r="DH529" s="11"/>
      <c r="DI529" s="13"/>
      <c r="DJ529" s="11"/>
      <c r="DK529" s="11"/>
      <c r="DL529" s="13"/>
      <c r="DM529" s="11"/>
      <c r="DN529" s="12"/>
      <c r="DO529" s="12"/>
      <c r="DP529" s="11"/>
      <c r="DQ529" s="13"/>
      <c r="DR529" s="11"/>
      <c r="DS529" s="11"/>
      <c r="DT529" s="13"/>
      <c r="DU529" s="11"/>
      <c r="DV529" s="12"/>
      <c r="DW529" s="12"/>
      <c r="DX529" s="11"/>
      <c r="DY529" s="13"/>
      <c r="DZ529" s="11"/>
      <c r="EA529" s="11"/>
      <c r="EB529" s="13"/>
      <c r="EC529" s="11"/>
      <c r="ED529" s="12"/>
      <c r="EE529" s="12"/>
      <c r="EF529" s="11"/>
      <c r="EG529" s="13"/>
      <c r="EH529" s="11"/>
      <c r="EI529" s="11"/>
      <c r="EJ529" s="13"/>
      <c r="EK529" s="11"/>
      <c r="EL529" s="12"/>
      <c r="EM529" s="12"/>
      <c r="EN529" s="11"/>
      <c r="EO529" s="13"/>
      <c r="EP529" s="11"/>
      <c r="EQ529" s="11"/>
      <c r="ER529" s="13"/>
      <c r="ES529" s="11"/>
      <c r="ET529" s="12"/>
      <c r="EU529" s="12"/>
      <c r="EV529" s="11"/>
      <c r="EW529" s="13"/>
      <c r="EX529" s="11"/>
      <c r="EY529" s="11"/>
      <c r="EZ529" s="13"/>
      <c r="FA529" s="11"/>
      <c r="FB529" s="12"/>
      <c r="FC529" s="12"/>
      <c r="FD529" s="11"/>
      <c r="FE529" s="13"/>
      <c r="FF529" s="11"/>
      <c r="FG529" s="11"/>
      <c r="FH529" s="13"/>
      <c r="FI529" s="11"/>
      <c r="FJ529" s="12"/>
      <c r="FK529" s="12"/>
      <c r="FL529" s="11"/>
      <c r="FM529" s="13"/>
      <c r="FN529" s="11"/>
      <c r="FO529" s="11"/>
      <c r="FP529" s="13"/>
      <c r="FQ529" s="11"/>
      <c r="FR529" s="12"/>
      <c r="FS529" s="12"/>
      <c r="FT529" s="11"/>
      <c r="FU529" s="13"/>
      <c r="FV529" s="11"/>
      <c r="FW529" s="11"/>
      <c r="FX529" s="13"/>
      <c r="FY529" s="11"/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/>
      <c r="GM529" s="11"/>
      <c r="GN529" s="13"/>
      <c r="GO529" s="11"/>
      <c r="GP529" s="12"/>
      <c r="GQ529" s="12"/>
      <c r="GR529" s="11"/>
      <c r="GS529" s="13"/>
      <c r="GT529" s="11"/>
      <c r="GU529" s="11"/>
      <c r="GV529" s="13"/>
      <c r="GW529" s="11"/>
      <c r="GX529" s="12"/>
      <c r="GY529" s="12"/>
      <c r="GZ529" s="11"/>
      <c r="HA529" s="13"/>
      <c r="HB529" s="11"/>
      <c r="HC529" s="11"/>
      <c r="HD529" s="13"/>
      <c r="HE529" s="11"/>
      <c r="HF529" s="12"/>
      <c r="HG529" s="12"/>
      <c r="HH529" s="11"/>
      <c r="HI529" s="13"/>
      <c r="HJ529" s="11"/>
      <c r="HK529" s="11"/>
      <c r="HL529" s="13"/>
      <c r="HM529" s="11"/>
      <c r="HN529" s="12"/>
      <c r="HO529" s="12"/>
      <c r="HP529" s="11"/>
      <c r="HQ529" s="13"/>
      <c r="HR529" s="11"/>
      <c r="HS529" s="11"/>
      <c r="HT529" s="13"/>
      <c r="HU529" s="11"/>
      <c r="HV529" s="12"/>
      <c r="HW529" s="12"/>
      <c r="HX529" s="11"/>
      <c r="HY529" s="13"/>
      <c r="HZ529" s="11"/>
      <c r="IA529" s="11"/>
      <c r="IB529" s="13"/>
      <c r="IC529" s="11"/>
      <c r="ID529" s="12"/>
      <c r="IE529" s="12"/>
      <c r="IF529" s="11"/>
      <c r="IG529" s="13"/>
      <c r="IH529" s="11"/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/>
      <c r="JO529" s="11"/>
      <c r="JP529" s="13"/>
      <c r="JQ529" s="11"/>
      <c r="JR529" s="12"/>
      <c r="JS529" s="12"/>
      <c r="JT529" s="11"/>
      <c r="JU529" s="13"/>
      <c r="JV529" s="11"/>
      <c r="JW529" s="11"/>
      <c r="JX529" s="13"/>
      <c r="JY529" s="11"/>
      <c r="JZ529" s="12"/>
      <c r="KA529" s="12"/>
      <c r="KB529" s="11"/>
      <c r="KC529" s="13"/>
      <c r="KD529" s="11"/>
      <c r="KE529" s="11"/>
      <c r="KF529" s="13"/>
      <c r="KG529" s="11"/>
      <c r="KH529" s="12"/>
      <c r="KI529" s="12"/>
      <c r="KJ529" s="11"/>
      <c r="KK529" s="13"/>
      <c r="KL529" s="11"/>
      <c r="KM529" s="11"/>
      <c r="KN529" s="13"/>
      <c r="KO529" s="11"/>
      <c r="KP529" s="12"/>
      <c r="KQ529" s="12"/>
      <c r="KR529" s="11"/>
      <c r="KS529" s="13"/>
      <c r="KT529" s="11"/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  <c r="LH529" s="11"/>
      <c r="LI529" s="13"/>
      <c r="LJ529" s="11"/>
      <c r="LK529" s="11"/>
      <c r="LL529" s="13"/>
      <c r="LM529" s="11"/>
      <c r="LN529" s="12"/>
      <c r="LO529" s="12"/>
      <c r="LP529" s="11"/>
      <c r="LQ529" s="13"/>
      <c r="LR529" s="11"/>
      <c r="LS529" s="11"/>
      <c r="LT529" s="13"/>
      <c r="LU529" s="11"/>
      <c r="LV529" s="12"/>
      <c r="LW529" s="12"/>
    </row>
    <row r="530">
      <c r="A530" s="10" t="s">
        <v>278</v>
      </c>
      <c r="B530" s="10" t="s">
        <v>129</v>
      </c>
      <c r="C530" s="10" t="s">
        <v>77</v>
      </c>
      <c r="D530" s="11"/>
      <c r="E530" s="11">
        <f>=ROUNDDOWN({0},0)</f>
      </c>
      <c r="F530" s="11"/>
      <c r="G530" s="12"/>
      <c r="H530" s="11"/>
      <c r="I530" s="11">
        <f>=ROUNDDOWN({0},0)</f>
      </c>
      <c r="J530" s="11"/>
      <c r="K530" s="12"/>
      <c r="L530" s="11"/>
      <c r="M530" s="13"/>
      <c r="N530" s="11"/>
      <c r="O530" s="14"/>
      <c r="P530" s="11"/>
      <c r="Q530" s="13"/>
      <c r="R530" s="11"/>
      <c r="S530" s="14"/>
      <c r="T530" s="12"/>
      <c r="U530" s="12"/>
      <c r="V530" s="12"/>
      <c r="W530" s="12"/>
      <c r="X530" s="11"/>
      <c r="Y530" s="13"/>
      <c r="Z530" s="11"/>
      <c r="AA530" s="11"/>
      <c r="AB530" s="13"/>
      <c r="AC530" s="11"/>
      <c r="AD530" s="12"/>
      <c r="AE530" s="12"/>
      <c r="AF530" s="11"/>
      <c r="AG530" s="13"/>
      <c r="AH530" s="11"/>
      <c r="AI530" s="11"/>
      <c r="AJ530" s="13"/>
      <c r="AK530" s="11"/>
      <c r="AL530" s="12"/>
      <c r="AM530" s="12"/>
      <c r="AN530" s="11"/>
      <c r="AO530" s="13"/>
      <c r="AP530" s="11"/>
      <c r="AQ530" s="11"/>
      <c r="AR530" s="13"/>
      <c r="AS530" s="11"/>
      <c r="AT530" s="12"/>
      <c r="AU530" s="12"/>
      <c r="AV530" s="11"/>
      <c r="AW530" s="13"/>
      <c r="AX530" s="11"/>
      <c r="AY530" s="11"/>
      <c r="AZ530" s="13"/>
      <c r="BA530" s="11"/>
      <c r="BB530" s="12"/>
      <c r="BC530" s="12"/>
      <c r="BD530" s="11"/>
      <c r="BE530" s="13"/>
      <c r="BF530" s="11"/>
      <c r="BG530" s="11"/>
      <c r="BH530" s="13"/>
      <c r="BI530" s="11"/>
      <c r="BJ530" s="12"/>
      <c r="BK530" s="12"/>
      <c r="BL530" s="11"/>
      <c r="BM530" s="13"/>
      <c r="BN530" s="11"/>
      <c r="BO530" s="11"/>
      <c r="BP530" s="13"/>
      <c r="BQ530" s="11"/>
      <c r="BR530" s="12"/>
      <c r="BS530" s="12"/>
      <c r="BT530" s="11"/>
      <c r="BU530" s="13"/>
      <c r="BV530" s="11"/>
      <c r="BW530" s="11"/>
      <c r="BX530" s="13"/>
      <c r="BY530" s="11"/>
      <c r="BZ530" s="12"/>
      <c r="CA530" s="12"/>
      <c r="CB530" s="11"/>
      <c r="CC530" s="13"/>
      <c r="CD530" s="11"/>
      <c r="CE530" s="11"/>
      <c r="CF530" s="13"/>
      <c r="CG530" s="11"/>
      <c r="CH530" s="12"/>
      <c r="CI530" s="12"/>
      <c r="CJ530" s="11"/>
      <c r="CK530" s="13"/>
      <c r="CL530" s="11"/>
      <c r="CM530" s="11"/>
      <c r="CN530" s="13"/>
      <c r="CO530" s="11"/>
      <c r="CP530" s="12"/>
      <c r="CQ530" s="12"/>
      <c r="CR530" s="11"/>
      <c r="CS530" s="13"/>
      <c r="CT530" s="11"/>
      <c r="CU530" s="11"/>
      <c r="CV530" s="13"/>
      <c r="CW530" s="11"/>
      <c r="CX530" s="12"/>
      <c r="CY530" s="12"/>
      <c r="CZ530" s="11"/>
      <c r="DA530" s="13"/>
      <c r="DB530" s="11"/>
      <c r="DC530" s="11"/>
      <c r="DD530" s="13"/>
      <c r="DE530" s="11"/>
      <c r="DF530" s="12"/>
      <c r="DG530" s="12"/>
      <c r="DH530" s="11"/>
      <c r="DI530" s="13"/>
      <c r="DJ530" s="11"/>
      <c r="DK530" s="11"/>
      <c r="DL530" s="13"/>
      <c r="DM530" s="11"/>
      <c r="DN530" s="12"/>
      <c r="DO530" s="12"/>
      <c r="DP530" s="11"/>
      <c r="DQ530" s="13"/>
      <c r="DR530" s="11"/>
      <c r="DS530" s="11"/>
      <c r="DT530" s="13"/>
      <c r="DU530" s="11"/>
      <c r="DV530" s="12"/>
      <c r="DW530" s="12"/>
      <c r="DX530" s="11"/>
      <c r="DY530" s="13"/>
      <c r="DZ530" s="11"/>
      <c r="EA530" s="11"/>
      <c r="EB530" s="13"/>
      <c r="EC530" s="11"/>
      <c r="ED530" s="12"/>
      <c r="EE530" s="12"/>
      <c r="EF530" s="11"/>
      <c r="EG530" s="13"/>
      <c r="EH530" s="11"/>
      <c r="EI530" s="11"/>
      <c r="EJ530" s="13"/>
      <c r="EK530" s="11"/>
      <c r="EL530" s="12"/>
      <c r="EM530" s="12"/>
      <c r="EN530" s="11"/>
      <c r="EO530" s="13"/>
      <c r="EP530" s="11"/>
      <c r="EQ530" s="11"/>
      <c r="ER530" s="13"/>
      <c r="ES530" s="11"/>
      <c r="ET530" s="12"/>
      <c r="EU530" s="12"/>
      <c r="EV530" s="11"/>
      <c r="EW530" s="13"/>
      <c r="EX530" s="11"/>
      <c r="EY530" s="11"/>
      <c r="EZ530" s="13"/>
      <c r="FA530" s="11"/>
      <c r="FB530" s="12"/>
      <c r="FC530" s="12"/>
      <c r="FD530" s="11"/>
      <c r="FE530" s="13"/>
      <c r="FF530" s="11"/>
      <c r="FG530" s="11"/>
      <c r="FH530" s="13"/>
      <c r="FI530" s="11"/>
      <c r="FJ530" s="12"/>
      <c r="FK530" s="12"/>
      <c r="FL530" s="11"/>
      <c r="FM530" s="13"/>
      <c r="FN530" s="11"/>
      <c r="FO530" s="11"/>
      <c r="FP530" s="13"/>
      <c r="FQ530" s="11"/>
      <c r="FR530" s="12"/>
      <c r="FS530" s="12"/>
      <c r="FT530" s="11"/>
      <c r="FU530" s="13"/>
      <c r="FV530" s="11"/>
      <c r="FW530" s="11"/>
      <c r="FX530" s="13"/>
      <c r="FY530" s="11"/>
      <c r="FZ530" s="12"/>
      <c r="GA530" s="12"/>
      <c r="GB530" s="11"/>
      <c r="GC530" s="13"/>
      <c r="GD530" s="11"/>
      <c r="GE530" s="11"/>
      <c r="GF530" s="13"/>
      <c r="GG530" s="11"/>
      <c r="GH530" s="12"/>
      <c r="GI530" s="12"/>
      <c r="GJ530" s="11"/>
      <c r="GK530" s="13"/>
      <c r="GL530" s="11"/>
      <c r="GM530" s="11"/>
      <c r="GN530" s="13"/>
      <c r="GO530" s="11"/>
      <c r="GP530" s="12"/>
      <c r="GQ530" s="12"/>
      <c r="GR530" s="11"/>
      <c r="GS530" s="13"/>
      <c r="GT530" s="11"/>
      <c r="GU530" s="11"/>
      <c r="GV530" s="13"/>
      <c r="GW530" s="11"/>
      <c r="GX530" s="12"/>
      <c r="GY530" s="12"/>
      <c r="GZ530" s="11"/>
      <c r="HA530" s="13"/>
      <c r="HB530" s="11"/>
      <c r="HC530" s="11"/>
      <c r="HD530" s="13"/>
      <c r="HE530" s="11"/>
      <c r="HF530" s="12"/>
      <c r="HG530" s="12"/>
      <c r="HH530" s="11"/>
      <c r="HI530" s="13"/>
      <c r="HJ530" s="11"/>
      <c r="HK530" s="11"/>
      <c r="HL530" s="13"/>
      <c r="HM530" s="11"/>
      <c r="HN530" s="12"/>
      <c r="HO530" s="12"/>
      <c r="HP530" s="11"/>
      <c r="HQ530" s="13"/>
      <c r="HR530" s="11"/>
      <c r="HS530" s="11"/>
      <c r="HT530" s="13"/>
      <c r="HU530" s="11"/>
      <c r="HV530" s="12"/>
      <c r="HW530" s="12"/>
      <c r="HX530" s="11"/>
      <c r="HY530" s="13"/>
      <c r="HZ530" s="11"/>
      <c r="IA530" s="11"/>
      <c r="IB530" s="13"/>
      <c r="IC530" s="11"/>
      <c r="ID530" s="12"/>
      <c r="IE530" s="12"/>
      <c r="IF530" s="11"/>
      <c r="IG530" s="13"/>
      <c r="IH530" s="11"/>
      <c r="II530" s="11"/>
      <c r="IJ530" s="13"/>
      <c r="IK530" s="11"/>
      <c r="IL530" s="12"/>
      <c r="IM530" s="12"/>
      <c r="IN530" s="11"/>
      <c r="IO530" s="13"/>
      <c r="IP530" s="11"/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/>
      <c r="JO530" s="11"/>
      <c r="JP530" s="13"/>
      <c r="JQ530" s="11"/>
      <c r="JR530" s="12"/>
      <c r="JS530" s="12"/>
      <c r="JT530" s="11"/>
      <c r="JU530" s="13"/>
      <c r="JV530" s="11"/>
      <c r="JW530" s="11"/>
      <c r="JX530" s="13"/>
      <c r="JY530" s="11"/>
      <c r="JZ530" s="12"/>
      <c r="KA530" s="12"/>
      <c r="KB530" s="11"/>
      <c r="KC530" s="13"/>
      <c r="KD530" s="11"/>
      <c r="KE530" s="11"/>
      <c r="KF530" s="13"/>
      <c r="KG530" s="11"/>
      <c r="KH530" s="12"/>
      <c r="KI530" s="12"/>
      <c r="KJ530" s="11"/>
      <c r="KK530" s="13"/>
      <c r="KL530" s="11"/>
      <c r="KM530" s="11"/>
      <c r="KN530" s="13"/>
      <c r="KO530" s="11"/>
      <c r="KP530" s="12"/>
      <c r="KQ530" s="12"/>
      <c r="KR530" s="11"/>
      <c r="KS530" s="13"/>
      <c r="KT530" s="11"/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  <c r="LH530" s="11"/>
      <c r="LI530" s="13"/>
      <c r="LJ530" s="11"/>
      <c r="LK530" s="11"/>
      <c r="LL530" s="13"/>
      <c r="LM530" s="11"/>
      <c r="LN530" s="12"/>
      <c r="LO530" s="12"/>
      <c r="LP530" s="11"/>
      <c r="LQ530" s="13"/>
      <c r="LR530" s="11"/>
      <c r="LS530" s="11"/>
      <c r="LT530" s="13"/>
      <c r="LU530" s="11"/>
      <c r="LV530" s="12"/>
      <c r="LW530" s="12"/>
    </row>
    <row r="531">
      <c r="A531" s="10" t="s">
        <v>278</v>
      </c>
      <c r="B531" s="10" t="s">
        <v>284</v>
      </c>
      <c r="C531" s="10" t="s">
        <v>279</v>
      </c>
      <c r="D531" s="11">
        <v>2231</v>
      </c>
      <c r="E531" s="11">
        <f>=ROUNDDOWN(43.9173228346457,0)</f>
      </c>
      <c r="F531" s="11"/>
      <c r="G531" s="12"/>
      <c r="H531" s="11"/>
      <c r="I531" s="11">
        <f>=ROUNDDOWN({0},0)</f>
      </c>
      <c r="J531" s="11"/>
      <c r="K531" s="12"/>
      <c r="L531" s="11">
        <v>143</v>
      </c>
      <c r="M531" s="13">
        <v>3678.72</v>
      </c>
      <c r="N531" s="11">
        <v>16</v>
      </c>
      <c r="O531" s="14">
        <v>229.92</v>
      </c>
      <c r="P531" s="11"/>
      <c r="Q531" s="13"/>
      <c r="R531" s="11"/>
      <c r="S531" s="14"/>
      <c r="T531" s="12"/>
      <c r="U531" s="12"/>
      <c r="V531" s="12"/>
      <c r="W531" s="12"/>
      <c r="X531" s="11">
        <v>12</v>
      </c>
      <c r="Y531" s="13">
        <v>294.42</v>
      </c>
      <c r="Z531" s="11">
        <v>12</v>
      </c>
      <c r="AA531" s="11"/>
      <c r="AB531" s="13"/>
      <c r="AC531" s="11"/>
      <c r="AD531" s="12"/>
      <c r="AE531" s="12"/>
      <c r="AF531" s="11">
        <v>7</v>
      </c>
      <c r="AG531" s="13">
        <v>248.03</v>
      </c>
      <c r="AH531" s="11">
        <v>16</v>
      </c>
      <c r="AI531" s="11"/>
      <c r="AJ531" s="13"/>
      <c r="AK531" s="11"/>
      <c r="AL531" s="12"/>
      <c r="AM531" s="12"/>
      <c r="AN531" s="11">
        <v>17</v>
      </c>
      <c r="AO531" s="13">
        <v>417.97</v>
      </c>
      <c r="AP531" s="11">
        <v>16</v>
      </c>
      <c r="AQ531" s="11"/>
      <c r="AR531" s="13"/>
      <c r="AS531" s="11"/>
      <c r="AT531" s="12"/>
      <c r="AU531" s="12"/>
      <c r="AV531" s="11">
        <v>14</v>
      </c>
      <c r="AW531" s="13">
        <v>524.11</v>
      </c>
      <c r="AX531" s="11">
        <v>6</v>
      </c>
      <c r="AY531" s="11"/>
      <c r="AZ531" s="13"/>
      <c r="BA531" s="11"/>
      <c r="BB531" s="12"/>
      <c r="BC531" s="12"/>
      <c r="BD531" s="11">
        <v>46</v>
      </c>
      <c r="BE531" s="13">
        <v>1158.12</v>
      </c>
      <c r="BF531" s="11">
        <v>16</v>
      </c>
      <c r="BG531" s="11"/>
      <c r="BH531" s="13"/>
      <c r="BI531" s="11"/>
      <c r="BJ531" s="12"/>
      <c r="BK531" s="12"/>
      <c r="BL531" s="11">
        <v>1</v>
      </c>
      <c r="BM531" s="13">
        <v>26.63</v>
      </c>
      <c r="BN531" s="11">
        <v>16</v>
      </c>
      <c r="BO531" s="11"/>
      <c r="BP531" s="13"/>
      <c r="BQ531" s="11"/>
      <c r="BR531" s="12"/>
      <c r="BS531" s="12"/>
      <c r="BT531" s="11"/>
      <c r="BU531" s="13"/>
      <c r="BV531" s="11">
        <v>16</v>
      </c>
      <c r="BW531" s="11"/>
      <c r="BX531" s="13"/>
      <c r="BY531" s="11"/>
      <c r="BZ531" s="12"/>
      <c r="CA531" s="12"/>
      <c r="CB531" s="11"/>
      <c r="CC531" s="13"/>
      <c r="CD531" s="11"/>
      <c r="CE531" s="11"/>
      <c r="CF531" s="13"/>
      <c r="CG531" s="11"/>
      <c r="CH531" s="12"/>
      <c r="CI531" s="12"/>
      <c r="CJ531" s="11">
        <v>30</v>
      </c>
      <c r="CK531" s="13">
        <v>480.83</v>
      </c>
      <c r="CL531" s="11">
        <v>16</v>
      </c>
      <c r="CM531" s="11"/>
      <c r="CN531" s="13"/>
      <c r="CO531" s="11"/>
      <c r="CP531" s="12"/>
      <c r="CQ531" s="12"/>
      <c r="CR531" s="11"/>
      <c r="CS531" s="13"/>
      <c r="CT531" s="11"/>
      <c r="CU531" s="11"/>
      <c r="CV531" s="13"/>
      <c r="CW531" s="11"/>
      <c r="CX531" s="12"/>
      <c r="CY531" s="12"/>
      <c r="CZ531" s="11"/>
      <c r="DA531" s="13"/>
      <c r="DB531" s="11"/>
      <c r="DC531" s="11"/>
      <c r="DD531" s="13"/>
      <c r="DE531" s="11"/>
      <c r="DF531" s="12"/>
      <c r="DG531" s="12"/>
      <c r="DH531" s="11"/>
      <c r="DI531" s="13"/>
      <c r="DJ531" s="11"/>
      <c r="DK531" s="11"/>
      <c r="DL531" s="13"/>
      <c r="DM531" s="11"/>
      <c r="DN531" s="12"/>
      <c r="DO531" s="12"/>
      <c r="DP531" s="11">
        <v>2</v>
      </c>
      <c r="DQ531" s="13">
        <v>75.68</v>
      </c>
      <c r="DR531" s="11">
        <v>16</v>
      </c>
      <c r="DS531" s="11"/>
      <c r="DT531" s="13"/>
      <c r="DU531" s="11"/>
      <c r="DV531" s="12"/>
      <c r="DW531" s="12"/>
      <c r="DX531" s="11"/>
      <c r="DY531" s="13"/>
      <c r="DZ531" s="11"/>
      <c r="EA531" s="11"/>
      <c r="EB531" s="13"/>
      <c r="EC531" s="11"/>
      <c r="ED531" s="12"/>
      <c r="EE531" s="12"/>
      <c r="EF531" s="11"/>
      <c r="EG531" s="13"/>
      <c r="EH531" s="11"/>
      <c r="EI531" s="11"/>
      <c r="EJ531" s="13"/>
      <c r="EK531" s="11"/>
      <c r="EL531" s="12"/>
      <c r="EM531" s="12"/>
      <c r="EN531" s="11">
        <v>1</v>
      </c>
      <c r="EO531" s="13">
        <v>75.99</v>
      </c>
      <c r="EP531" s="11">
        <v>16</v>
      </c>
      <c r="EQ531" s="11"/>
      <c r="ER531" s="13"/>
      <c r="ES531" s="11"/>
      <c r="ET531" s="12"/>
      <c r="EU531" s="12"/>
      <c r="EV531" s="11">
        <v>13</v>
      </c>
      <c r="EW531" s="13">
        <v>376.94</v>
      </c>
      <c r="EX531" s="11">
        <v>16</v>
      </c>
      <c r="EY531" s="11"/>
      <c r="EZ531" s="13"/>
      <c r="FA531" s="11"/>
      <c r="FB531" s="12"/>
      <c r="FC531" s="12"/>
      <c r="FD531" s="11"/>
      <c r="FE531" s="13"/>
      <c r="FF531" s="11"/>
      <c r="FG531" s="11"/>
      <c r="FH531" s="13"/>
      <c r="FI531" s="11"/>
      <c r="FJ531" s="12"/>
      <c r="FK531" s="12"/>
      <c r="FL531" s="11"/>
      <c r="FM531" s="13"/>
      <c r="FN531" s="11"/>
      <c r="FO531" s="11"/>
      <c r="FP531" s="13"/>
      <c r="FQ531" s="11"/>
      <c r="FR531" s="12"/>
      <c r="FS531" s="12"/>
      <c r="FT531" s="11"/>
      <c r="FU531" s="13"/>
      <c r="FV531" s="11"/>
      <c r="FW531" s="11"/>
      <c r="FX531" s="13"/>
      <c r="FY531" s="11"/>
      <c r="FZ531" s="12"/>
      <c r="GA531" s="12"/>
      <c r="GB531" s="11"/>
      <c r="GC531" s="13"/>
      <c r="GD531" s="11"/>
      <c r="GE531" s="11"/>
      <c r="GF531" s="13"/>
      <c r="GG531" s="11"/>
      <c r="GH531" s="12"/>
      <c r="GI531" s="12"/>
      <c r="GJ531" s="11"/>
      <c r="GK531" s="13"/>
      <c r="GL531" s="11"/>
      <c r="GM531" s="11"/>
      <c r="GN531" s="13"/>
      <c r="GO531" s="11"/>
      <c r="GP531" s="12"/>
      <c r="GQ531" s="12"/>
      <c r="GR531" s="11"/>
      <c r="GS531" s="13"/>
      <c r="GT531" s="11">
        <v>16</v>
      </c>
      <c r="GU531" s="11"/>
      <c r="GV531" s="13"/>
      <c r="GW531" s="11"/>
      <c r="GX531" s="12"/>
      <c r="GY531" s="12"/>
      <c r="GZ531" s="11"/>
      <c r="HA531" s="13"/>
      <c r="HB531" s="11"/>
      <c r="HC531" s="11"/>
      <c r="HD531" s="13"/>
      <c r="HE531" s="11"/>
      <c r="HF531" s="12"/>
      <c r="HG531" s="12"/>
      <c r="HH531" s="11"/>
      <c r="HI531" s="13"/>
      <c r="HJ531" s="11"/>
      <c r="HK531" s="11"/>
      <c r="HL531" s="13"/>
      <c r="HM531" s="11"/>
      <c r="HN531" s="12"/>
      <c r="HO531" s="12"/>
      <c r="HP531" s="11"/>
      <c r="HQ531" s="13"/>
      <c r="HR531" s="11"/>
      <c r="HS531" s="11"/>
      <c r="HT531" s="13"/>
      <c r="HU531" s="11"/>
      <c r="HV531" s="12"/>
      <c r="HW531" s="12"/>
      <c r="HX531" s="11"/>
      <c r="HY531" s="13"/>
      <c r="HZ531" s="11"/>
      <c r="IA531" s="11"/>
      <c r="IB531" s="13"/>
      <c r="IC531" s="11"/>
      <c r="ID531" s="12"/>
      <c r="IE531" s="12"/>
      <c r="IF531" s="11"/>
      <c r="IG531" s="13"/>
      <c r="IH531" s="11"/>
      <c r="II531" s="11"/>
      <c r="IJ531" s="13"/>
      <c r="IK531" s="11"/>
      <c r="IL531" s="12"/>
      <c r="IM531" s="12"/>
      <c r="IN531" s="11"/>
      <c r="IO531" s="13"/>
      <c r="IP531" s="11"/>
      <c r="IQ531" s="11"/>
      <c r="IR531" s="13"/>
      <c r="IS531" s="11"/>
      <c r="IT531" s="12"/>
      <c r="IU531" s="12"/>
      <c r="IV531" s="11"/>
      <c r="IW531" s="13"/>
      <c r="IX531" s="11"/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/>
      <c r="JO531" s="11"/>
      <c r="JP531" s="13"/>
      <c r="JQ531" s="11"/>
      <c r="JR531" s="12"/>
      <c r="JS531" s="12"/>
      <c r="JT531" s="11"/>
      <c r="JU531" s="13"/>
      <c r="JV531" s="11">
        <v>16</v>
      </c>
      <c r="JW531" s="11"/>
      <c r="JX531" s="13"/>
      <c r="JY531" s="11"/>
      <c r="JZ531" s="12"/>
      <c r="KA531" s="12"/>
      <c r="KB531" s="11"/>
      <c r="KC531" s="13"/>
      <c r="KD531" s="11"/>
      <c r="KE531" s="11"/>
      <c r="KF531" s="13"/>
      <c r="KG531" s="11"/>
      <c r="KH531" s="12"/>
      <c r="KI531" s="12"/>
      <c r="KJ531" s="11"/>
      <c r="KK531" s="13"/>
      <c r="KL531" s="11"/>
      <c r="KM531" s="11"/>
      <c r="KN531" s="13"/>
      <c r="KO531" s="11"/>
      <c r="KP531" s="12"/>
      <c r="KQ531" s="12"/>
      <c r="KR531" s="11"/>
      <c r="KS531" s="13"/>
      <c r="KT531" s="11"/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  <c r="LH531" s="11"/>
      <c r="LI531" s="13"/>
      <c r="LJ531" s="11"/>
      <c r="LK531" s="11"/>
      <c r="LL531" s="13"/>
      <c r="LM531" s="11"/>
      <c r="LN531" s="12"/>
      <c r="LO531" s="12"/>
      <c r="LP531" s="11"/>
      <c r="LQ531" s="13"/>
      <c r="LR531" s="11"/>
      <c r="LS531" s="11"/>
      <c r="LT531" s="13"/>
      <c r="LU531" s="11"/>
      <c r="LV531" s="12"/>
      <c r="LW531" s="12"/>
    </row>
    <row r="532">
      <c r="A532" s="10" t="s">
        <v>278</v>
      </c>
      <c r="B532" s="10" t="s">
        <v>285</v>
      </c>
      <c r="C532" s="10" t="s">
        <v>77</v>
      </c>
      <c r="D532" s="11">
        <v>2231</v>
      </c>
      <c r="E532" s="11">
        <f>=ROUNDDOWN({0},0)</f>
      </c>
      <c r="F532" s="11"/>
      <c r="G532" s="12"/>
      <c r="H532" s="11"/>
      <c r="I532" s="11">
        <f>=ROUNDDOWN({0},0)</f>
      </c>
      <c r="J532" s="11"/>
      <c r="K532" s="12"/>
      <c r="L532" s="11">
        <v>143</v>
      </c>
      <c r="M532" s="13">
        <v>3678.72</v>
      </c>
      <c r="N532" s="11">
        <v>16</v>
      </c>
      <c r="O532" s="14">
        <v>229.92</v>
      </c>
      <c r="P532" s="11"/>
      <c r="Q532" s="13"/>
      <c r="R532" s="11"/>
      <c r="S532" s="14"/>
      <c r="T532" s="12"/>
      <c r="U532" s="12"/>
      <c r="V532" s="12"/>
      <c r="W532" s="12"/>
      <c r="X532" s="11">
        <v>12</v>
      </c>
      <c r="Y532" s="13">
        <v>294.42</v>
      </c>
      <c r="Z532" s="11">
        <v>12</v>
      </c>
      <c r="AA532" s="11"/>
      <c r="AB532" s="13"/>
      <c r="AC532" s="11"/>
      <c r="AD532" s="12"/>
      <c r="AE532" s="12"/>
      <c r="AF532" s="11">
        <v>7</v>
      </c>
      <c r="AG532" s="13">
        <v>248.03</v>
      </c>
      <c r="AH532" s="11">
        <v>16</v>
      </c>
      <c r="AI532" s="11"/>
      <c r="AJ532" s="13"/>
      <c r="AK532" s="11"/>
      <c r="AL532" s="12"/>
      <c r="AM532" s="12"/>
      <c r="AN532" s="11">
        <v>17</v>
      </c>
      <c r="AO532" s="13">
        <v>417.97</v>
      </c>
      <c r="AP532" s="11">
        <v>16</v>
      </c>
      <c r="AQ532" s="11"/>
      <c r="AR532" s="13"/>
      <c r="AS532" s="11"/>
      <c r="AT532" s="12"/>
      <c r="AU532" s="12"/>
      <c r="AV532" s="11">
        <v>14</v>
      </c>
      <c r="AW532" s="13">
        <v>524.11</v>
      </c>
      <c r="AX532" s="11">
        <v>6</v>
      </c>
      <c r="AY532" s="11"/>
      <c r="AZ532" s="13"/>
      <c r="BA532" s="11"/>
      <c r="BB532" s="12"/>
      <c r="BC532" s="12"/>
      <c r="BD532" s="11">
        <v>46</v>
      </c>
      <c r="BE532" s="13">
        <v>1158.12</v>
      </c>
      <c r="BF532" s="11">
        <v>16</v>
      </c>
      <c r="BG532" s="11"/>
      <c r="BH532" s="13"/>
      <c r="BI532" s="11"/>
      <c r="BJ532" s="12"/>
      <c r="BK532" s="12"/>
      <c r="BL532" s="11">
        <v>1</v>
      </c>
      <c r="BM532" s="13">
        <v>26.63</v>
      </c>
      <c r="BN532" s="11">
        <v>16</v>
      </c>
      <c r="BO532" s="11"/>
      <c r="BP532" s="13"/>
      <c r="BQ532" s="11"/>
      <c r="BR532" s="12"/>
      <c r="BS532" s="12"/>
      <c r="BT532" s="11"/>
      <c r="BU532" s="13"/>
      <c r="BV532" s="11">
        <v>16</v>
      </c>
      <c r="BW532" s="11"/>
      <c r="BX532" s="13"/>
      <c r="BY532" s="11"/>
      <c r="BZ532" s="12"/>
      <c r="CA532" s="12"/>
      <c r="CB532" s="11"/>
      <c r="CC532" s="13"/>
      <c r="CD532" s="11"/>
      <c r="CE532" s="11"/>
      <c r="CF532" s="13"/>
      <c r="CG532" s="11"/>
      <c r="CH532" s="12"/>
      <c r="CI532" s="12"/>
      <c r="CJ532" s="11">
        <v>30</v>
      </c>
      <c r="CK532" s="13">
        <v>480.83</v>
      </c>
      <c r="CL532" s="11">
        <v>16</v>
      </c>
      <c r="CM532" s="11"/>
      <c r="CN532" s="13"/>
      <c r="CO532" s="11"/>
      <c r="CP532" s="12"/>
      <c r="CQ532" s="12"/>
      <c r="CR532" s="11"/>
      <c r="CS532" s="13"/>
      <c r="CT532" s="11"/>
      <c r="CU532" s="11"/>
      <c r="CV532" s="13"/>
      <c r="CW532" s="11"/>
      <c r="CX532" s="12"/>
      <c r="CY532" s="12"/>
      <c r="CZ532" s="11"/>
      <c r="DA532" s="13"/>
      <c r="DB532" s="11"/>
      <c r="DC532" s="11"/>
      <c r="DD532" s="13"/>
      <c r="DE532" s="11"/>
      <c r="DF532" s="12"/>
      <c r="DG532" s="12"/>
      <c r="DH532" s="11"/>
      <c r="DI532" s="13"/>
      <c r="DJ532" s="11"/>
      <c r="DK532" s="11"/>
      <c r="DL532" s="13"/>
      <c r="DM532" s="11"/>
      <c r="DN532" s="12"/>
      <c r="DO532" s="12"/>
      <c r="DP532" s="11">
        <v>2</v>
      </c>
      <c r="DQ532" s="13">
        <v>75.68</v>
      </c>
      <c r="DR532" s="11">
        <v>16</v>
      </c>
      <c r="DS532" s="11"/>
      <c r="DT532" s="13"/>
      <c r="DU532" s="11"/>
      <c r="DV532" s="12"/>
      <c r="DW532" s="12"/>
      <c r="DX532" s="11"/>
      <c r="DY532" s="13"/>
      <c r="DZ532" s="11"/>
      <c r="EA532" s="11"/>
      <c r="EB532" s="13"/>
      <c r="EC532" s="11"/>
      <c r="ED532" s="12"/>
      <c r="EE532" s="12"/>
      <c r="EF532" s="11"/>
      <c r="EG532" s="13"/>
      <c r="EH532" s="11"/>
      <c r="EI532" s="11"/>
      <c r="EJ532" s="13"/>
      <c r="EK532" s="11"/>
      <c r="EL532" s="12"/>
      <c r="EM532" s="12"/>
      <c r="EN532" s="11">
        <v>1</v>
      </c>
      <c r="EO532" s="13">
        <v>75.99</v>
      </c>
      <c r="EP532" s="11">
        <v>16</v>
      </c>
      <c r="EQ532" s="11"/>
      <c r="ER532" s="13"/>
      <c r="ES532" s="11"/>
      <c r="ET532" s="12"/>
      <c r="EU532" s="12"/>
      <c r="EV532" s="11">
        <v>13</v>
      </c>
      <c r="EW532" s="13">
        <v>376.94</v>
      </c>
      <c r="EX532" s="11">
        <v>16</v>
      </c>
      <c r="EY532" s="11"/>
      <c r="EZ532" s="13"/>
      <c r="FA532" s="11"/>
      <c r="FB532" s="12"/>
      <c r="FC532" s="12"/>
      <c r="FD532" s="11"/>
      <c r="FE532" s="13"/>
      <c r="FF532" s="11"/>
      <c r="FG532" s="11"/>
      <c r="FH532" s="13"/>
      <c r="FI532" s="11"/>
      <c r="FJ532" s="12"/>
      <c r="FK532" s="12"/>
      <c r="FL532" s="11"/>
      <c r="FM532" s="13"/>
      <c r="FN532" s="11"/>
      <c r="FO532" s="11"/>
      <c r="FP532" s="13"/>
      <c r="FQ532" s="11"/>
      <c r="FR532" s="12"/>
      <c r="FS532" s="12"/>
      <c r="FT532" s="11"/>
      <c r="FU532" s="13"/>
      <c r="FV532" s="11"/>
      <c r="FW532" s="11"/>
      <c r="FX532" s="13"/>
      <c r="FY532" s="11"/>
      <c r="FZ532" s="12"/>
      <c r="GA532" s="12"/>
      <c r="GB532" s="11"/>
      <c r="GC532" s="13"/>
      <c r="GD532" s="11"/>
      <c r="GE532" s="11"/>
      <c r="GF532" s="13"/>
      <c r="GG532" s="11"/>
      <c r="GH532" s="12"/>
      <c r="GI532" s="12"/>
      <c r="GJ532" s="11"/>
      <c r="GK532" s="13"/>
      <c r="GL532" s="11"/>
      <c r="GM532" s="11"/>
      <c r="GN532" s="13"/>
      <c r="GO532" s="11"/>
      <c r="GP532" s="12"/>
      <c r="GQ532" s="12"/>
      <c r="GR532" s="11"/>
      <c r="GS532" s="13"/>
      <c r="GT532" s="11">
        <v>16</v>
      </c>
      <c r="GU532" s="11"/>
      <c r="GV532" s="13"/>
      <c r="GW532" s="11"/>
      <c r="GX532" s="12"/>
      <c r="GY532" s="12"/>
      <c r="GZ532" s="11"/>
      <c r="HA532" s="13"/>
      <c r="HB532" s="11"/>
      <c r="HC532" s="11"/>
      <c r="HD532" s="13"/>
      <c r="HE532" s="11"/>
      <c r="HF532" s="12"/>
      <c r="HG532" s="12"/>
      <c r="HH532" s="11"/>
      <c r="HI532" s="13"/>
      <c r="HJ532" s="11"/>
      <c r="HK532" s="11"/>
      <c r="HL532" s="13"/>
      <c r="HM532" s="11"/>
      <c r="HN532" s="12"/>
      <c r="HO532" s="12"/>
      <c r="HP532" s="11"/>
      <c r="HQ532" s="13"/>
      <c r="HR532" s="11"/>
      <c r="HS532" s="11"/>
      <c r="HT532" s="13"/>
      <c r="HU532" s="11"/>
      <c r="HV532" s="12"/>
      <c r="HW532" s="12"/>
      <c r="HX532" s="11"/>
      <c r="HY532" s="13"/>
      <c r="HZ532" s="11"/>
      <c r="IA532" s="11"/>
      <c r="IB532" s="13"/>
      <c r="IC532" s="11"/>
      <c r="ID532" s="12"/>
      <c r="IE532" s="12"/>
      <c r="IF532" s="11"/>
      <c r="IG532" s="13"/>
      <c r="IH532" s="11"/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/>
      <c r="IW532" s="13"/>
      <c r="IX532" s="11"/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/>
      <c r="JO532" s="11"/>
      <c r="JP532" s="13"/>
      <c r="JQ532" s="11"/>
      <c r="JR532" s="12"/>
      <c r="JS532" s="12"/>
      <c r="JT532" s="11"/>
      <c r="JU532" s="13"/>
      <c r="JV532" s="11">
        <v>16</v>
      </c>
      <c r="JW532" s="11"/>
      <c r="JX532" s="13"/>
      <c r="JY532" s="11"/>
      <c r="JZ532" s="12"/>
      <c r="KA532" s="12"/>
      <c r="KB532" s="11"/>
      <c r="KC532" s="13"/>
      <c r="KD532" s="11"/>
      <c r="KE532" s="11"/>
      <c r="KF532" s="13"/>
      <c r="KG532" s="11"/>
      <c r="KH532" s="12"/>
      <c r="KI532" s="12"/>
      <c r="KJ532" s="11"/>
      <c r="KK532" s="13"/>
      <c r="KL532" s="11"/>
      <c r="KM532" s="11"/>
      <c r="KN532" s="13"/>
      <c r="KO532" s="11"/>
      <c r="KP532" s="12"/>
      <c r="KQ532" s="12"/>
      <c r="KR532" s="11"/>
      <c r="KS532" s="13"/>
      <c r="KT532" s="11"/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  <c r="LH532" s="11"/>
      <c r="LI532" s="13"/>
      <c r="LJ532" s="11"/>
      <c r="LK532" s="11"/>
      <c r="LL532" s="13"/>
      <c r="LM532" s="11"/>
      <c r="LN532" s="12"/>
      <c r="LO532" s="12"/>
      <c r="LP532" s="11"/>
      <c r="LQ532" s="13"/>
      <c r="LR532" s="11"/>
      <c r="LS532" s="11"/>
      <c r="LT532" s="13"/>
      <c r="LU532" s="11"/>
      <c r="LV532" s="12"/>
      <c r="LW532" s="12"/>
    </row>
    <row r="533">
      <c r="A533" s="10" t="s">
        <v>278</v>
      </c>
      <c r="B533" s="10" t="s">
        <v>176</v>
      </c>
      <c r="C533" s="10" t="s">
        <v>279</v>
      </c>
      <c r="D533" s="11">
        <v>6134</v>
      </c>
      <c r="E533" s="11">
        <f>=ROUNDDOWN(35.1921973608721,0)</f>
      </c>
      <c r="F533" s="11">
        <v>2072</v>
      </c>
      <c r="G533" s="12">
        <v>0.9726</v>
      </c>
      <c r="H533" s="11"/>
      <c r="I533" s="11">
        <f>=ROUNDDOWN({0},0)</f>
      </c>
      <c r="J533" s="11"/>
      <c r="K533" s="12"/>
      <c r="L533" s="11">
        <v>2716</v>
      </c>
      <c r="M533" s="13">
        <v>61185.47</v>
      </c>
      <c r="N533" s="11">
        <v>32</v>
      </c>
      <c r="O533" s="14">
        <v>1912.05</v>
      </c>
      <c r="P533" s="11"/>
      <c r="Q533" s="13"/>
      <c r="R533" s="11"/>
      <c r="S533" s="14"/>
      <c r="T533" s="12"/>
      <c r="U533" s="12"/>
      <c r="V533" s="12"/>
      <c r="W533" s="12"/>
      <c r="X533" s="11">
        <v>77</v>
      </c>
      <c r="Y533" s="13">
        <v>1883.22</v>
      </c>
      <c r="Z533" s="11">
        <v>12</v>
      </c>
      <c r="AA533" s="11"/>
      <c r="AB533" s="13"/>
      <c r="AC533" s="11"/>
      <c r="AD533" s="12"/>
      <c r="AE533" s="12"/>
      <c r="AF533" s="11">
        <v>35</v>
      </c>
      <c r="AG533" s="13">
        <v>629.74</v>
      </c>
      <c r="AH533" s="11">
        <v>32</v>
      </c>
      <c r="AI533" s="11"/>
      <c r="AJ533" s="13"/>
      <c r="AK533" s="11"/>
      <c r="AL533" s="12"/>
      <c r="AM533" s="12"/>
      <c r="AN533" s="11">
        <v>861</v>
      </c>
      <c r="AO533" s="13">
        <v>15966.67</v>
      </c>
      <c r="AP533" s="11">
        <v>32</v>
      </c>
      <c r="AQ533" s="11"/>
      <c r="AR533" s="13"/>
      <c r="AS533" s="11"/>
      <c r="AT533" s="12"/>
      <c r="AU533" s="12"/>
      <c r="AV533" s="11">
        <v>476</v>
      </c>
      <c r="AW533" s="13">
        <v>8810.07</v>
      </c>
      <c r="AX533" s="11">
        <v>32</v>
      </c>
      <c r="AY533" s="11"/>
      <c r="AZ533" s="13"/>
      <c r="BA533" s="11"/>
      <c r="BB533" s="12"/>
      <c r="BC533" s="12"/>
      <c r="BD533" s="11">
        <v>354</v>
      </c>
      <c r="BE533" s="13">
        <v>7576.07</v>
      </c>
      <c r="BF533" s="11">
        <v>32</v>
      </c>
      <c r="BG533" s="11"/>
      <c r="BH533" s="13"/>
      <c r="BI533" s="11"/>
      <c r="BJ533" s="12"/>
      <c r="BK533" s="12"/>
      <c r="BL533" s="11">
        <v>54</v>
      </c>
      <c r="BM533" s="13">
        <v>1546.12</v>
      </c>
      <c r="BN533" s="11">
        <v>32</v>
      </c>
      <c r="BO533" s="11"/>
      <c r="BP533" s="13"/>
      <c r="BQ533" s="11"/>
      <c r="BR533" s="12"/>
      <c r="BS533" s="12"/>
      <c r="BT533" s="11">
        <v>101</v>
      </c>
      <c r="BU533" s="13">
        <v>2590.44</v>
      </c>
      <c r="BV533" s="11">
        <v>32</v>
      </c>
      <c r="BW533" s="11"/>
      <c r="BX533" s="13"/>
      <c r="BY533" s="11"/>
      <c r="BZ533" s="12"/>
      <c r="CA533" s="12"/>
      <c r="CB533" s="11">
        <v>254</v>
      </c>
      <c r="CC533" s="13">
        <v>6652.28</v>
      </c>
      <c r="CD533" s="11">
        <v>32</v>
      </c>
      <c r="CE533" s="11"/>
      <c r="CF533" s="13"/>
      <c r="CG533" s="11"/>
      <c r="CH533" s="12"/>
      <c r="CI533" s="12"/>
      <c r="CJ533" s="11">
        <v>126</v>
      </c>
      <c r="CK533" s="13">
        <v>6962.74</v>
      </c>
      <c r="CL533" s="11">
        <v>32</v>
      </c>
      <c r="CM533" s="11"/>
      <c r="CN533" s="13"/>
      <c r="CO533" s="11"/>
      <c r="CP533" s="12"/>
      <c r="CQ533" s="12"/>
      <c r="CR533" s="11"/>
      <c r="CS533" s="13"/>
      <c r="CT533" s="11"/>
      <c r="CU533" s="11"/>
      <c r="CV533" s="13"/>
      <c r="CW533" s="11"/>
      <c r="CX533" s="12"/>
      <c r="CY533" s="12"/>
      <c r="CZ533" s="11"/>
      <c r="DA533" s="13"/>
      <c r="DB533" s="11"/>
      <c r="DC533" s="11"/>
      <c r="DD533" s="13"/>
      <c r="DE533" s="11"/>
      <c r="DF533" s="12"/>
      <c r="DG533" s="12"/>
      <c r="DH533" s="11"/>
      <c r="DI533" s="13"/>
      <c r="DJ533" s="11"/>
      <c r="DK533" s="11"/>
      <c r="DL533" s="13"/>
      <c r="DM533" s="11"/>
      <c r="DN533" s="12"/>
      <c r="DO533" s="12"/>
      <c r="DP533" s="11">
        <v>161</v>
      </c>
      <c r="DQ533" s="13">
        <v>3712.56</v>
      </c>
      <c r="DR533" s="11">
        <v>32</v>
      </c>
      <c r="DS533" s="11"/>
      <c r="DT533" s="13"/>
      <c r="DU533" s="11"/>
      <c r="DV533" s="12"/>
      <c r="DW533" s="12"/>
      <c r="DX533" s="11">
        <v>28</v>
      </c>
      <c r="DY533" s="13">
        <v>504.82</v>
      </c>
      <c r="DZ533" s="11">
        <v>21</v>
      </c>
      <c r="EA533" s="11"/>
      <c r="EB533" s="13"/>
      <c r="EC533" s="11"/>
      <c r="ED533" s="12"/>
      <c r="EE533" s="12"/>
      <c r="EF533" s="11"/>
      <c r="EG533" s="13"/>
      <c r="EH533" s="11"/>
      <c r="EI533" s="11"/>
      <c r="EJ533" s="13"/>
      <c r="EK533" s="11"/>
      <c r="EL533" s="12"/>
      <c r="EM533" s="12"/>
      <c r="EN533" s="11">
        <v>1</v>
      </c>
      <c r="EO533" s="13">
        <v>74.99</v>
      </c>
      <c r="EP533" s="11">
        <v>32</v>
      </c>
      <c r="EQ533" s="11"/>
      <c r="ER533" s="13"/>
      <c r="ES533" s="11"/>
      <c r="ET533" s="12"/>
      <c r="EU533" s="12"/>
      <c r="EV533" s="11">
        <v>3</v>
      </c>
      <c r="EW533" s="13">
        <v>56.87</v>
      </c>
      <c r="EX533" s="11">
        <v>18</v>
      </c>
      <c r="EY533" s="11"/>
      <c r="EZ533" s="13"/>
      <c r="FA533" s="11"/>
      <c r="FB533" s="12"/>
      <c r="FC533" s="12"/>
      <c r="FD533" s="11">
        <v>3</v>
      </c>
      <c r="FE533" s="13">
        <v>116.45</v>
      </c>
      <c r="FF533" s="11">
        <v>5</v>
      </c>
      <c r="FG533" s="11"/>
      <c r="FH533" s="13"/>
      <c r="FI533" s="11"/>
      <c r="FJ533" s="12"/>
      <c r="FK533" s="12"/>
      <c r="FL533" s="11">
        <v>173</v>
      </c>
      <c r="FM533" s="13">
        <v>3928.1</v>
      </c>
      <c r="FN533" s="11">
        <v>9</v>
      </c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/>
      <c r="GE533" s="11"/>
      <c r="GF533" s="13"/>
      <c r="GG533" s="11"/>
      <c r="GH533" s="12"/>
      <c r="GI533" s="12"/>
      <c r="GJ533" s="11"/>
      <c r="GK533" s="13"/>
      <c r="GL533" s="11"/>
      <c r="GM533" s="11"/>
      <c r="GN533" s="13"/>
      <c r="GO533" s="11"/>
      <c r="GP533" s="12"/>
      <c r="GQ533" s="12"/>
      <c r="GR533" s="11"/>
      <c r="GS533" s="13"/>
      <c r="GT533" s="11">
        <v>31</v>
      </c>
      <c r="GU533" s="11"/>
      <c r="GV533" s="13"/>
      <c r="GW533" s="11"/>
      <c r="GX533" s="12"/>
      <c r="GY533" s="12"/>
      <c r="GZ533" s="11"/>
      <c r="HA533" s="13"/>
      <c r="HB533" s="11"/>
      <c r="HC533" s="11"/>
      <c r="HD533" s="13"/>
      <c r="HE533" s="11"/>
      <c r="HF533" s="12"/>
      <c r="HG533" s="12"/>
      <c r="HH533" s="11"/>
      <c r="HI533" s="13"/>
      <c r="HJ533" s="11"/>
      <c r="HK533" s="11"/>
      <c r="HL533" s="13"/>
      <c r="HM533" s="11"/>
      <c r="HN533" s="12"/>
      <c r="HO533" s="12"/>
      <c r="HP533" s="11"/>
      <c r="HQ533" s="13"/>
      <c r="HR533" s="11"/>
      <c r="HS533" s="11"/>
      <c r="HT533" s="13"/>
      <c r="HU533" s="11"/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>
        <v>9</v>
      </c>
      <c r="IW533" s="13">
        <v>174.33</v>
      </c>
      <c r="IX533" s="11">
        <v>20</v>
      </c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/>
      <c r="JO533" s="11"/>
      <c r="JP533" s="13"/>
      <c r="JQ533" s="11"/>
      <c r="JR533" s="12"/>
      <c r="JS533" s="12"/>
      <c r="JT533" s="11"/>
      <c r="JU533" s="13"/>
      <c r="JV533" s="11"/>
      <c r="JW533" s="11"/>
      <c r="JX533" s="13"/>
      <c r="JY533" s="11"/>
      <c r="JZ533" s="12"/>
      <c r="KA533" s="12"/>
      <c r="KB533" s="11"/>
      <c r="KC533" s="13"/>
      <c r="KD533" s="11"/>
      <c r="KE533" s="11"/>
      <c r="KF533" s="13"/>
      <c r="KG533" s="11"/>
      <c r="KH533" s="12"/>
      <c r="KI533" s="12"/>
      <c r="KJ533" s="11"/>
      <c r="KK533" s="13"/>
      <c r="KL533" s="11"/>
      <c r="KM533" s="11"/>
      <c r="KN533" s="13"/>
      <c r="KO533" s="11"/>
      <c r="KP533" s="12"/>
      <c r="KQ533" s="12"/>
      <c r="KR533" s="11"/>
      <c r="KS533" s="13"/>
      <c r="KT533" s="11"/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  <c r="LH533" s="11"/>
      <c r="LI533" s="13"/>
      <c r="LJ533" s="11"/>
      <c r="LK533" s="11"/>
      <c r="LL533" s="13"/>
      <c r="LM533" s="11"/>
      <c r="LN533" s="12"/>
      <c r="LO533" s="12"/>
      <c r="LP533" s="11"/>
      <c r="LQ533" s="13"/>
      <c r="LR533" s="11"/>
      <c r="LS533" s="11"/>
      <c r="LT533" s="13"/>
      <c r="LU533" s="11"/>
      <c r="LV533" s="12"/>
      <c r="LW533" s="12"/>
    </row>
    <row r="534">
      <c r="A534" s="10" t="s">
        <v>278</v>
      </c>
      <c r="B534" s="10" t="s">
        <v>177</v>
      </c>
      <c r="C534" s="10" t="s">
        <v>77</v>
      </c>
      <c r="D534" s="11">
        <v>6134</v>
      </c>
      <c r="E534" s="11">
        <f>=ROUNDDOWN({0},0)</f>
      </c>
      <c r="F534" s="11">
        <v>2072</v>
      </c>
      <c r="G534" s="12"/>
      <c r="H534" s="11"/>
      <c r="I534" s="11">
        <f>=ROUNDDOWN({0},0)</f>
      </c>
      <c r="J534" s="11"/>
      <c r="K534" s="12"/>
      <c r="L534" s="11">
        <v>2716</v>
      </c>
      <c r="M534" s="13">
        <v>61185.47</v>
      </c>
      <c r="N534" s="11">
        <v>32</v>
      </c>
      <c r="O534" s="14">
        <v>1912.05</v>
      </c>
      <c r="P534" s="11"/>
      <c r="Q534" s="13"/>
      <c r="R534" s="11"/>
      <c r="S534" s="14"/>
      <c r="T534" s="12"/>
      <c r="U534" s="12"/>
      <c r="V534" s="12"/>
      <c r="W534" s="12"/>
      <c r="X534" s="11">
        <v>77</v>
      </c>
      <c r="Y534" s="13">
        <v>1883.22</v>
      </c>
      <c r="Z534" s="11">
        <v>12</v>
      </c>
      <c r="AA534" s="11"/>
      <c r="AB534" s="13"/>
      <c r="AC534" s="11"/>
      <c r="AD534" s="12"/>
      <c r="AE534" s="12"/>
      <c r="AF534" s="11">
        <v>35</v>
      </c>
      <c r="AG534" s="13">
        <v>629.74</v>
      </c>
      <c r="AH534" s="11">
        <v>32</v>
      </c>
      <c r="AI534" s="11"/>
      <c r="AJ534" s="13"/>
      <c r="AK534" s="11"/>
      <c r="AL534" s="12"/>
      <c r="AM534" s="12"/>
      <c r="AN534" s="11">
        <v>861</v>
      </c>
      <c r="AO534" s="13">
        <v>15966.67</v>
      </c>
      <c r="AP534" s="11">
        <v>32</v>
      </c>
      <c r="AQ534" s="11"/>
      <c r="AR534" s="13"/>
      <c r="AS534" s="11"/>
      <c r="AT534" s="12"/>
      <c r="AU534" s="12"/>
      <c r="AV534" s="11">
        <v>476</v>
      </c>
      <c r="AW534" s="13">
        <v>8810.07</v>
      </c>
      <c r="AX534" s="11">
        <v>32</v>
      </c>
      <c r="AY534" s="11"/>
      <c r="AZ534" s="13"/>
      <c r="BA534" s="11"/>
      <c r="BB534" s="12"/>
      <c r="BC534" s="12"/>
      <c r="BD534" s="11">
        <v>354</v>
      </c>
      <c r="BE534" s="13">
        <v>7576.07</v>
      </c>
      <c r="BF534" s="11">
        <v>32</v>
      </c>
      <c r="BG534" s="11"/>
      <c r="BH534" s="13"/>
      <c r="BI534" s="11"/>
      <c r="BJ534" s="12"/>
      <c r="BK534" s="12"/>
      <c r="BL534" s="11">
        <v>54</v>
      </c>
      <c r="BM534" s="13">
        <v>1546.12</v>
      </c>
      <c r="BN534" s="11">
        <v>32</v>
      </c>
      <c r="BO534" s="11"/>
      <c r="BP534" s="13"/>
      <c r="BQ534" s="11"/>
      <c r="BR534" s="12"/>
      <c r="BS534" s="12"/>
      <c r="BT534" s="11">
        <v>101</v>
      </c>
      <c r="BU534" s="13">
        <v>2590.44</v>
      </c>
      <c r="BV534" s="11">
        <v>32</v>
      </c>
      <c r="BW534" s="11"/>
      <c r="BX534" s="13"/>
      <c r="BY534" s="11"/>
      <c r="BZ534" s="12"/>
      <c r="CA534" s="12"/>
      <c r="CB534" s="11">
        <v>254</v>
      </c>
      <c r="CC534" s="13">
        <v>6652.28</v>
      </c>
      <c r="CD534" s="11">
        <v>32</v>
      </c>
      <c r="CE534" s="11"/>
      <c r="CF534" s="13"/>
      <c r="CG534" s="11"/>
      <c r="CH534" s="12"/>
      <c r="CI534" s="12"/>
      <c r="CJ534" s="11">
        <v>126</v>
      </c>
      <c r="CK534" s="13">
        <v>6962.74</v>
      </c>
      <c r="CL534" s="11">
        <v>32</v>
      </c>
      <c r="CM534" s="11"/>
      <c r="CN534" s="13"/>
      <c r="CO534" s="11"/>
      <c r="CP534" s="12"/>
      <c r="CQ534" s="12"/>
      <c r="CR534" s="11"/>
      <c r="CS534" s="13"/>
      <c r="CT534" s="11"/>
      <c r="CU534" s="11"/>
      <c r="CV534" s="13"/>
      <c r="CW534" s="11"/>
      <c r="CX534" s="12"/>
      <c r="CY534" s="12"/>
      <c r="CZ534" s="11"/>
      <c r="DA534" s="13"/>
      <c r="DB534" s="11"/>
      <c r="DC534" s="11"/>
      <c r="DD534" s="13"/>
      <c r="DE534" s="11"/>
      <c r="DF534" s="12"/>
      <c r="DG534" s="12"/>
      <c r="DH534" s="11"/>
      <c r="DI534" s="13"/>
      <c r="DJ534" s="11"/>
      <c r="DK534" s="11"/>
      <c r="DL534" s="13"/>
      <c r="DM534" s="11"/>
      <c r="DN534" s="12"/>
      <c r="DO534" s="12"/>
      <c r="DP534" s="11">
        <v>161</v>
      </c>
      <c r="DQ534" s="13">
        <v>3712.56</v>
      </c>
      <c r="DR534" s="11">
        <v>32</v>
      </c>
      <c r="DS534" s="11"/>
      <c r="DT534" s="13"/>
      <c r="DU534" s="11"/>
      <c r="DV534" s="12"/>
      <c r="DW534" s="12"/>
      <c r="DX534" s="11">
        <v>28</v>
      </c>
      <c r="DY534" s="13">
        <v>504.82</v>
      </c>
      <c r="DZ534" s="11">
        <v>21</v>
      </c>
      <c r="EA534" s="11"/>
      <c r="EB534" s="13"/>
      <c r="EC534" s="11"/>
      <c r="ED534" s="12"/>
      <c r="EE534" s="12"/>
      <c r="EF534" s="11"/>
      <c r="EG534" s="13"/>
      <c r="EH534" s="11"/>
      <c r="EI534" s="11"/>
      <c r="EJ534" s="13"/>
      <c r="EK534" s="11"/>
      <c r="EL534" s="12"/>
      <c r="EM534" s="12"/>
      <c r="EN534" s="11">
        <v>1</v>
      </c>
      <c r="EO534" s="13">
        <v>74.99</v>
      </c>
      <c r="EP534" s="11">
        <v>32</v>
      </c>
      <c r="EQ534" s="11"/>
      <c r="ER534" s="13"/>
      <c r="ES534" s="11"/>
      <c r="ET534" s="12"/>
      <c r="EU534" s="12"/>
      <c r="EV534" s="11">
        <v>3</v>
      </c>
      <c r="EW534" s="13">
        <v>56.87</v>
      </c>
      <c r="EX534" s="11">
        <v>18</v>
      </c>
      <c r="EY534" s="11"/>
      <c r="EZ534" s="13"/>
      <c r="FA534" s="11"/>
      <c r="FB534" s="12"/>
      <c r="FC534" s="12"/>
      <c r="FD534" s="11">
        <v>3</v>
      </c>
      <c r="FE534" s="13">
        <v>116.45</v>
      </c>
      <c r="FF534" s="11">
        <v>5</v>
      </c>
      <c r="FG534" s="11"/>
      <c r="FH534" s="13"/>
      <c r="FI534" s="11"/>
      <c r="FJ534" s="12"/>
      <c r="FK534" s="12"/>
      <c r="FL534" s="11">
        <v>173</v>
      </c>
      <c r="FM534" s="13">
        <v>3928.1</v>
      </c>
      <c r="FN534" s="11">
        <v>9</v>
      </c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/>
      <c r="GE534" s="11"/>
      <c r="GF534" s="13"/>
      <c r="GG534" s="11"/>
      <c r="GH534" s="12"/>
      <c r="GI534" s="12"/>
      <c r="GJ534" s="11"/>
      <c r="GK534" s="13"/>
      <c r="GL534" s="11"/>
      <c r="GM534" s="11"/>
      <c r="GN534" s="13"/>
      <c r="GO534" s="11"/>
      <c r="GP534" s="12"/>
      <c r="GQ534" s="12"/>
      <c r="GR534" s="11"/>
      <c r="GS534" s="13"/>
      <c r="GT534" s="11">
        <v>31</v>
      </c>
      <c r="GU534" s="11"/>
      <c r="GV534" s="13"/>
      <c r="GW534" s="11"/>
      <c r="GX534" s="12"/>
      <c r="GY534" s="12"/>
      <c r="GZ534" s="11"/>
      <c r="HA534" s="13"/>
      <c r="HB534" s="11"/>
      <c r="HC534" s="11"/>
      <c r="HD534" s="13"/>
      <c r="HE534" s="11"/>
      <c r="HF534" s="12"/>
      <c r="HG534" s="12"/>
      <c r="HH534" s="11"/>
      <c r="HI534" s="13"/>
      <c r="HJ534" s="11"/>
      <c r="HK534" s="11"/>
      <c r="HL534" s="13"/>
      <c r="HM534" s="11"/>
      <c r="HN534" s="12"/>
      <c r="HO534" s="12"/>
      <c r="HP534" s="11"/>
      <c r="HQ534" s="13"/>
      <c r="HR534" s="11"/>
      <c r="HS534" s="11"/>
      <c r="HT534" s="13"/>
      <c r="HU534" s="11"/>
      <c r="HV534" s="12"/>
      <c r="HW534" s="12"/>
      <c r="HX534" s="11"/>
      <c r="HY534" s="13"/>
      <c r="HZ534" s="11"/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/>
      <c r="IQ534" s="11"/>
      <c r="IR534" s="13"/>
      <c r="IS534" s="11"/>
      <c r="IT534" s="12"/>
      <c r="IU534" s="12"/>
      <c r="IV534" s="11">
        <v>9</v>
      </c>
      <c r="IW534" s="13">
        <v>174.33</v>
      </c>
      <c r="IX534" s="11">
        <v>20</v>
      </c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/>
      <c r="JO534" s="11"/>
      <c r="JP534" s="13"/>
      <c r="JQ534" s="11"/>
      <c r="JR534" s="12"/>
      <c r="JS534" s="12"/>
      <c r="JT534" s="11"/>
      <c r="JU534" s="13"/>
      <c r="JV534" s="11"/>
      <c r="JW534" s="11"/>
      <c r="JX534" s="13"/>
      <c r="JY534" s="11"/>
      <c r="JZ534" s="12"/>
      <c r="KA534" s="12"/>
      <c r="KB534" s="11"/>
      <c r="KC534" s="13"/>
      <c r="KD534" s="11"/>
      <c r="KE534" s="11"/>
      <c r="KF534" s="13"/>
      <c r="KG534" s="11"/>
      <c r="KH534" s="12"/>
      <c r="KI534" s="12"/>
      <c r="KJ534" s="11"/>
      <c r="KK534" s="13"/>
      <c r="KL534" s="11"/>
      <c r="KM534" s="11"/>
      <c r="KN534" s="13"/>
      <c r="KO534" s="11"/>
      <c r="KP534" s="12"/>
      <c r="KQ534" s="12"/>
      <c r="KR534" s="11"/>
      <c r="KS534" s="13"/>
      <c r="KT534" s="11"/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  <c r="LH534" s="11"/>
      <c r="LI534" s="13"/>
      <c r="LJ534" s="11"/>
      <c r="LK534" s="11"/>
      <c r="LL534" s="13"/>
      <c r="LM534" s="11"/>
      <c r="LN534" s="12"/>
      <c r="LO534" s="12"/>
      <c r="LP534" s="11"/>
      <c r="LQ534" s="13"/>
      <c r="LR534" s="11"/>
      <c r="LS534" s="11"/>
      <c r="LT534" s="13"/>
      <c r="LU534" s="11"/>
      <c r="LV534" s="12"/>
      <c r="LW534" s="12"/>
    </row>
    <row r="535">
      <c r="A535" s="10" t="s">
        <v>278</v>
      </c>
      <c r="B535" s="10" t="s">
        <v>134</v>
      </c>
      <c r="C535" s="10" t="s">
        <v>279</v>
      </c>
      <c r="D535" s="11">
        <v>13247</v>
      </c>
      <c r="E535" s="11">
        <f>=ROUNDDOWN(40.8353884093711,0)</f>
      </c>
      <c r="F535" s="11">
        <v>3764</v>
      </c>
      <c r="G535" s="12"/>
      <c r="H535" s="11"/>
      <c r="I535" s="11">
        <f>=ROUNDDOWN({0},0)</f>
      </c>
      <c r="J535" s="11"/>
      <c r="K535" s="12"/>
      <c r="L535" s="11"/>
      <c r="M535" s="13"/>
      <c r="N535" s="11">
        <v>5</v>
      </c>
      <c r="O535" s="14"/>
      <c r="P535" s="11"/>
      <c r="Q535" s="13"/>
      <c r="R535" s="11"/>
      <c r="S535" s="14"/>
      <c r="T535" s="12"/>
      <c r="U535" s="12"/>
      <c r="V535" s="12"/>
      <c r="W535" s="12"/>
      <c r="X535" s="11"/>
      <c r="Y535" s="13"/>
      <c r="Z535" s="11"/>
      <c r="AA535" s="11"/>
      <c r="AB535" s="13"/>
      <c r="AC535" s="11"/>
      <c r="AD535" s="12"/>
      <c r="AE535" s="12"/>
      <c r="AF535" s="11"/>
      <c r="AG535" s="13"/>
      <c r="AH535" s="11">
        <v>5</v>
      </c>
      <c r="AI535" s="11"/>
      <c r="AJ535" s="13"/>
      <c r="AK535" s="11"/>
      <c r="AL535" s="12"/>
      <c r="AM535" s="12"/>
      <c r="AN535" s="11"/>
      <c r="AO535" s="13"/>
      <c r="AP535" s="11">
        <v>5</v>
      </c>
      <c r="AQ535" s="11"/>
      <c r="AR535" s="13"/>
      <c r="AS535" s="11"/>
      <c r="AT535" s="12"/>
      <c r="AU535" s="12"/>
      <c r="AV535" s="11"/>
      <c r="AW535" s="13"/>
      <c r="AX535" s="11"/>
      <c r="AY535" s="11"/>
      <c r="AZ535" s="13"/>
      <c r="BA535" s="11"/>
      <c r="BB535" s="12"/>
      <c r="BC535" s="12"/>
      <c r="BD535" s="11"/>
      <c r="BE535" s="13"/>
      <c r="BF535" s="11"/>
      <c r="BG535" s="11"/>
      <c r="BH535" s="13"/>
      <c r="BI535" s="11"/>
      <c r="BJ535" s="12"/>
      <c r="BK535" s="12"/>
      <c r="BL535" s="11"/>
      <c r="BM535" s="13"/>
      <c r="BN535" s="11"/>
      <c r="BO535" s="11"/>
      <c r="BP535" s="13"/>
      <c r="BQ535" s="11"/>
      <c r="BR535" s="12"/>
      <c r="BS535" s="12"/>
      <c r="BT535" s="11"/>
      <c r="BU535" s="13"/>
      <c r="BV535" s="11"/>
      <c r="BW535" s="11"/>
      <c r="BX535" s="13"/>
      <c r="BY535" s="11"/>
      <c r="BZ535" s="12"/>
      <c r="CA535" s="12"/>
      <c r="CB535" s="11"/>
      <c r="CC535" s="13"/>
      <c r="CD535" s="11"/>
      <c r="CE535" s="11"/>
      <c r="CF535" s="13"/>
      <c r="CG535" s="11"/>
      <c r="CH535" s="12"/>
      <c r="CI535" s="12"/>
      <c r="CJ535" s="11"/>
      <c r="CK535" s="13"/>
      <c r="CL535" s="11">
        <v>5</v>
      </c>
      <c r="CM535" s="11"/>
      <c r="CN535" s="13"/>
      <c r="CO535" s="11"/>
      <c r="CP535" s="12"/>
      <c r="CQ535" s="12"/>
      <c r="CR535" s="11"/>
      <c r="CS535" s="13"/>
      <c r="CT535" s="11"/>
      <c r="CU535" s="11"/>
      <c r="CV535" s="13"/>
      <c r="CW535" s="11"/>
      <c r="CX535" s="12"/>
      <c r="CY535" s="12"/>
      <c r="CZ535" s="11"/>
      <c r="DA535" s="13"/>
      <c r="DB535" s="11"/>
      <c r="DC535" s="11"/>
      <c r="DD535" s="13"/>
      <c r="DE535" s="11"/>
      <c r="DF535" s="12"/>
      <c r="DG535" s="12"/>
      <c r="DH535" s="11"/>
      <c r="DI535" s="13"/>
      <c r="DJ535" s="11"/>
      <c r="DK535" s="11"/>
      <c r="DL535" s="13"/>
      <c r="DM535" s="11"/>
      <c r="DN535" s="12"/>
      <c r="DO535" s="12"/>
      <c r="DP535" s="11"/>
      <c r="DQ535" s="13"/>
      <c r="DR535" s="11">
        <v>5</v>
      </c>
      <c r="DS535" s="11"/>
      <c r="DT535" s="13"/>
      <c r="DU535" s="11"/>
      <c r="DV535" s="12"/>
      <c r="DW535" s="12"/>
      <c r="DX535" s="11"/>
      <c r="DY535" s="13"/>
      <c r="DZ535" s="11">
        <v>5</v>
      </c>
      <c r="EA535" s="11"/>
      <c r="EB535" s="13"/>
      <c r="EC535" s="11"/>
      <c r="ED535" s="12"/>
      <c r="EE535" s="12"/>
      <c r="EF535" s="11"/>
      <c r="EG535" s="13"/>
      <c r="EH535" s="11"/>
      <c r="EI535" s="11"/>
      <c r="EJ535" s="13"/>
      <c r="EK535" s="11"/>
      <c r="EL535" s="12"/>
      <c r="EM535" s="12"/>
      <c r="EN535" s="11"/>
      <c r="EO535" s="13"/>
      <c r="EP535" s="11">
        <v>5</v>
      </c>
      <c r="EQ535" s="11"/>
      <c r="ER535" s="13"/>
      <c r="ES535" s="11"/>
      <c r="ET535" s="12"/>
      <c r="EU535" s="12"/>
      <c r="EV535" s="11"/>
      <c r="EW535" s="13"/>
      <c r="EX535" s="11"/>
      <c r="EY535" s="11"/>
      <c r="EZ535" s="13"/>
      <c r="FA535" s="11"/>
      <c r="FB535" s="12"/>
      <c r="FC535" s="12"/>
      <c r="FD535" s="11"/>
      <c r="FE535" s="13"/>
      <c r="FF535" s="11"/>
      <c r="FG535" s="11"/>
      <c r="FH535" s="13"/>
      <c r="FI535" s="11"/>
      <c r="FJ535" s="12"/>
      <c r="FK535" s="12"/>
      <c r="FL535" s="11"/>
      <c r="FM535" s="13"/>
      <c r="FN535" s="11"/>
      <c r="FO535" s="11"/>
      <c r="FP535" s="13"/>
      <c r="FQ535" s="11"/>
      <c r="FR535" s="12"/>
      <c r="FS535" s="12"/>
      <c r="FT535" s="11"/>
      <c r="FU535" s="13"/>
      <c r="FV535" s="11"/>
      <c r="FW535" s="11"/>
      <c r="FX535" s="13"/>
      <c r="FY535" s="11"/>
      <c r="FZ535" s="12"/>
      <c r="GA535" s="12"/>
      <c r="GB535" s="11"/>
      <c r="GC535" s="13"/>
      <c r="GD535" s="11"/>
      <c r="GE535" s="11"/>
      <c r="GF535" s="13"/>
      <c r="GG535" s="11"/>
      <c r="GH535" s="12"/>
      <c r="GI535" s="12"/>
      <c r="GJ535" s="11"/>
      <c r="GK535" s="13"/>
      <c r="GL535" s="11"/>
      <c r="GM535" s="11"/>
      <c r="GN535" s="13"/>
      <c r="GO535" s="11"/>
      <c r="GP535" s="12"/>
      <c r="GQ535" s="12"/>
      <c r="GR535" s="11"/>
      <c r="GS535" s="13"/>
      <c r="GT535" s="11"/>
      <c r="GU535" s="11"/>
      <c r="GV535" s="13"/>
      <c r="GW535" s="11"/>
      <c r="GX535" s="12"/>
      <c r="GY535" s="12"/>
      <c r="GZ535" s="11"/>
      <c r="HA535" s="13"/>
      <c r="HB535" s="11"/>
      <c r="HC535" s="11"/>
      <c r="HD535" s="13"/>
      <c r="HE535" s="11"/>
      <c r="HF535" s="12"/>
      <c r="HG535" s="12"/>
      <c r="HH535" s="11"/>
      <c r="HI535" s="13"/>
      <c r="HJ535" s="11"/>
      <c r="HK535" s="11"/>
      <c r="HL535" s="13"/>
      <c r="HM535" s="11"/>
      <c r="HN535" s="12"/>
      <c r="HO535" s="12"/>
      <c r="HP535" s="11"/>
      <c r="HQ535" s="13"/>
      <c r="HR535" s="11"/>
      <c r="HS535" s="11"/>
      <c r="HT535" s="13"/>
      <c r="HU535" s="11"/>
      <c r="HV535" s="12"/>
      <c r="HW535" s="12"/>
      <c r="HX535" s="11"/>
      <c r="HY535" s="13"/>
      <c r="HZ535" s="11"/>
      <c r="IA535" s="11"/>
      <c r="IB535" s="13"/>
      <c r="IC535" s="11"/>
      <c r="ID535" s="12"/>
      <c r="IE535" s="12"/>
      <c r="IF535" s="11"/>
      <c r="IG535" s="13"/>
      <c r="IH535" s="11"/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/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/>
      <c r="JO535" s="11"/>
      <c r="JP535" s="13"/>
      <c r="JQ535" s="11"/>
      <c r="JR535" s="12"/>
      <c r="JS535" s="12"/>
      <c r="JT535" s="11"/>
      <c r="JU535" s="13"/>
      <c r="JV535" s="11"/>
      <c r="JW535" s="11"/>
      <c r="JX535" s="13"/>
      <c r="JY535" s="11"/>
      <c r="JZ535" s="12"/>
      <c r="KA535" s="12"/>
      <c r="KB535" s="11"/>
      <c r="KC535" s="13"/>
      <c r="KD535" s="11"/>
      <c r="KE535" s="11"/>
      <c r="KF535" s="13"/>
      <c r="KG535" s="11"/>
      <c r="KH535" s="12"/>
      <c r="KI535" s="12"/>
      <c r="KJ535" s="11"/>
      <c r="KK535" s="13"/>
      <c r="KL535" s="11"/>
      <c r="KM535" s="11"/>
      <c r="KN535" s="13"/>
      <c r="KO535" s="11"/>
      <c r="KP535" s="12"/>
      <c r="KQ535" s="12"/>
      <c r="KR535" s="11"/>
      <c r="KS535" s="13"/>
      <c r="KT535" s="11"/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  <c r="LH535" s="11"/>
      <c r="LI535" s="13"/>
      <c r="LJ535" s="11"/>
      <c r="LK535" s="11"/>
      <c r="LL535" s="13"/>
      <c r="LM535" s="11"/>
      <c r="LN535" s="12"/>
      <c r="LO535" s="12"/>
      <c r="LP535" s="11"/>
      <c r="LQ535" s="13"/>
      <c r="LR535" s="11"/>
      <c r="LS535" s="11"/>
      <c r="LT535" s="13"/>
      <c r="LU535" s="11"/>
      <c r="LV535" s="12"/>
      <c r="LW535" s="12"/>
    </row>
    <row r="536">
      <c r="A536" s="10" t="s">
        <v>278</v>
      </c>
      <c r="B536" s="10" t="s">
        <v>135</v>
      </c>
      <c r="C536" s="10" t="s">
        <v>77</v>
      </c>
      <c r="D536" s="11">
        <v>13247</v>
      </c>
      <c r="E536" s="11">
        <f>=ROUNDDOWN({0},0)</f>
      </c>
      <c r="F536" s="11">
        <v>3764</v>
      </c>
      <c r="G536" s="12"/>
      <c r="H536" s="11"/>
      <c r="I536" s="11">
        <f>=ROUNDDOWN({0},0)</f>
      </c>
      <c r="J536" s="11"/>
      <c r="K536" s="12"/>
      <c r="L536" s="11"/>
      <c r="M536" s="13"/>
      <c r="N536" s="11">
        <v>5</v>
      </c>
      <c r="O536" s="14"/>
      <c r="P536" s="11"/>
      <c r="Q536" s="13"/>
      <c r="R536" s="11"/>
      <c r="S536" s="14"/>
      <c r="T536" s="12"/>
      <c r="U536" s="12"/>
      <c r="V536" s="12"/>
      <c r="W536" s="12"/>
      <c r="X536" s="11"/>
      <c r="Y536" s="13"/>
      <c r="Z536" s="11"/>
      <c r="AA536" s="11"/>
      <c r="AB536" s="13"/>
      <c r="AC536" s="11"/>
      <c r="AD536" s="12"/>
      <c r="AE536" s="12"/>
      <c r="AF536" s="11"/>
      <c r="AG536" s="13"/>
      <c r="AH536" s="11">
        <v>5</v>
      </c>
      <c r="AI536" s="11"/>
      <c r="AJ536" s="13"/>
      <c r="AK536" s="11"/>
      <c r="AL536" s="12"/>
      <c r="AM536" s="12"/>
      <c r="AN536" s="11"/>
      <c r="AO536" s="13"/>
      <c r="AP536" s="11">
        <v>5</v>
      </c>
      <c r="AQ536" s="11"/>
      <c r="AR536" s="13"/>
      <c r="AS536" s="11"/>
      <c r="AT536" s="12"/>
      <c r="AU536" s="12"/>
      <c r="AV536" s="11"/>
      <c r="AW536" s="13"/>
      <c r="AX536" s="11"/>
      <c r="AY536" s="11"/>
      <c r="AZ536" s="13"/>
      <c r="BA536" s="11"/>
      <c r="BB536" s="12"/>
      <c r="BC536" s="12"/>
      <c r="BD536" s="11"/>
      <c r="BE536" s="13"/>
      <c r="BF536" s="11"/>
      <c r="BG536" s="11"/>
      <c r="BH536" s="13"/>
      <c r="BI536" s="11"/>
      <c r="BJ536" s="12"/>
      <c r="BK536" s="12"/>
      <c r="BL536" s="11"/>
      <c r="BM536" s="13"/>
      <c r="BN536" s="11"/>
      <c r="BO536" s="11"/>
      <c r="BP536" s="13"/>
      <c r="BQ536" s="11"/>
      <c r="BR536" s="12"/>
      <c r="BS536" s="12"/>
      <c r="BT536" s="11"/>
      <c r="BU536" s="13"/>
      <c r="BV536" s="11"/>
      <c r="BW536" s="11"/>
      <c r="BX536" s="13"/>
      <c r="BY536" s="11"/>
      <c r="BZ536" s="12"/>
      <c r="CA536" s="12"/>
      <c r="CB536" s="11"/>
      <c r="CC536" s="13"/>
      <c r="CD536" s="11"/>
      <c r="CE536" s="11"/>
      <c r="CF536" s="13"/>
      <c r="CG536" s="11"/>
      <c r="CH536" s="12"/>
      <c r="CI536" s="12"/>
      <c r="CJ536" s="11"/>
      <c r="CK536" s="13"/>
      <c r="CL536" s="11">
        <v>5</v>
      </c>
      <c r="CM536" s="11"/>
      <c r="CN536" s="13"/>
      <c r="CO536" s="11"/>
      <c r="CP536" s="12"/>
      <c r="CQ536" s="12"/>
      <c r="CR536" s="11"/>
      <c r="CS536" s="13"/>
      <c r="CT536" s="11"/>
      <c r="CU536" s="11"/>
      <c r="CV536" s="13"/>
      <c r="CW536" s="11"/>
      <c r="CX536" s="12"/>
      <c r="CY536" s="12"/>
      <c r="CZ536" s="11"/>
      <c r="DA536" s="13"/>
      <c r="DB536" s="11"/>
      <c r="DC536" s="11"/>
      <c r="DD536" s="13"/>
      <c r="DE536" s="11"/>
      <c r="DF536" s="12"/>
      <c r="DG536" s="12"/>
      <c r="DH536" s="11"/>
      <c r="DI536" s="13"/>
      <c r="DJ536" s="11"/>
      <c r="DK536" s="11"/>
      <c r="DL536" s="13"/>
      <c r="DM536" s="11"/>
      <c r="DN536" s="12"/>
      <c r="DO536" s="12"/>
      <c r="DP536" s="11"/>
      <c r="DQ536" s="13"/>
      <c r="DR536" s="11">
        <v>5</v>
      </c>
      <c r="DS536" s="11"/>
      <c r="DT536" s="13"/>
      <c r="DU536" s="11"/>
      <c r="DV536" s="12"/>
      <c r="DW536" s="12"/>
      <c r="DX536" s="11"/>
      <c r="DY536" s="13"/>
      <c r="DZ536" s="11">
        <v>5</v>
      </c>
      <c r="EA536" s="11"/>
      <c r="EB536" s="13"/>
      <c r="EC536" s="11"/>
      <c r="ED536" s="12"/>
      <c r="EE536" s="12"/>
      <c r="EF536" s="11"/>
      <c r="EG536" s="13"/>
      <c r="EH536" s="11"/>
      <c r="EI536" s="11"/>
      <c r="EJ536" s="13"/>
      <c r="EK536" s="11"/>
      <c r="EL536" s="12"/>
      <c r="EM536" s="12"/>
      <c r="EN536" s="11"/>
      <c r="EO536" s="13"/>
      <c r="EP536" s="11">
        <v>5</v>
      </c>
      <c r="EQ536" s="11"/>
      <c r="ER536" s="13"/>
      <c r="ES536" s="11"/>
      <c r="ET536" s="12"/>
      <c r="EU536" s="12"/>
      <c r="EV536" s="11"/>
      <c r="EW536" s="13"/>
      <c r="EX536" s="11"/>
      <c r="EY536" s="11"/>
      <c r="EZ536" s="13"/>
      <c r="FA536" s="11"/>
      <c r="FB536" s="12"/>
      <c r="FC536" s="12"/>
      <c r="FD536" s="11"/>
      <c r="FE536" s="13"/>
      <c r="FF536" s="11"/>
      <c r="FG536" s="11"/>
      <c r="FH536" s="13"/>
      <c r="FI536" s="11"/>
      <c r="FJ536" s="12"/>
      <c r="FK536" s="12"/>
      <c r="FL536" s="11"/>
      <c r="FM536" s="13"/>
      <c r="FN536" s="11"/>
      <c r="FO536" s="11"/>
      <c r="FP536" s="13"/>
      <c r="FQ536" s="11"/>
      <c r="FR536" s="12"/>
      <c r="FS536" s="12"/>
      <c r="FT536" s="11"/>
      <c r="FU536" s="13"/>
      <c r="FV536" s="11"/>
      <c r="FW536" s="11"/>
      <c r="FX536" s="13"/>
      <c r="FY536" s="11"/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/>
      <c r="GK536" s="13"/>
      <c r="GL536" s="11"/>
      <c r="GM536" s="11"/>
      <c r="GN536" s="13"/>
      <c r="GO536" s="11"/>
      <c r="GP536" s="12"/>
      <c r="GQ536" s="12"/>
      <c r="GR536" s="11"/>
      <c r="GS536" s="13"/>
      <c r="GT536" s="11"/>
      <c r="GU536" s="11"/>
      <c r="GV536" s="13"/>
      <c r="GW536" s="11"/>
      <c r="GX536" s="12"/>
      <c r="GY536" s="12"/>
      <c r="GZ536" s="11"/>
      <c r="HA536" s="13"/>
      <c r="HB536" s="11"/>
      <c r="HC536" s="11"/>
      <c r="HD536" s="13"/>
      <c r="HE536" s="11"/>
      <c r="HF536" s="12"/>
      <c r="HG536" s="12"/>
      <c r="HH536" s="11"/>
      <c r="HI536" s="13"/>
      <c r="HJ536" s="11"/>
      <c r="HK536" s="11"/>
      <c r="HL536" s="13"/>
      <c r="HM536" s="11"/>
      <c r="HN536" s="12"/>
      <c r="HO536" s="12"/>
      <c r="HP536" s="11"/>
      <c r="HQ536" s="13"/>
      <c r="HR536" s="11"/>
      <c r="HS536" s="11"/>
      <c r="HT536" s="13"/>
      <c r="HU536" s="11"/>
      <c r="HV536" s="12"/>
      <c r="HW536" s="12"/>
      <c r="HX536" s="11"/>
      <c r="HY536" s="13"/>
      <c r="HZ536" s="11"/>
      <c r="IA536" s="11"/>
      <c r="IB536" s="13"/>
      <c r="IC536" s="11"/>
      <c r="ID536" s="12"/>
      <c r="IE536" s="12"/>
      <c r="IF536" s="11"/>
      <c r="IG536" s="13"/>
      <c r="IH536" s="11"/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/>
      <c r="JO536" s="11"/>
      <c r="JP536" s="13"/>
      <c r="JQ536" s="11"/>
      <c r="JR536" s="12"/>
      <c r="JS536" s="12"/>
      <c r="JT536" s="11"/>
      <c r="JU536" s="13"/>
      <c r="JV536" s="11"/>
      <c r="JW536" s="11"/>
      <c r="JX536" s="13"/>
      <c r="JY536" s="11"/>
      <c r="JZ536" s="12"/>
      <c r="KA536" s="12"/>
      <c r="KB536" s="11"/>
      <c r="KC536" s="13"/>
      <c r="KD536" s="11"/>
      <c r="KE536" s="11"/>
      <c r="KF536" s="13"/>
      <c r="KG536" s="11"/>
      <c r="KH536" s="12"/>
      <c r="KI536" s="12"/>
      <c r="KJ536" s="11"/>
      <c r="KK536" s="13"/>
      <c r="KL536" s="11"/>
      <c r="KM536" s="11"/>
      <c r="KN536" s="13"/>
      <c r="KO536" s="11"/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  <c r="LH536" s="11"/>
      <c r="LI536" s="13"/>
      <c r="LJ536" s="11"/>
      <c r="LK536" s="11"/>
      <c r="LL536" s="13"/>
      <c r="LM536" s="11"/>
      <c r="LN536" s="12"/>
      <c r="LO536" s="12"/>
      <c r="LP536" s="11"/>
      <c r="LQ536" s="13"/>
      <c r="LR536" s="11"/>
      <c r="LS536" s="11"/>
      <c r="LT536" s="13"/>
      <c r="LU536" s="11"/>
      <c r="LV536" s="12"/>
      <c r="LW536" s="12"/>
    </row>
    <row r="537">
      <c r="A537" s="10" t="s">
        <v>278</v>
      </c>
      <c r="B537" s="10" t="s">
        <v>178</v>
      </c>
      <c r="C537" s="10" t="s">
        <v>83</v>
      </c>
      <c r="D537" s="11"/>
      <c r="E537" s="11">
        <f>=ROUNDDOWN({0},0)</f>
      </c>
      <c r="F537" s="11"/>
      <c r="G537" s="12"/>
      <c r="H537" s="11"/>
      <c r="I537" s="11">
        <f>=ROUNDDOWN({0},0)</f>
      </c>
      <c r="J537" s="11"/>
      <c r="K537" s="12"/>
      <c r="L537" s="11">
        <v>14</v>
      </c>
      <c r="M537" s="13">
        <v>243.82</v>
      </c>
      <c r="N537" s="11"/>
      <c r="O537" s="14"/>
      <c r="P537" s="11"/>
      <c r="Q537" s="13"/>
      <c r="R537" s="11"/>
      <c r="S537" s="14"/>
      <c r="T537" s="12"/>
      <c r="U537" s="12"/>
      <c r="V537" s="12"/>
      <c r="W537" s="12"/>
      <c r="X537" s="11">
        <v>1</v>
      </c>
      <c r="Y537" s="13">
        <v>17.88</v>
      </c>
      <c r="Z537" s="11"/>
      <c r="AA537" s="11"/>
      <c r="AB537" s="13"/>
      <c r="AC537" s="11"/>
      <c r="AD537" s="12"/>
      <c r="AE537" s="12"/>
      <c r="AF537" s="11">
        <v>3</v>
      </c>
      <c r="AG537" s="13">
        <v>47.31</v>
      </c>
      <c r="AH537" s="11"/>
      <c r="AI537" s="11"/>
      <c r="AJ537" s="13"/>
      <c r="AK537" s="11"/>
      <c r="AL537" s="12"/>
      <c r="AM537" s="12"/>
      <c r="AN537" s="11">
        <v>9</v>
      </c>
      <c r="AO537" s="13">
        <v>156.42</v>
      </c>
      <c r="AP537" s="11"/>
      <c r="AQ537" s="11"/>
      <c r="AR537" s="13"/>
      <c r="AS537" s="11"/>
      <c r="AT537" s="12"/>
      <c r="AU537" s="12"/>
      <c r="AV537" s="11"/>
      <c r="AW537" s="13"/>
      <c r="AX537" s="11"/>
      <c r="AY537" s="11"/>
      <c r="AZ537" s="13"/>
      <c r="BA537" s="11"/>
      <c r="BB537" s="12"/>
      <c r="BC537" s="12"/>
      <c r="BD537" s="11"/>
      <c r="BE537" s="13"/>
      <c r="BF537" s="11"/>
      <c r="BG537" s="11"/>
      <c r="BH537" s="13"/>
      <c r="BI537" s="11"/>
      <c r="BJ537" s="12"/>
      <c r="BK537" s="12"/>
      <c r="BL537" s="11"/>
      <c r="BM537" s="13"/>
      <c r="BN537" s="11"/>
      <c r="BO537" s="11"/>
      <c r="BP537" s="13"/>
      <c r="BQ537" s="11"/>
      <c r="BR537" s="12"/>
      <c r="BS537" s="12"/>
      <c r="BT537" s="11"/>
      <c r="BU537" s="13"/>
      <c r="BV537" s="11"/>
      <c r="BW537" s="11"/>
      <c r="BX537" s="13"/>
      <c r="BY537" s="11"/>
      <c r="BZ537" s="12"/>
      <c r="CA537" s="12"/>
      <c r="CB537" s="11"/>
      <c r="CC537" s="13"/>
      <c r="CD537" s="11"/>
      <c r="CE537" s="11"/>
      <c r="CF537" s="13"/>
      <c r="CG537" s="11"/>
      <c r="CH537" s="12"/>
      <c r="CI537" s="12"/>
      <c r="CJ537" s="11"/>
      <c r="CK537" s="13"/>
      <c r="CL537" s="11"/>
      <c r="CM537" s="11"/>
      <c r="CN537" s="13"/>
      <c r="CO537" s="11"/>
      <c r="CP537" s="12"/>
      <c r="CQ537" s="12"/>
      <c r="CR537" s="11"/>
      <c r="CS537" s="13"/>
      <c r="CT537" s="11"/>
      <c r="CU537" s="11"/>
      <c r="CV537" s="13"/>
      <c r="CW537" s="11"/>
      <c r="CX537" s="12"/>
      <c r="CY537" s="12"/>
      <c r="CZ537" s="11"/>
      <c r="DA537" s="13"/>
      <c r="DB537" s="11"/>
      <c r="DC537" s="11"/>
      <c r="DD537" s="13"/>
      <c r="DE537" s="11"/>
      <c r="DF537" s="12"/>
      <c r="DG537" s="12"/>
      <c r="DH537" s="11"/>
      <c r="DI537" s="13"/>
      <c r="DJ537" s="11"/>
      <c r="DK537" s="11"/>
      <c r="DL537" s="13"/>
      <c r="DM537" s="11"/>
      <c r="DN537" s="12"/>
      <c r="DO537" s="12"/>
      <c r="DP537" s="11"/>
      <c r="DQ537" s="13"/>
      <c r="DR537" s="11"/>
      <c r="DS537" s="11"/>
      <c r="DT537" s="13"/>
      <c r="DU537" s="11"/>
      <c r="DV537" s="12"/>
      <c r="DW537" s="12"/>
      <c r="DX537" s="11"/>
      <c r="DY537" s="13"/>
      <c r="DZ537" s="11"/>
      <c r="EA537" s="11"/>
      <c r="EB537" s="13"/>
      <c r="EC537" s="11"/>
      <c r="ED537" s="12"/>
      <c r="EE537" s="12"/>
      <c r="EF537" s="11"/>
      <c r="EG537" s="13"/>
      <c r="EH537" s="11"/>
      <c r="EI537" s="11"/>
      <c r="EJ537" s="13"/>
      <c r="EK537" s="11"/>
      <c r="EL537" s="12"/>
      <c r="EM537" s="12"/>
      <c r="EN537" s="11"/>
      <c r="EO537" s="13"/>
      <c r="EP537" s="11"/>
      <c r="EQ537" s="11"/>
      <c r="ER537" s="13"/>
      <c r="ES537" s="11"/>
      <c r="ET537" s="12"/>
      <c r="EU537" s="12"/>
      <c r="EV537" s="11">
        <v>1</v>
      </c>
      <c r="EW537" s="13">
        <v>22.21</v>
      </c>
      <c r="EX537" s="11"/>
      <c r="EY537" s="11"/>
      <c r="EZ537" s="13"/>
      <c r="FA537" s="11"/>
      <c r="FB537" s="12"/>
      <c r="FC537" s="12"/>
      <c r="FD537" s="11"/>
      <c r="FE537" s="13"/>
      <c r="FF537" s="11"/>
      <c r="FG537" s="11"/>
      <c r="FH537" s="13"/>
      <c r="FI537" s="11"/>
      <c r="FJ537" s="12"/>
      <c r="FK537" s="12"/>
      <c r="FL537" s="11"/>
      <c r="FM537" s="13"/>
      <c r="FN537" s="11"/>
      <c r="FO537" s="11"/>
      <c r="FP537" s="13"/>
      <c r="FQ537" s="11"/>
      <c r="FR537" s="12"/>
      <c r="FS537" s="12"/>
      <c r="FT537" s="11"/>
      <c r="FU537" s="13"/>
      <c r="FV537" s="11"/>
      <c r="FW537" s="11"/>
      <c r="FX537" s="13"/>
      <c r="FY537" s="11"/>
      <c r="FZ537" s="12"/>
      <c r="GA537" s="12"/>
      <c r="GB537" s="11"/>
      <c r="GC537" s="13"/>
      <c r="GD537" s="11"/>
      <c r="GE537" s="11"/>
      <c r="GF537" s="13"/>
      <c r="GG537" s="11"/>
      <c r="GH537" s="12"/>
      <c r="GI537" s="12"/>
      <c r="GJ537" s="11"/>
      <c r="GK537" s="13"/>
      <c r="GL537" s="11"/>
      <c r="GM537" s="11"/>
      <c r="GN537" s="13"/>
      <c r="GO537" s="11"/>
      <c r="GP537" s="12"/>
      <c r="GQ537" s="12"/>
      <c r="GR537" s="11"/>
      <c r="GS537" s="13"/>
      <c r="GT537" s="11"/>
      <c r="GU537" s="11"/>
      <c r="GV537" s="13"/>
      <c r="GW537" s="11"/>
      <c r="GX537" s="12"/>
      <c r="GY537" s="12"/>
      <c r="GZ537" s="11"/>
      <c r="HA537" s="13"/>
      <c r="HB537" s="11"/>
      <c r="HC537" s="11"/>
      <c r="HD537" s="13"/>
      <c r="HE537" s="11"/>
      <c r="HF537" s="12"/>
      <c r="HG537" s="12"/>
      <c r="HH537" s="11"/>
      <c r="HI537" s="13"/>
      <c r="HJ537" s="11"/>
      <c r="HK537" s="11"/>
      <c r="HL537" s="13"/>
      <c r="HM537" s="11"/>
      <c r="HN537" s="12"/>
      <c r="HO537" s="12"/>
      <c r="HP537" s="11"/>
      <c r="HQ537" s="13"/>
      <c r="HR537" s="11"/>
      <c r="HS537" s="11"/>
      <c r="HT537" s="13"/>
      <c r="HU537" s="11"/>
      <c r="HV537" s="12"/>
      <c r="HW537" s="12"/>
      <c r="HX537" s="11"/>
      <c r="HY537" s="13"/>
      <c r="HZ537" s="11"/>
      <c r="IA537" s="11"/>
      <c r="IB537" s="13"/>
      <c r="IC537" s="11"/>
      <c r="ID537" s="12"/>
      <c r="IE537" s="12"/>
      <c r="IF537" s="11"/>
      <c r="IG537" s="13"/>
      <c r="IH537" s="11"/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/>
      <c r="JO537" s="11"/>
      <c r="JP537" s="13"/>
      <c r="JQ537" s="11"/>
      <c r="JR537" s="12"/>
      <c r="JS537" s="12"/>
      <c r="JT537" s="11"/>
      <c r="JU537" s="13"/>
      <c r="JV537" s="11"/>
      <c r="JW537" s="11"/>
      <c r="JX537" s="13"/>
      <c r="JY537" s="11"/>
      <c r="JZ537" s="12"/>
      <c r="KA537" s="12"/>
      <c r="KB537" s="11"/>
      <c r="KC537" s="13"/>
      <c r="KD537" s="11"/>
      <c r="KE537" s="11"/>
      <c r="KF537" s="13"/>
      <c r="KG537" s="11"/>
      <c r="KH537" s="12"/>
      <c r="KI537" s="12"/>
      <c r="KJ537" s="11"/>
      <c r="KK537" s="13"/>
      <c r="KL537" s="11"/>
      <c r="KM537" s="11"/>
      <c r="KN537" s="13"/>
      <c r="KO537" s="11"/>
      <c r="KP537" s="12"/>
      <c r="KQ537" s="12"/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  <c r="LH537" s="11"/>
      <c r="LI537" s="13"/>
      <c r="LJ537" s="11"/>
      <c r="LK537" s="11"/>
      <c r="LL537" s="13"/>
      <c r="LM537" s="11"/>
      <c r="LN537" s="12"/>
      <c r="LO537" s="12"/>
      <c r="LP537" s="11"/>
      <c r="LQ537" s="13"/>
      <c r="LR537" s="11"/>
      <c r="LS537" s="11"/>
      <c r="LT537" s="13"/>
      <c r="LU537" s="11"/>
      <c r="LV537" s="12"/>
      <c r="LW537" s="12"/>
    </row>
    <row r="538">
      <c r="A538" s="10" t="s">
        <v>278</v>
      </c>
      <c r="B538" s="10" t="s">
        <v>178</v>
      </c>
      <c r="C538" s="10" t="s">
        <v>279</v>
      </c>
      <c r="D538" s="11">
        <v>150825</v>
      </c>
      <c r="E538" s="11">
        <f>=ROUNDDOWN(26.1168831168831,0)</f>
      </c>
      <c r="F538" s="11">
        <v>11155</v>
      </c>
      <c r="G538" s="12">
        <v>0.906</v>
      </c>
      <c r="H538" s="11"/>
      <c r="I538" s="11">
        <f>=ROUNDDOWN({0},0)</f>
      </c>
      <c r="J538" s="11"/>
      <c r="K538" s="12"/>
      <c r="L538" s="11">
        <v>41128</v>
      </c>
      <c r="M538" s="13">
        <v>981944.18</v>
      </c>
      <c r="N538" s="11">
        <v>277</v>
      </c>
      <c r="O538" s="14">
        <v>3544.92</v>
      </c>
      <c r="P538" s="11"/>
      <c r="Q538" s="13"/>
      <c r="R538" s="11"/>
      <c r="S538" s="14"/>
      <c r="T538" s="12"/>
      <c r="U538" s="12"/>
      <c r="V538" s="12"/>
      <c r="W538" s="12"/>
      <c r="X538" s="11">
        <v>33785</v>
      </c>
      <c r="Y538" s="13">
        <v>795972.42</v>
      </c>
      <c r="Z538" s="11">
        <v>263</v>
      </c>
      <c r="AA538" s="11"/>
      <c r="AB538" s="13"/>
      <c r="AC538" s="11"/>
      <c r="AD538" s="12"/>
      <c r="AE538" s="12"/>
      <c r="AF538" s="11">
        <v>236</v>
      </c>
      <c r="AG538" s="13">
        <v>5613.13</v>
      </c>
      <c r="AH538" s="11">
        <v>276</v>
      </c>
      <c r="AI538" s="11"/>
      <c r="AJ538" s="13"/>
      <c r="AK538" s="11"/>
      <c r="AL538" s="12"/>
      <c r="AM538" s="12"/>
      <c r="AN538" s="11">
        <v>2297</v>
      </c>
      <c r="AO538" s="13">
        <v>60178.1</v>
      </c>
      <c r="AP538" s="11">
        <v>247</v>
      </c>
      <c r="AQ538" s="11"/>
      <c r="AR538" s="13"/>
      <c r="AS538" s="11"/>
      <c r="AT538" s="12"/>
      <c r="AU538" s="12"/>
      <c r="AV538" s="11">
        <v>939</v>
      </c>
      <c r="AW538" s="13">
        <v>21124.12</v>
      </c>
      <c r="AX538" s="11">
        <v>230</v>
      </c>
      <c r="AY538" s="11"/>
      <c r="AZ538" s="13"/>
      <c r="BA538" s="11"/>
      <c r="BB538" s="12"/>
      <c r="BC538" s="12"/>
      <c r="BD538" s="11">
        <v>1819</v>
      </c>
      <c r="BE538" s="13">
        <v>47979.96</v>
      </c>
      <c r="BF538" s="11">
        <v>277</v>
      </c>
      <c r="BG538" s="11"/>
      <c r="BH538" s="13"/>
      <c r="BI538" s="11"/>
      <c r="BJ538" s="12"/>
      <c r="BK538" s="12"/>
      <c r="BL538" s="11">
        <v>166</v>
      </c>
      <c r="BM538" s="13">
        <v>4529.19</v>
      </c>
      <c r="BN538" s="11">
        <v>277</v>
      </c>
      <c r="BO538" s="11"/>
      <c r="BP538" s="13"/>
      <c r="BQ538" s="11"/>
      <c r="BR538" s="12"/>
      <c r="BS538" s="12"/>
      <c r="BT538" s="11">
        <v>321</v>
      </c>
      <c r="BU538" s="13">
        <v>8529.64</v>
      </c>
      <c r="BV538" s="11">
        <v>277</v>
      </c>
      <c r="BW538" s="11"/>
      <c r="BX538" s="13"/>
      <c r="BY538" s="11"/>
      <c r="BZ538" s="12"/>
      <c r="CA538" s="12"/>
      <c r="CB538" s="11">
        <v>774</v>
      </c>
      <c r="CC538" s="13">
        <v>18128.47</v>
      </c>
      <c r="CD538" s="11">
        <v>277</v>
      </c>
      <c r="CE538" s="11"/>
      <c r="CF538" s="13"/>
      <c r="CG538" s="11"/>
      <c r="CH538" s="12"/>
      <c r="CI538" s="12"/>
      <c r="CJ538" s="11">
        <v>33</v>
      </c>
      <c r="CK538" s="13">
        <v>1871.31</v>
      </c>
      <c r="CL538" s="11">
        <v>274</v>
      </c>
      <c r="CM538" s="11"/>
      <c r="CN538" s="13"/>
      <c r="CO538" s="11"/>
      <c r="CP538" s="12"/>
      <c r="CQ538" s="12"/>
      <c r="CR538" s="11"/>
      <c r="CS538" s="13"/>
      <c r="CT538" s="11"/>
      <c r="CU538" s="11"/>
      <c r="CV538" s="13"/>
      <c r="CW538" s="11"/>
      <c r="CX538" s="12"/>
      <c r="CY538" s="12"/>
      <c r="CZ538" s="11"/>
      <c r="DA538" s="13"/>
      <c r="DB538" s="11"/>
      <c r="DC538" s="11"/>
      <c r="DD538" s="13"/>
      <c r="DE538" s="11"/>
      <c r="DF538" s="12"/>
      <c r="DG538" s="12"/>
      <c r="DH538" s="11"/>
      <c r="DI538" s="13"/>
      <c r="DJ538" s="11"/>
      <c r="DK538" s="11"/>
      <c r="DL538" s="13"/>
      <c r="DM538" s="11"/>
      <c r="DN538" s="12"/>
      <c r="DO538" s="12"/>
      <c r="DP538" s="11">
        <v>101</v>
      </c>
      <c r="DQ538" s="13">
        <v>2658.44</v>
      </c>
      <c r="DR538" s="11">
        <v>262</v>
      </c>
      <c r="DS538" s="11"/>
      <c r="DT538" s="13"/>
      <c r="DU538" s="11"/>
      <c r="DV538" s="12"/>
      <c r="DW538" s="12"/>
      <c r="DX538" s="11"/>
      <c r="DY538" s="13"/>
      <c r="DZ538" s="11">
        <v>16</v>
      </c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>
        <v>41</v>
      </c>
      <c r="EO538" s="13">
        <v>2113.09</v>
      </c>
      <c r="EP538" s="11">
        <v>277</v>
      </c>
      <c r="EQ538" s="11"/>
      <c r="ER538" s="13"/>
      <c r="ES538" s="11"/>
      <c r="ET538" s="12"/>
      <c r="EU538" s="12"/>
      <c r="EV538" s="11">
        <v>480</v>
      </c>
      <c r="EW538" s="13">
        <v>9805.89</v>
      </c>
      <c r="EX538" s="11">
        <v>155</v>
      </c>
      <c r="EY538" s="11"/>
      <c r="EZ538" s="13"/>
      <c r="FA538" s="11"/>
      <c r="FB538" s="12"/>
      <c r="FC538" s="12"/>
      <c r="FD538" s="11">
        <v>106</v>
      </c>
      <c r="FE538" s="13">
        <v>2574.97</v>
      </c>
      <c r="FF538" s="11">
        <v>187</v>
      </c>
      <c r="FG538" s="11"/>
      <c r="FH538" s="13"/>
      <c r="FI538" s="11"/>
      <c r="FJ538" s="12"/>
      <c r="FK538" s="12"/>
      <c r="FL538" s="11"/>
      <c r="FM538" s="13"/>
      <c r="FN538" s="11"/>
      <c r="FO538" s="11"/>
      <c r="FP538" s="13"/>
      <c r="FQ538" s="11"/>
      <c r="FR538" s="12"/>
      <c r="FS538" s="12"/>
      <c r="FT538" s="11"/>
      <c r="FU538" s="13"/>
      <c r="FV538" s="11"/>
      <c r="FW538" s="11"/>
      <c r="FX538" s="13"/>
      <c r="FY538" s="11"/>
      <c r="FZ538" s="12"/>
      <c r="GA538" s="12"/>
      <c r="GB538" s="11"/>
      <c r="GC538" s="13"/>
      <c r="GD538" s="11"/>
      <c r="GE538" s="11"/>
      <c r="GF538" s="13"/>
      <c r="GG538" s="11"/>
      <c r="GH538" s="12"/>
      <c r="GI538" s="12"/>
      <c r="GJ538" s="11"/>
      <c r="GK538" s="13"/>
      <c r="GL538" s="11"/>
      <c r="GM538" s="11"/>
      <c r="GN538" s="13"/>
      <c r="GO538" s="11"/>
      <c r="GP538" s="12"/>
      <c r="GQ538" s="12"/>
      <c r="GR538" s="11"/>
      <c r="GS538" s="13"/>
      <c r="GT538" s="11">
        <v>197</v>
      </c>
      <c r="GU538" s="11"/>
      <c r="GV538" s="13"/>
      <c r="GW538" s="11"/>
      <c r="GX538" s="12"/>
      <c r="GY538" s="12"/>
      <c r="GZ538" s="11">
        <v>29</v>
      </c>
      <c r="HA538" s="13">
        <v>829.22</v>
      </c>
      <c r="HB538" s="11">
        <v>15</v>
      </c>
      <c r="HC538" s="11"/>
      <c r="HD538" s="13"/>
      <c r="HE538" s="11"/>
      <c r="HF538" s="12"/>
      <c r="HG538" s="12"/>
      <c r="HH538" s="11"/>
      <c r="HI538" s="13"/>
      <c r="HJ538" s="11"/>
      <c r="HK538" s="11"/>
      <c r="HL538" s="13"/>
      <c r="HM538" s="11"/>
      <c r="HN538" s="12"/>
      <c r="HO538" s="12"/>
      <c r="HP538" s="11"/>
      <c r="HQ538" s="13"/>
      <c r="HR538" s="11"/>
      <c r="HS538" s="11"/>
      <c r="HT538" s="13"/>
      <c r="HU538" s="11"/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/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>
        <v>1</v>
      </c>
      <c r="IW538" s="13">
        <v>36.23</v>
      </c>
      <c r="IX538" s="11">
        <v>26</v>
      </c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/>
      <c r="JO538" s="11"/>
      <c r="JP538" s="13"/>
      <c r="JQ538" s="11"/>
      <c r="JR538" s="12"/>
      <c r="JS538" s="12"/>
      <c r="JT538" s="11"/>
      <c r="JU538" s="13"/>
      <c r="JV538" s="11">
        <v>5</v>
      </c>
      <c r="JW538" s="11"/>
      <c r="JX538" s="13"/>
      <c r="JY538" s="11"/>
      <c r="JZ538" s="12"/>
      <c r="KA538" s="12"/>
      <c r="KB538" s="11"/>
      <c r="KC538" s="13"/>
      <c r="KD538" s="11"/>
      <c r="KE538" s="11"/>
      <c r="KF538" s="13"/>
      <c r="KG538" s="11"/>
      <c r="KH538" s="12"/>
      <c r="KI538" s="12"/>
      <c r="KJ538" s="11"/>
      <c r="KK538" s="13"/>
      <c r="KL538" s="11"/>
      <c r="KM538" s="11"/>
      <c r="KN538" s="13"/>
      <c r="KO538" s="11"/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  <c r="LH538" s="11"/>
      <c r="LI538" s="13"/>
      <c r="LJ538" s="11"/>
      <c r="LK538" s="11"/>
      <c r="LL538" s="13"/>
      <c r="LM538" s="11"/>
      <c r="LN538" s="12"/>
      <c r="LO538" s="12"/>
      <c r="LP538" s="11"/>
      <c r="LQ538" s="13"/>
      <c r="LR538" s="11"/>
      <c r="LS538" s="11"/>
      <c r="LT538" s="13"/>
      <c r="LU538" s="11"/>
      <c r="LV538" s="12"/>
      <c r="LW538" s="12"/>
    </row>
    <row r="539">
      <c r="A539" s="10" t="s">
        <v>278</v>
      </c>
      <c r="B539" s="10" t="s">
        <v>179</v>
      </c>
      <c r="C539" s="10" t="s">
        <v>77</v>
      </c>
      <c r="D539" s="11">
        <v>150825</v>
      </c>
      <c r="E539" s="11">
        <f>=ROUNDDOWN({0},0)</f>
      </c>
      <c r="F539" s="11">
        <v>11155</v>
      </c>
      <c r="G539" s="12"/>
      <c r="H539" s="11"/>
      <c r="I539" s="11">
        <f>=ROUNDDOWN({0},0)</f>
      </c>
      <c r="J539" s="11"/>
      <c r="K539" s="12"/>
      <c r="L539" s="11">
        <v>41142</v>
      </c>
      <c r="M539" s="13">
        <v>982188</v>
      </c>
      <c r="N539" s="11">
        <v>277</v>
      </c>
      <c r="O539" s="14">
        <v>3545.81</v>
      </c>
      <c r="P539" s="11"/>
      <c r="Q539" s="13"/>
      <c r="R539" s="11"/>
      <c r="S539" s="14"/>
      <c r="T539" s="12"/>
      <c r="U539" s="12"/>
      <c r="V539" s="12"/>
      <c r="W539" s="12"/>
      <c r="X539" s="11">
        <v>33786</v>
      </c>
      <c r="Y539" s="13">
        <v>795990.3</v>
      </c>
      <c r="Z539" s="11">
        <v>263</v>
      </c>
      <c r="AA539" s="11"/>
      <c r="AB539" s="13"/>
      <c r="AC539" s="11"/>
      <c r="AD539" s="12"/>
      <c r="AE539" s="12"/>
      <c r="AF539" s="11">
        <v>239</v>
      </c>
      <c r="AG539" s="13">
        <v>5660.44</v>
      </c>
      <c r="AH539" s="11">
        <v>276</v>
      </c>
      <c r="AI539" s="11"/>
      <c r="AJ539" s="13"/>
      <c r="AK539" s="11"/>
      <c r="AL539" s="12"/>
      <c r="AM539" s="12"/>
      <c r="AN539" s="11">
        <v>2306</v>
      </c>
      <c r="AO539" s="13">
        <v>60334.52</v>
      </c>
      <c r="AP539" s="11">
        <v>247</v>
      </c>
      <c r="AQ539" s="11"/>
      <c r="AR539" s="13"/>
      <c r="AS539" s="11"/>
      <c r="AT539" s="12"/>
      <c r="AU539" s="12"/>
      <c r="AV539" s="11">
        <v>939</v>
      </c>
      <c r="AW539" s="13">
        <v>21124.12</v>
      </c>
      <c r="AX539" s="11">
        <v>230</v>
      </c>
      <c r="AY539" s="11"/>
      <c r="AZ539" s="13"/>
      <c r="BA539" s="11"/>
      <c r="BB539" s="12"/>
      <c r="BC539" s="12"/>
      <c r="BD539" s="11">
        <v>1819</v>
      </c>
      <c r="BE539" s="13">
        <v>47979.96</v>
      </c>
      <c r="BF539" s="11">
        <v>277</v>
      </c>
      <c r="BG539" s="11"/>
      <c r="BH539" s="13"/>
      <c r="BI539" s="11"/>
      <c r="BJ539" s="12"/>
      <c r="BK539" s="12"/>
      <c r="BL539" s="11">
        <v>166</v>
      </c>
      <c r="BM539" s="13">
        <v>4529.19</v>
      </c>
      <c r="BN539" s="11">
        <v>277</v>
      </c>
      <c r="BO539" s="11"/>
      <c r="BP539" s="13"/>
      <c r="BQ539" s="11"/>
      <c r="BR539" s="12"/>
      <c r="BS539" s="12"/>
      <c r="BT539" s="11">
        <v>321</v>
      </c>
      <c r="BU539" s="13">
        <v>8529.64</v>
      </c>
      <c r="BV539" s="11">
        <v>277</v>
      </c>
      <c r="BW539" s="11"/>
      <c r="BX539" s="13"/>
      <c r="BY539" s="11"/>
      <c r="BZ539" s="12"/>
      <c r="CA539" s="12"/>
      <c r="CB539" s="11">
        <v>774</v>
      </c>
      <c r="CC539" s="13">
        <v>18128.47</v>
      </c>
      <c r="CD539" s="11">
        <v>277</v>
      </c>
      <c r="CE539" s="11"/>
      <c r="CF539" s="13"/>
      <c r="CG539" s="11"/>
      <c r="CH539" s="12"/>
      <c r="CI539" s="12"/>
      <c r="CJ539" s="11">
        <v>33</v>
      </c>
      <c r="CK539" s="13">
        <v>1871.31</v>
      </c>
      <c r="CL539" s="11">
        <v>274</v>
      </c>
      <c r="CM539" s="11"/>
      <c r="CN539" s="13"/>
      <c r="CO539" s="11"/>
      <c r="CP539" s="12"/>
      <c r="CQ539" s="12"/>
      <c r="CR539" s="11"/>
      <c r="CS539" s="13"/>
      <c r="CT539" s="11"/>
      <c r="CU539" s="11"/>
      <c r="CV539" s="13"/>
      <c r="CW539" s="11"/>
      <c r="CX539" s="12"/>
      <c r="CY539" s="12"/>
      <c r="CZ539" s="11"/>
      <c r="DA539" s="13"/>
      <c r="DB539" s="11"/>
      <c r="DC539" s="11"/>
      <c r="DD539" s="13"/>
      <c r="DE539" s="11"/>
      <c r="DF539" s="12"/>
      <c r="DG539" s="12"/>
      <c r="DH539" s="11"/>
      <c r="DI539" s="13"/>
      <c r="DJ539" s="11"/>
      <c r="DK539" s="11"/>
      <c r="DL539" s="13"/>
      <c r="DM539" s="11"/>
      <c r="DN539" s="12"/>
      <c r="DO539" s="12"/>
      <c r="DP539" s="11">
        <v>101</v>
      </c>
      <c r="DQ539" s="13">
        <v>2658.44</v>
      </c>
      <c r="DR539" s="11">
        <v>262</v>
      </c>
      <c r="DS539" s="11"/>
      <c r="DT539" s="13"/>
      <c r="DU539" s="11"/>
      <c r="DV539" s="12"/>
      <c r="DW539" s="12"/>
      <c r="DX539" s="11"/>
      <c r="DY539" s="13"/>
      <c r="DZ539" s="11">
        <v>16</v>
      </c>
      <c r="EA539" s="11"/>
      <c r="EB539" s="13"/>
      <c r="EC539" s="11"/>
      <c r="ED539" s="12"/>
      <c r="EE539" s="12"/>
      <c r="EF539" s="11"/>
      <c r="EG539" s="13"/>
      <c r="EH539" s="11"/>
      <c r="EI539" s="11"/>
      <c r="EJ539" s="13"/>
      <c r="EK539" s="11"/>
      <c r="EL539" s="12"/>
      <c r="EM539" s="12"/>
      <c r="EN539" s="11">
        <v>41</v>
      </c>
      <c r="EO539" s="13">
        <v>2113.09</v>
      </c>
      <c r="EP539" s="11">
        <v>277</v>
      </c>
      <c r="EQ539" s="11"/>
      <c r="ER539" s="13"/>
      <c r="ES539" s="11"/>
      <c r="ET539" s="12"/>
      <c r="EU539" s="12"/>
      <c r="EV539" s="11">
        <v>481</v>
      </c>
      <c r="EW539" s="13">
        <v>9828.1</v>
      </c>
      <c r="EX539" s="11">
        <v>155</v>
      </c>
      <c r="EY539" s="11"/>
      <c r="EZ539" s="13"/>
      <c r="FA539" s="11"/>
      <c r="FB539" s="12"/>
      <c r="FC539" s="12"/>
      <c r="FD539" s="11">
        <v>106</v>
      </c>
      <c r="FE539" s="13">
        <v>2574.97</v>
      </c>
      <c r="FF539" s="11">
        <v>187</v>
      </c>
      <c r="FG539" s="11"/>
      <c r="FH539" s="13"/>
      <c r="FI539" s="11"/>
      <c r="FJ539" s="12"/>
      <c r="FK539" s="12"/>
      <c r="FL539" s="11"/>
      <c r="FM539" s="13"/>
      <c r="FN539" s="11"/>
      <c r="FO539" s="11"/>
      <c r="FP539" s="13"/>
      <c r="FQ539" s="11"/>
      <c r="FR539" s="12"/>
      <c r="FS539" s="12"/>
      <c r="FT539" s="11"/>
      <c r="FU539" s="13"/>
      <c r="FV539" s="11"/>
      <c r="FW539" s="11"/>
      <c r="FX539" s="13"/>
      <c r="FY539" s="11"/>
      <c r="FZ539" s="12"/>
      <c r="GA539" s="12"/>
      <c r="GB539" s="11"/>
      <c r="GC539" s="13"/>
      <c r="GD539" s="11"/>
      <c r="GE539" s="11"/>
      <c r="GF539" s="13"/>
      <c r="GG539" s="11"/>
      <c r="GH539" s="12"/>
      <c r="GI539" s="12"/>
      <c r="GJ539" s="11"/>
      <c r="GK539" s="13"/>
      <c r="GL539" s="11"/>
      <c r="GM539" s="11"/>
      <c r="GN539" s="13"/>
      <c r="GO539" s="11"/>
      <c r="GP539" s="12"/>
      <c r="GQ539" s="12"/>
      <c r="GR539" s="11"/>
      <c r="GS539" s="13"/>
      <c r="GT539" s="11">
        <v>197</v>
      </c>
      <c r="GU539" s="11"/>
      <c r="GV539" s="13"/>
      <c r="GW539" s="11"/>
      <c r="GX539" s="12"/>
      <c r="GY539" s="12"/>
      <c r="GZ539" s="11">
        <v>29</v>
      </c>
      <c r="HA539" s="13">
        <v>829.22</v>
      </c>
      <c r="HB539" s="11">
        <v>15</v>
      </c>
      <c r="HC539" s="11"/>
      <c r="HD539" s="13"/>
      <c r="HE539" s="11"/>
      <c r="HF539" s="12"/>
      <c r="HG539" s="12"/>
      <c r="HH539" s="11"/>
      <c r="HI539" s="13"/>
      <c r="HJ539" s="11"/>
      <c r="HK539" s="11"/>
      <c r="HL539" s="13"/>
      <c r="HM539" s="11"/>
      <c r="HN539" s="12"/>
      <c r="HO539" s="12"/>
      <c r="HP539" s="11"/>
      <c r="HQ539" s="13"/>
      <c r="HR539" s="11"/>
      <c r="HS539" s="11"/>
      <c r="HT539" s="13"/>
      <c r="HU539" s="11"/>
      <c r="HV539" s="12"/>
      <c r="HW539" s="12"/>
      <c r="HX539" s="11"/>
      <c r="HY539" s="13"/>
      <c r="HZ539" s="11"/>
      <c r="IA539" s="11"/>
      <c r="IB539" s="13"/>
      <c r="IC539" s="11"/>
      <c r="ID539" s="12"/>
      <c r="IE539" s="12"/>
      <c r="IF539" s="11"/>
      <c r="IG539" s="13"/>
      <c r="IH539" s="11"/>
      <c r="II539" s="11"/>
      <c r="IJ539" s="13"/>
      <c r="IK539" s="11"/>
      <c r="IL539" s="12"/>
      <c r="IM539" s="12"/>
      <c r="IN539" s="11"/>
      <c r="IO539" s="13"/>
      <c r="IP539" s="11"/>
      <c r="IQ539" s="11"/>
      <c r="IR539" s="13"/>
      <c r="IS539" s="11"/>
      <c r="IT539" s="12"/>
      <c r="IU539" s="12"/>
      <c r="IV539" s="11">
        <v>1</v>
      </c>
      <c r="IW539" s="13">
        <v>36.23</v>
      </c>
      <c r="IX539" s="11">
        <v>26</v>
      </c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/>
      <c r="JO539" s="11"/>
      <c r="JP539" s="13"/>
      <c r="JQ539" s="11"/>
      <c r="JR539" s="12"/>
      <c r="JS539" s="12"/>
      <c r="JT539" s="11"/>
      <c r="JU539" s="13"/>
      <c r="JV539" s="11">
        <v>5</v>
      </c>
      <c r="JW539" s="11"/>
      <c r="JX539" s="13"/>
      <c r="JY539" s="11"/>
      <c r="JZ539" s="12"/>
      <c r="KA539" s="12"/>
      <c r="KB539" s="11"/>
      <c r="KC539" s="13"/>
      <c r="KD539" s="11"/>
      <c r="KE539" s="11"/>
      <c r="KF539" s="13"/>
      <c r="KG539" s="11"/>
      <c r="KH539" s="12"/>
      <c r="KI539" s="12"/>
      <c r="KJ539" s="11"/>
      <c r="KK539" s="13"/>
      <c r="KL539" s="11"/>
      <c r="KM539" s="11"/>
      <c r="KN539" s="13"/>
      <c r="KO539" s="11"/>
      <c r="KP539" s="12"/>
      <c r="KQ539" s="12"/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  <c r="LH539" s="11"/>
      <c r="LI539" s="13"/>
      <c r="LJ539" s="11"/>
      <c r="LK539" s="11"/>
      <c r="LL539" s="13"/>
      <c r="LM539" s="11"/>
      <c r="LN539" s="12"/>
      <c r="LO539" s="12"/>
      <c r="LP539" s="11"/>
      <c r="LQ539" s="13"/>
      <c r="LR539" s="11"/>
      <c r="LS539" s="11"/>
      <c r="LT539" s="13"/>
      <c r="LU539" s="11"/>
      <c r="LV539" s="12"/>
      <c r="LW539" s="12"/>
    </row>
    <row r="540">
      <c r="A540" s="10" t="s">
        <v>278</v>
      </c>
      <c r="B540" s="10" t="s">
        <v>165</v>
      </c>
      <c r="C540" s="10" t="s">
        <v>279</v>
      </c>
      <c r="D540" s="11">
        <v>1244</v>
      </c>
      <c r="E540" s="11">
        <f>=ROUNDDOWN(40.9210526315789,0)</f>
      </c>
      <c r="F540" s="11"/>
      <c r="G540" s="12"/>
      <c r="H540" s="11"/>
      <c r="I540" s="11">
        <f>=ROUNDDOWN({0},0)</f>
      </c>
      <c r="J540" s="11"/>
      <c r="K540" s="12"/>
      <c r="L540" s="11">
        <v>438</v>
      </c>
      <c r="M540" s="13">
        <v>13701.83</v>
      </c>
      <c r="N540" s="11">
        <v>12</v>
      </c>
      <c r="O540" s="14">
        <v>1141.82</v>
      </c>
      <c r="P540" s="11"/>
      <c r="Q540" s="13"/>
      <c r="R540" s="11"/>
      <c r="S540" s="14"/>
      <c r="T540" s="12"/>
      <c r="U540" s="12"/>
      <c r="V540" s="12"/>
      <c r="W540" s="12"/>
      <c r="X540" s="11">
        <v>92</v>
      </c>
      <c r="Y540" s="13">
        <v>2862.05</v>
      </c>
      <c r="Z540" s="11">
        <v>12</v>
      </c>
      <c r="AA540" s="11"/>
      <c r="AB540" s="13"/>
      <c r="AC540" s="11"/>
      <c r="AD540" s="12"/>
      <c r="AE540" s="12"/>
      <c r="AF540" s="11">
        <v>4</v>
      </c>
      <c r="AG540" s="13">
        <v>112.08</v>
      </c>
      <c r="AH540" s="11">
        <v>12</v>
      </c>
      <c r="AI540" s="11"/>
      <c r="AJ540" s="13"/>
      <c r="AK540" s="11"/>
      <c r="AL540" s="12"/>
      <c r="AM540" s="12"/>
      <c r="AN540" s="11">
        <v>103</v>
      </c>
      <c r="AO540" s="13">
        <v>3257.86</v>
      </c>
      <c r="AP540" s="11">
        <v>12</v>
      </c>
      <c r="AQ540" s="11"/>
      <c r="AR540" s="13"/>
      <c r="AS540" s="11"/>
      <c r="AT540" s="12"/>
      <c r="AU540" s="12"/>
      <c r="AV540" s="11">
        <v>93</v>
      </c>
      <c r="AW540" s="13">
        <v>2755.24</v>
      </c>
      <c r="AX540" s="11">
        <v>12</v>
      </c>
      <c r="AY540" s="11"/>
      <c r="AZ540" s="13"/>
      <c r="BA540" s="11"/>
      <c r="BB540" s="12"/>
      <c r="BC540" s="12"/>
      <c r="BD540" s="11">
        <v>92</v>
      </c>
      <c r="BE540" s="13">
        <v>2930.04</v>
      </c>
      <c r="BF540" s="11">
        <v>12</v>
      </c>
      <c r="BG540" s="11"/>
      <c r="BH540" s="13"/>
      <c r="BI540" s="11"/>
      <c r="BJ540" s="12"/>
      <c r="BK540" s="12"/>
      <c r="BL540" s="11">
        <v>31</v>
      </c>
      <c r="BM540" s="13">
        <v>974.83</v>
      </c>
      <c r="BN540" s="11">
        <v>12</v>
      </c>
      <c r="BO540" s="11"/>
      <c r="BP540" s="13"/>
      <c r="BQ540" s="11"/>
      <c r="BR540" s="12"/>
      <c r="BS540" s="12"/>
      <c r="BT540" s="11">
        <v>3</v>
      </c>
      <c r="BU540" s="13">
        <v>135.13</v>
      </c>
      <c r="BV540" s="11">
        <v>12</v>
      </c>
      <c r="BW540" s="11"/>
      <c r="BX540" s="13"/>
      <c r="BY540" s="11"/>
      <c r="BZ540" s="12"/>
      <c r="CA540" s="12"/>
      <c r="CB540" s="11">
        <v>16</v>
      </c>
      <c r="CC540" s="13">
        <v>509.25</v>
      </c>
      <c r="CD540" s="11">
        <v>12</v>
      </c>
      <c r="CE540" s="11"/>
      <c r="CF540" s="13"/>
      <c r="CG540" s="11"/>
      <c r="CH540" s="12"/>
      <c r="CI540" s="12"/>
      <c r="CJ540" s="11">
        <v>1</v>
      </c>
      <c r="CK540" s="13">
        <v>62.99</v>
      </c>
      <c r="CL540" s="11">
        <v>12</v>
      </c>
      <c r="CM540" s="11"/>
      <c r="CN540" s="13"/>
      <c r="CO540" s="11"/>
      <c r="CP540" s="12"/>
      <c r="CQ540" s="12"/>
      <c r="CR540" s="11"/>
      <c r="CS540" s="13"/>
      <c r="CT540" s="11"/>
      <c r="CU540" s="11"/>
      <c r="CV540" s="13"/>
      <c r="CW540" s="11"/>
      <c r="CX540" s="12"/>
      <c r="CY540" s="12"/>
      <c r="CZ540" s="11"/>
      <c r="DA540" s="13"/>
      <c r="DB540" s="11"/>
      <c r="DC540" s="11"/>
      <c r="DD540" s="13"/>
      <c r="DE540" s="11"/>
      <c r="DF540" s="12"/>
      <c r="DG540" s="12"/>
      <c r="DH540" s="11"/>
      <c r="DI540" s="13"/>
      <c r="DJ540" s="11"/>
      <c r="DK540" s="11"/>
      <c r="DL540" s="13"/>
      <c r="DM540" s="11"/>
      <c r="DN540" s="12"/>
      <c r="DO540" s="12"/>
      <c r="DP540" s="11">
        <v>3</v>
      </c>
      <c r="DQ540" s="13">
        <v>102.36</v>
      </c>
      <c r="DR540" s="11">
        <v>12</v>
      </c>
      <c r="DS540" s="11"/>
      <c r="DT540" s="13"/>
      <c r="DU540" s="11"/>
      <c r="DV540" s="12"/>
      <c r="DW540" s="12"/>
      <c r="DX540" s="11"/>
      <c r="DY540" s="13"/>
      <c r="DZ540" s="11"/>
      <c r="EA540" s="11"/>
      <c r="EB540" s="13"/>
      <c r="EC540" s="11"/>
      <c r="ED540" s="12"/>
      <c r="EE540" s="12"/>
      <c r="EF540" s="11"/>
      <c r="EG540" s="13"/>
      <c r="EH540" s="11"/>
      <c r="EI540" s="11"/>
      <c r="EJ540" s="13"/>
      <c r="EK540" s="11"/>
      <c r="EL540" s="12"/>
      <c r="EM540" s="12"/>
      <c r="EN540" s="11"/>
      <c r="EO540" s="13"/>
      <c r="EP540" s="11">
        <v>12</v>
      </c>
      <c r="EQ540" s="11"/>
      <c r="ER540" s="13"/>
      <c r="ES540" s="11"/>
      <c r="ET540" s="12"/>
      <c r="EU540" s="12"/>
      <c r="EV540" s="11"/>
      <c r="EW540" s="13"/>
      <c r="EX540" s="11"/>
      <c r="EY540" s="11"/>
      <c r="EZ540" s="13"/>
      <c r="FA540" s="11"/>
      <c r="FB540" s="12"/>
      <c r="FC540" s="12"/>
      <c r="FD540" s="11"/>
      <c r="FE540" s="13"/>
      <c r="FF540" s="11"/>
      <c r="FG540" s="11"/>
      <c r="FH540" s="13"/>
      <c r="FI540" s="11"/>
      <c r="FJ540" s="12"/>
      <c r="FK540" s="12"/>
      <c r="FL540" s="11"/>
      <c r="FM540" s="13"/>
      <c r="FN540" s="11"/>
      <c r="FO540" s="11"/>
      <c r="FP540" s="13"/>
      <c r="FQ540" s="11"/>
      <c r="FR540" s="12"/>
      <c r="FS540" s="12"/>
      <c r="FT540" s="11"/>
      <c r="FU540" s="13"/>
      <c r="FV540" s="11"/>
      <c r="FW540" s="11"/>
      <c r="FX540" s="13"/>
      <c r="FY540" s="11"/>
      <c r="FZ540" s="12"/>
      <c r="GA540" s="12"/>
      <c r="GB540" s="11"/>
      <c r="GC540" s="13"/>
      <c r="GD540" s="11"/>
      <c r="GE540" s="11"/>
      <c r="GF540" s="13"/>
      <c r="GG540" s="11"/>
      <c r="GH540" s="12"/>
      <c r="GI540" s="12"/>
      <c r="GJ540" s="11"/>
      <c r="GK540" s="13"/>
      <c r="GL540" s="11"/>
      <c r="GM540" s="11"/>
      <c r="GN540" s="13"/>
      <c r="GO540" s="11"/>
      <c r="GP540" s="12"/>
      <c r="GQ540" s="12"/>
      <c r="GR540" s="11"/>
      <c r="GS540" s="13"/>
      <c r="GT540" s="11"/>
      <c r="GU540" s="11"/>
      <c r="GV540" s="13"/>
      <c r="GW540" s="11"/>
      <c r="GX540" s="12"/>
      <c r="GY540" s="12"/>
      <c r="GZ540" s="11"/>
      <c r="HA540" s="13"/>
      <c r="HB540" s="11">
        <v>12</v>
      </c>
      <c r="HC540" s="11"/>
      <c r="HD540" s="13"/>
      <c r="HE540" s="11"/>
      <c r="HF540" s="12"/>
      <c r="HG540" s="12"/>
      <c r="HH540" s="11"/>
      <c r="HI540" s="13"/>
      <c r="HJ540" s="11"/>
      <c r="HK540" s="11"/>
      <c r="HL540" s="13"/>
      <c r="HM540" s="11"/>
      <c r="HN540" s="12"/>
      <c r="HO540" s="12"/>
      <c r="HP540" s="11"/>
      <c r="HQ540" s="13"/>
      <c r="HR540" s="11"/>
      <c r="HS540" s="11"/>
      <c r="HT540" s="13"/>
      <c r="HU540" s="11"/>
      <c r="HV540" s="12"/>
      <c r="HW540" s="12"/>
      <c r="HX540" s="11"/>
      <c r="HY540" s="13"/>
      <c r="HZ540" s="11"/>
      <c r="IA540" s="11"/>
      <c r="IB540" s="13"/>
      <c r="IC540" s="11"/>
      <c r="ID540" s="12"/>
      <c r="IE540" s="12"/>
      <c r="IF540" s="11"/>
      <c r="IG540" s="13"/>
      <c r="IH540" s="11"/>
      <c r="II540" s="11"/>
      <c r="IJ540" s="13"/>
      <c r="IK540" s="11"/>
      <c r="IL540" s="12"/>
      <c r="IM540" s="12"/>
      <c r="IN540" s="11"/>
      <c r="IO540" s="13"/>
      <c r="IP540" s="11"/>
      <c r="IQ540" s="11"/>
      <c r="IR540" s="13"/>
      <c r="IS540" s="11"/>
      <c r="IT540" s="12"/>
      <c r="IU540" s="12"/>
      <c r="IV540" s="11"/>
      <c r="IW540" s="13"/>
      <c r="IX540" s="11"/>
      <c r="IY540" s="11"/>
      <c r="IZ540" s="13"/>
      <c r="JA540" s="11"/>
      <c r="JB540" s="12"/>
      <c r="JC540" s="12"/>
      <c r="JD540" s="11"/>
      <c r="JE540" s="13"/>
      <c r="JF540" s="11"/>
      <c r="JG540" s="11"/>
      <c r="JH540" s="13"/>
      <c r="JI540" s="11"/>
      <c r="JJ540" s="12"/>
      <c r="JK540" s="12"/>
      <c r="JL540" s="11"/>
      <c r="JM540" s="13"/>
      <c r="JN540" s="11"/>
      <c r="JO540" s="11"/>
      <c r="JP540" s="13"/>
      <c r="JQ540" s="11"/>
      <c r="JR540" s="12"/>
      <c r="JS540" s="12"/>
      <c r="JT540" s="11"/>
      <c r="JU540" s="13"/>
      <c r="JV540" s="11"/>
      <c r="JW540" s="11"/>
      <c r="JX540" s="13"/>
      <c r="JY540" s="11"/>
      <c r="JZ540" s="12"/>
      <c r="KA540" s="12"/>
      <c r="KB540" s="11"/>
      <c r="KC540" s="13"/>
      <c r="KD540" s="11"/>
      <c r="KE540" s="11"/>
      <c r="KF540" s="13"/>
      <c r="KG540" s="11"/>
      <c r="KH540" s="12"/>
      <c r="KI540" s="12"/>
      <c r="KJ540" s="11"/>
      <c r="KK540" s="13"/>
      <c r="KL540" s="11"/>
      <c r="KM540" s="11"/>
      <c r="KN540" s="13"/>
      <c r="KO540" s="11"/>
      <c r="KP540" s="12"/>
      <c r="KQ540" s="12"/>
      <c r="KR540" s="11"/>
      <c r="KS540" s="13"/>
      <c r="KT540" s="11"/>
      <c r="KU540" s="11"/>
      <c r="KV540" s="13"/>
      <c r="KW540" s="11"/>
      <c r="KX540" s="12"/>
      <c r="KY540" s="12"/>
      <c r="KZ540" s="11"/>
      <c r="LA540" s="13"/>
      <c r="LB540" s="11"/>
      <c r="LC540" s="11"/>
      <c r="LD540" s="13"/>
      <c r="LE540" s="11"/>
      <c r="LF540" s="12"/>
      <c r="LG540" s="12"/>
      <c r="LH540" s="11"/>
      <c r="LI540" s="13"/>
      <c r="LJ540" s="11"/>
      <c r="LK540" s="11"/>
      <c r="LL540" s="13"/>
      <c r="LM540" s="11"/>
      <c r="LN540" s="12"/>
      <c r="LO540" s="12"/>
      <c r="LP540" s="11"/>
      <c r="LQ540" s="13"/>
      <c r="LR540" s="11"/>
      <c r="LS540" s="11"/>
      <c r="LT540" s="13"/>
      <c r="LU540" s="11"/>
      <c r="LV540" s="12"/>
      <c r="LW540" s="12"/>
    </row>
    <row r="541">
      <c r="A541" s="10" t="s">
        <v>278</v>
      </c>
      <c r="B541" s="10" t="s">
        <v>166</v>
      </c>
      <c r="C541" s="10" t="s">
        <v>77</v>
      </c>
      <c r="D541" s="11">
        <v>1244</v>
      </c>
      <c r="E541" s="11">
        <f>=ROUNDDOWN({0},0)</f>
      </c>
      <c r="F541" s="11"/>
      <c r="G541" s="12"/>
      <c r="H541" s="11"/>
      <c r="I541" s="11">
        <f>=ROUNDDOWN({0},0)</f>
      </c>
      <c r="J541" s="11"/>
      <c r="K541" s="12"/>
      <c r="L541" s="11">
        <v>438</v>
      </c>
      <c r="M541" s="13">
        <v>13701.83</v>
      </c>
      <c r="N541" s="11">
        <v>12</v>
      </c>
      <c r="O541" s="14">
        <v>1141.82</v>
      </c>
      <c r="P541" s="11"/>
      <c r="Q541" s="13"/>
      <c r="R541" s="11"/>
      <c r="S541" s="14"/>
      <c r="T541" s="12"/>
      <c r="U541" s="12"/>
      <c r="V541" s="12"/>
      <c r="W541" s="12"/>
      <c r="X541" s="11">
        <v>92</v>
      </c>
      <c r="Y541" s="13">
        <v>2862.05</v>
      </c>
      <c r="Z541" s="11">
        <v>12</v>
      </c>
      <c r="AA541" s="11"/>
      <c r="AB541" s="13"/>
      <c r="AC541" s="11"/>
      <c r="AD541" s="12"/>
      <c r="AE541" s="12"/>
      <c r="AF541" s="11">
        <v>4</v>
      </c>
      <c r="AG541" s="13">
        <v>112.08</v>
      </c>
      <c r="AH541" s="11">
        <v>12</v>
      </c>
      <c r="AI541" s="11"/>
      <c r="AJ541" s="13"/>
      <c r="AK541" s="11"/>
      <c r="AL541" s="12"/>
      <c r="AM541" s="12"/>
      <c r="AN541" s="11">
        <v>103</v>
      </c>
      <c r="AO541" s="13">
        <v>3257.86</v>
      </c>
      <c r="AP541" s="11">
        <v>12</v>
      </c>
      <c r="AQ541" s="11"/>
      <c r="AR541" s="13"/>
      <c r="AS541" s="11"/>
      <c r="AT541" s="12"/>
      <c r="AU541" s="12"/>
      <c r="AV541" s="11">
        <v>93</v>
      </c>
      <c r="AW541" s="13">
        <v>2755.24</v>
      </c>
      <c r="AX541" s="11">
        <v>12</v>
      </c>
      <c r="AY541" s="11"/>
      <c r="AZ541" s="13"/>
      <c r="BA541" s="11"/>
      <c r="BB541" s="12"/>
      <c r="BC541" s="12"/>
      <c r="BD541" s="11">
        <v>92</v>
      </c>
      <c r="BE541" s="13">
        <v>2930.04</v>
      </c>
      <c r="BF541" s="11">
        <v>12</v>
      </c>
      <c r="BG541" s="11"/>
      <c r="BH541" s="13"/>
      <c r="BI541" s="11"/>
      <c r="BJ541" s="12"/>
      <c r="BK541" s="12"/>
      <c r="BL541" s="11">
        <v>31</v>
      </c>
      <c r="BM541" s="13">
        <v>974.83</v>
      </c>
      <c r="BN541" s="11">
        <v>12</v>
      </c>
      <c r="BO541" s="11"/>
      <c r="BP541" s="13"/>
      <c r="BQ541" s="11"/>
      <c r="BR541" s="12"/>
      <c r="BS541" s="12"/>
      <c r="BT541" s="11">
        <v>3</v>
      </c>
      <c r="BU541" s="13">
        <v>135.13</v>
      </c>
      <c r="BV541" s="11">
        <v>12</v>
      </c>
      <c r="BW541" s="11"/>
      <c r="BX541" s="13"/>
      <c r="BY541" s="11"/>
      <c r="BZ541" s="12"/>
      <c r="CA541" s="12"/>
      <c r="CB541" s="11">
        <v>16</v>
      </c>
      <c r="CC541" s="13">
        <v>509.25</v>
      </c>
      <c r="CD541" s="11">
        <v>12</v>
      </c>
      <c r="CE541" s="11"/>
      <c r="CF541" s="13"/>
      <c r="CG541" s="11"/>
      <c r="CH541" s="12"/>
      <c r="CI541" s="12"/>
      <c r="CJ541" s="11">
        <v>1</v>
      </c>
      <c r="CK541" s="13">
        <v>62.99</v>
      </c>
      <c r="CL541" s="11">
        <v>12</v>
      </c>
      <c r="CM541" s="11"/>
      <c r="CN541" s="13"/>
      <c r="CO541" s="11"/>
      <c r="CP541" s="12"/>
      <c r="CQ541" s="12"/>
      <c r="CR541" s="11"/>
      <c r="CS541" s="13"/>
      <c r="CT541" s="11"/>
      <c r="CU541" s="11"/>
      <c r="CV541" s="13"/>
      <c r="CW541" s="11"/>
      <c r="CX541" s="12"/>
      <c r="CY541" s="12"/>
      <c r="CZ541" s="11"/>
      <c r="DA541" s="13"/>
      <c r="DB541" s="11"/>
      <c r="DC541" s="11"/>
      <c r="DD541" s="13"/>
      <c r="DE541" s="11"/>
      <c r="DF541" s="12"/>
      <c r="DG541" s="12"/>
      <c r="DH541" s="11"/>
      <c r="DI541" s="13"/>
      <c r="DJ541" s="11"/>
      <c r="DK541" s="11"/>
      <c r="DL541" s="13"/>
      <c r="DM541" s="11"/>
      <c r="DN541" s="12"/>
      <c r="DO541" s="12"/>
      <c r="DP541" s="11">
        <v>3</v>
      </c>
      <c r="DQ541" s="13">
        <v>102.36</v>
      </c>
      <c r="DR541" s="11">
        <v>12</v>
      </c>
      <c r="DS541" s="11"/>
      <c r="DT541" s="13"/>
      <c r="DU541" s="11"/>
      <c r="DV541" s="12"/>
      <c r="DW541" s="12"/>
      <c r="DX541" s="11"/>
      <c r="DY541" s="13"/>
      <c r="DZ541" s="11"/>
      <c r="EA541" s="11"/>
      <c r="EB541" s="13"/>
      <c r="EC541" s="11"/>
      <c r="ED541" s="12"/>
      <c r="EE541" s="12"/>
      <c r="EF541" s="11"/>
      <c r="EG541" s="13"/>
      <c r="EH541" s="11"/>
      <c r="EI541" s="11"/>
      <c r="EJ541" s="13"/>
      <c r="EK541" s="11"/>
      <c r="EL541" s="12"/>
      <c r="EM541" s="12"/>
      <c r="EN541" s="11"/>
      <c r="EO541" s="13"/>
      <c r="EP541" s="11">
        <v>12</v>
      </c>
      <c r="EQ541" s="11"/>
      <c r="ER541" s="13"/>
      <c r="ES541" s="11"/>
      <c r="ET541" s="12"/>
      <c r="EU541" s="12"/>
      <c r="EV541" s="11"/>
      <c r="EW541" s="13"/>
      <c r="EX541" s="11"/>
      <c r="EY541" s="11"/>
      <c r="EZ541" s="13"/>
      <c r="FA541" s="11"/>
      <c r="FB541" s="12"/>
      <c r="FC541" s="12"/>
      <c r="FD541" s="11"/>
      <c r="FE541" s="13"/>
      <c r="FF541" s="11"/>
      <c r="FG541" s="11"/>
      <c r="FH541" s="13"/>
      <c r="FI541" s="11"/>
      <c r="FJ541" s="12"/>
      <c r="FK541" s="12"/>
      <c r="FL541" s="11"/>
      <c r="FM541" s="13"/>
      <c r="FN541" s="11"/>
      <c r="FO541" s="11"/>
      <c r="FP541" s="13"/>
      <c r="FQ541" s="11"/>
      <c r="FR541" s="12"/>
      <c r="FS541" s="12"/>
      <c r="FT541" s="11"/>
      <c r="FU541" s="13"/>
      <c r="FV541" s="11"/>
      <c r="FW541" s="11"/>
      <c r="FX541" s="13"/>
      <c r="FY541" s="11"/>
      <c r="FZ541" s="12"/>
      <c r="GA541" s="12"/>
      <c r="GB541" s="11"/>
      <c r="GC541" s="13"/>
      <c r="GD541" s="11"/>
      <c r="GE541" s="11"/>
      <c r="GF541" s="13"/>
      <c r="GG541" s="11"/>
      <c r="GH541" s="12"/>
      <c r="GI541" s="12"/>
      <c r="GJ541" s="11"/>
      <c r="GK541" s="13"/>
      <c r="GL541" s="11"/>
      <c r="GM541" s="11"/>
      <c r="GN541" s="13"/>
      <c r="GO541" s="11"/>
      <c r="GP541" s="12"/>
      <c r="GQ541" s="12"/>
      <c r="GR541" s="11"/>
      <c r="GS541" s="13"/>
      <c r="GT541" s="11"/>
      <c r="GU541" s="11"/>
      <c r="GV541" s="13"/>
      <c r="GW541" s="11"/>
      <c r="GX541" s="12"/>
      <c r="GY541" s="12"/>
      <c r="GZ541" s="11"/>
      <c r="HA541" s="13"/>
      <c r="HB541" s="11">
        <v>12</v>
      </c>
      <c r="HC541" s="11"/>
      <c r="HD541" s="13"/>
      <c r="HE541" s="11"/>
      <c r="HF541" s="12"/>
      <c r="HG541" s="12"/>
      <c r="HH541" s="11"/>
      <c r="HI541" s="13"/>
      <c r="HJ541" s="11"/>
      <c r="HK541" s="11"/>
      <c r="HL541" s="13"/>
      <c r="HM541" s="11"/>
      <c r="HN541" s="12"/>
      <c r="HO541" s="12"/>
      <c r="HP541" s="11"/>
      <c r="HQ541" s="13"/>
      <c r="HR541" s="11"/>
      <c r="HS541" s="11"/>
      <c r="HT541" s="13"/>
      <c r="HU541" s="11"/>
      <c r="HV541" s="12"/>
      <c r="HW541" s="12"/>
      <c r="HX541" s="11"/>
      <c r="HY541" s="13"/>
      <c r="HZ541" s="11"/>
      <c r="IA541" s="11"/>
      <c r="IB541" s="13"/>
      <c r="IC541" s="11"/>
      <c r="ID541" s="12"/>
      <c r="IE541" s="12"/>
      <c r="IF541" s="11"/>
      <c r="IG541" s="13"/>
      <c r="IH541" s="11"/>
      <c r="II541" s="11"/>
      <c r="IJ541" s="13"/>
      <c r="IK541" s="11"/>
      <c r="IL541" s="12"/>
      <c r="IM541" s="12"/>
      <c r="IN541" s="11"/>
      <c r="IO541" s="13"/>
      <c r="IP541" s="11"/>
      <c r="IQ541" s="11"/>
      <c r="IR541" s="13"/>
      <c r="IS541" s="11"/>
      <c r="IT541" s="12"/>
      <c r="IU541" s="12"/>
      <c r="IV541" s="11"/>
      <c r="IW541" s="13"/>
      <c r="IX541" s="11"/>
      <c r="IY541" s="11"/>
      <c r="IZ541" s="13"/>
      <c r="JA541" s="11"/>
      <c r="JB541" s="12"/>
      <c r="JC541" s="12"/>
      <c r="JD541" s="11"/>
      <c r="JE541" s="13"/>
      <c r="JF541" s="11"/>
      <c r="JG541" s="11"/>
      <c r="JH541" s="13"/>
      <c r="JI541" s="11"/>
      <c r="JJ541" s="12"/>
      <c r="JK541" s="12"/>
      <c r="JL541" s="11"/>
      <c r="JM541" s="13"/>
      <c r="JN541" s="11"/>
      <c r="JO541" s="11"/>
      <c r="JP541" s="13"/>
      <c r="JQ541" s="11"/>
      <c r="JR541" s="12"/>
      <c r="JS541" s="12"/>
      <c r="JT541" s="11"/>
      <c r="JU541" s="13"/>
      <c r="JV541" s="11"/>
      <c r="JW541" s="11"/>
      <c r="JX541" s="13"/>
      <c r="JY541" s="11"/>
      <c r="JZ541" s="12"/>
      <c r="KA541" s="12"/>
      <c r="KB541" s="11"/>
      <c r="KC541" s="13"/>
      <c r="KD541" s="11"/>
      <c r="KE541" s="11"/>
      <c r="KF541" s="13"/>
      <c r="KG541" s="11"/>
      <c r="KH541" s="12"/>
      <c r="KI541" s="12"/>
      <c r="KJ541" s="11"/>
      <c r="KK541" s="13"/>
      <c r="KL541" s="11"/>
      <c r="KM541" s="11"/>
      <c r="KN541" s="13"/>
      <c r="KO541" s="11"/>
      <c r="KP541" s="12"/>
      <c r="KQ541" s="12"/>
      <c r="KR541" s="11"/>
      <c r="KS541" s="13"/>
      <c r="KT541" s="11"/>
      <c r="KU541" s="11"/>
      <c r="KV541" s="13"/>
      <c r="KW541" s="11"/>
      <c r="KX541" s="12"/>
      <c r="KY541" s="12"/>
      <c r="KZ541" s="11"/>
      <c r="LA541" s="13"/>
      <c r="LB541" s="11"/>
      <c r="LC541" s="11"/>
      <c r="LD541" s="13"/>
      <c r="LE541" s="11"/>
      <c r="LF541" s="12"/>
      <c r="LG541" s="12"/>
      <c r="LH541" s="11"/>
      <c r="LI541" s="13"/>
      <c r="LJ541" s="11"/>
      <c r="LK541" s="11"/>
      <c r="LL541" s="13"/>
      <c r="LM541" s="11"/>
      <c r="LN541" s="12"/>
      <c r="LO541" s="12"/>
      <c r="LP541" s="11"/>
      <c r="LQ541" s="13"/>
      <c r="LR541" s="11"/>
      <c r="LS541" s="11"/>
      <c r="LT541" s="13"/>
      <c r="LU541" s="11"/>
      <c r="LV541" s="12"/>
      <c r="LW541" s="12"/>
    </row>
    <row r="542">
      <c r="A542" s="10" t="s">
        <v>278</v>
      </c>
      <c r="B542" s="10" t="s">
        <v>136</v>
      </c>
      <c r="C542" s="10" t="s">
        <v>279</v>
      </c>
      <c r="D542" s="11">
        <v>39223</v>
      </c>
      <c r="E542" s="11">
        <f>=ROUNDDOWN(29.825108356779,0)</f>
      </c>
      <c r="F542" s="11">
        <v>2673</v>
      </c>
      <c r="G542" s="12">
        <v>0.9925</v>
      </c>
      <c r="H542" s="11"/>
      <c r="I542" s="11">
        <f>=ROUNDDOWN({0},0)</f>
      </c>
      <c r="J542" s="11"/>
      <c r="K542" s="12"/>
      <c r="L542" s="11">
        <v>6121</v>
      </c>
      <c r="M542" s="13">
        <v>182761.45</v>
      </c>
      <c r="N542" s="11">
        <v>68</v>
      </c>
      <c r="O542" s="14">
        <v>2687.67</v>
      </c>
      <c r="P542" s="11"/>
      <c r="Q542" s="13"/>
      <c r="R542" s="11"/>
      <c r="S542" s="14"/>
      <c r="T542" s="12"/>
      <c r="U542" s="12"/>
      <c r="V542" s="12"/>
      <c r="W542" s="12"/>
      <c r="X542" s="11">
        <v>3437</v>
      </c>
      <c r="Y542" s="13">
        <v>101263.05</v>
      </c>
      <c r="Z542" s="11">
        <v>68</v>
      </c>
      <c r="AA542" s="11"/>
      <c r="AB542" s="13"/>
      <c r="AC542" s="11"/>
      <c r="AD542" s="12"/>
      <c r="AE542" s="12"/>
      <c r="AF542" s="11">
        <v>64</v>
      </c>
      <c r="AG542" s="13">
        <v>1614.43</v>
      </c>
      <c r="AH542" s="11">
        <v>66</v>
      </c>
      <c r="AI542" s="11"/>
      <c r="AJ542" s="13"/>
      <c r="AK542" s="11"/>
      <c r="AL542" s="12"/>
      <c r="AM542" s="12"/>
      <c r="AN542" s="11">
        <v>512</v>
      </c>
      <c r="AO542" s="13">
        <v>13353.45</v>
      </c>
      <c r="AP542" s="11">
        <v>68</v>
      </c>
      <c r="AQ542" s="11"/>
      <c r="AR542" s="13"/>
      <c r="AS542" s="11"/>
      <c r="AT542" s="12"/>
      <c r="AU542" s="12"/>
      <c r="AV542" s="11">
        <v>144</v>
      </c>
      <c r="AW542" s="13">
        <v>4253.16</v>
      </c>
      <c r="AX542" s="11">
        <v>64</v>
      </c>
      <c r="AY542" s="11"/>
      <c r="AZ542" s="13"/>
      <c r="BA542" s="11"/>
      <c r="BB542" s="12"/>
      <c r="BC542" s="12"/>
      <c r="BD542" s="11">
        <v>1435</v>
      </c>
      <c r="BE542" s="13">
        <v>46191.77</v>
      </c>
      <c r="BF542" s="11">
        <v>68</v>
      </c>
      <c r="BG542" s="11"/>
      <c r="BH542" s="13"/>
      <c r="BI542" s="11"/>
      <c r="BJ542" s="12"/>
      <c r="BK542" s="12"/>
      <c r="BL542" s="11">
        <v>65</v>
      </c>
      <c r="BM542" s="13">
        <v>2028.69</v>
      </c>
      <c r="BN542" s="11">
        <v>52</v>
      </c>
      <c r="BO542" s="11"/>
      <c r="BP542" s="13"/>
      <c r="BQ542" s="11"/>
      <c r="BR542" s="12"/>
      <c r="BS542" s="12"/>
      <c r="BT542" s="11">
        <v>101</v>
      </c>
      <c r="BU542" s="13">
        <v>2929</v>
      </c>
      <c r="BV542" s="11">
        <v>68</v>
      </c>
      <c r="BW542" s="11"/>
      <c r="BX542" s="13"/>
      <c r="BY542" s="11"/>
      <c r="BZ542" s="12"/>
      <c r="CA542" s="12"/>
      <c r="CB542" s="11">
        <v>144</v>
      </c>
      <c r="CC542" s="13">
        <v>4104.44</v>
      </c>
      <c r="CD542" s="11">
        <v>68</v>
      </c>
      <c r="CE542" s="11"/>
      <c r="CF542" s="13"/>
      <c r="CG542" s="11"/>
      <c r="CH542" s="12"/>
      <c r="CI542" s="12"/>
      <c r="CJ542" s="11">
        <v>3</v>
      </c>
      <c r="CK542" s="13">
        <v>239.97</v>
      </c>
      <c r="CL542" s="11">
        <v>68</v>
      </c>
      <c r="CM542" s="11"/>
      <c r="CN542" s="13"/>
      <c r="CO542" s="11"/>
      <c r="CP542" s="12"/>
      <c r="CQ542" s="12"/>
      <c r="CR542" s="11"/>
      <c r="CS542" s="13"/>
      <c r="CT542" s="11"/>
      <c r="CU542" s="11"/>
      <c r="CV542" s="13"/>
      <c r="CW542" s="11"/>
      <c r="CX542" s="12"/>
      <c r="CY542" s="12"/>
      <c r="CZ542" s="11"/>
      <c r="DA542" s="13"/>
      <c r="DB542" s="11"/>
      <c r="DC542" s="11"/>
      <c r="DD542" s="13"/>
      <c r="DE542" s="11"/>
      <c r="DF542" s="12"/>
      <c r="DG542" s="12"/>
      <c r="DH542" s="11"/>
      <c r="DI542" s="13"/>
      <c r="DJ542" s="11"/>
      <c r="DK542" s="11"/>
      <c r="DL542" s="13"/>
      <c r="DM542" s="11"/>
      <c r="DN542" s="12"/>
      <c r="DO542" s="12"/>
      <c r="DP542" s="11">
        <v>33</v>
      </c>
      <c r="DQ542" s="13">
        <v>943.21</v>
      </c>
      <c r="DR542" s="11">
        <v>65</v>
      </c>
      <c r="DS542" s="11"/>
      <c r="DT542" s="13"/>
      <c r="DU542" s="11"/>
      <c r="DV542" s="12"/>
      <c r="DW542" s="12"/>
      <c r="DX542" s="11">
        <v>16</v>
      </c>
      <c r="DY542" s="13">
        <v>449.48</v>
      </c>
      <c r="DZ542" s="11">
        <v>65</v>
      </c>
      <c r="EA542" s="11"/>
      <c r="EB542" s="13"/>
      <c r="EC542" s="11"/>
      <c r="ED542" s="12"/>
      <c r="EE542" s="12"/>
      <c r="EF542" s="11"/>
      <c r="EG542" s="13"/>
      <c r="EH542" s="11"/>
      <c r="EI542" s="11"/>
      <c r="EJ542" s="13"/>
      <c r="EK542" s="11"/>
      <c r="EL542" s="12"/>
      <c r="EM542" s="12"/>
      <c r="EN542" s="11">
        <v>1</v>
      </c>
      <c r="EO542" s="13">
        <v>64.99</v>
      </c>
      <c r="EP542" s="11">
        <v>68</v>
      </c>
      <c r="EQ542" s="11"/>
      <c r="ER542" s="13"/>
      <c r="ES542" s="11"/>
      <c r="ET542" s="12"/>
      <c r="EU542" s="12"/>
      <c r="EV542" s="11">
        <v>91</v>
      </c>
      <c r="EW542" s="13">
        <v>3063.51</v>
      </c>
      <c r="EX542" s="11">
        <v>28</v>
      </c>
      <c r="EY542" s="11"/>
      <c r="EZ542" s="13"/>
      <c r="FA542" s="11"/>
      <c r="FB542" s="12"/>
      <c r="FC542" s="12"/>
      <c r="FD542" s="11">
        <v>37</v>
      </c>
      <c r="FE542" s="13">
        <v>1152.9</v>
      </c>
      <c r="FF542" s="11">
        <v>52</v>
      </c>
      <c r="FG542" s="11"/>
      <c r="FH542" s="13"/>
      <c r="FI542" s="11"/>
      <c r="FJ542" s="12"/>
      <c r="FK542" s="12"/>
      <c r="FL542" s="11"/>
      <c r="FM542" s="13"/>
      <c r="FN542" s="11"/>
      <c r="FO542" s="11"/>
      <c r="FP542" s="13"/>
      <c r="FQ542" s="11"/>
      <c r="FR542" s="12"/>
      <c r="FS542" s="12"/>
      <c r="FT542" s="11"/>
      <c r="FU542" s="13"/>
      <c r="FV542" s="11"/>
      <c r="FW542" s="11"/>
      <c r="FX542" s="13"/>
      <c r="FY542" s="11"/>
      <c r="FZ542" s="12"/>
      <c r="GA542" s="12"/>
      <c r="GB542" s="11"/>
      <c r="GC542" s="13"/>
      <c r="GD542" s="11"/>
      <c r="GE542" s="11"/>
      <c r="GF542" s="13"/>
      <c r="GG542" s="11"/>
      <c r="GH542" s="12"/>
      <c r="GI542" s="12"/>
      <c r="GJ542" s="11"/>
      <c r="GK542" s="13"/>
      <c r="GL542" s="11"/>
      <c r="GM542" s="11"/>
      <c r="GN542" s="13"/>
      <c r="GO542" s="11"/>
      <c r="GP542" s="12"/>
      <c r="GQ542" s="12"/>
      <c r="GR542" s="11"/>
      <c r="GS542" s="13"/>
      <c r="GT542" s="11">
        <v>31</v>
      </c>
      <c r="GU542" s="11"/>
      <c r="GV542" s="13"/>
      <c r="GW542" s="11"/>
      <c r="GX542" s="12"/>
      <c r="GY542" s="12"/>
      <c r="GZ542" s="11">
        <v>28</v>
      </c>
      <c r="HA542" s="13">
        <v>834.56</v>
      </c>
      <c r="HB542" s="11">
        <v>11</v>
      </c>
      <c r="HC542" s="11"/>
      <c r="HD542" s="13"/>
      <c r="HE542" s="11"/>
      <c r="HF542" s="12"/>
      <c r="HG542" s="12"/>
      <c r="HH542" s="11"/>
      <c r="HI542" s="13"/>
      <c r="HJ542" s="11"/>
      <c r="HK542" s="11"/>
      <c r="HL542" s="13"/>
      <c r="HM542" s="11"/>
      <c r="HN542" s="12"/>
      <c r="HO542" s="12"/>
      <c r="HP542" s="11"/>
      <c r="HQ542" s="13"/>
      <c r="HR542" s="11"/>
      <c r="HS542" s="11"/>
      <c r="HT542" s="13"/>
      <c r="HU542" s="11"/>
      <c r="HV542" s="12"/>
      <c r="HW542" s="12"/>
      <c r="HX542" s="11">
        <v>10</v>
      </c>
      <c r="HY542" s="13">
        <v>274.84</v>
      </c>
      <c r="HZ542" s="11">
        <v>29</v>
      </c>
      <c r="IA542" s="11"/>
      <c r="IB542" s="13"/>
      <c r="IC542" s="11"/>
      <c r="ID542" s="12"/>
      <c r="IE542" s="12"/>
      <c r="IF542" s="11"/>
      <c r="IG542" s="13"/>
      <c r="IH542" s="11"/>
      <c r="II542" s="11"/>
      <c r="IJ542" s="13"/>
      <c r="IK542" s="11"/>
      <c r="IL542" s="12"/>
      <c r="IM542" s="12"/>
      <c r="IN542" s="11"/>
      <c r="IO542" s="13"/>
      <c r="IP542" s="11"/>
      <c r="IQ542" s="11"/>
      <c r="IR542" s="13"/>
      <c r="IS542" s="11"/>
      <c r="IT542" s="12"/>
      <c r="IU542" s="12"/>
      <c r="IV542" s="11"/>
      <c r="IW542" s="13"/>
      <c r="IX542" s="11"/>
      <c r="IY542" s="11"/>
      <c r="IZ542" s="13"/>
      <c r="JA542" s="11"/>
      <c r="JB542" s="12"/>
      <c r="JC542" s="12"/>
      <c r="JD542" s="11"/>
      <c r="JE542" s="13"/>
      <c r="JF542" s="11"/>
      <c r="JG542" s="11"/>
      <c r="JH542" s="13"/>
      <c r="JI542" s="11"/>
      <c r="JJ542" s="12"/>
      <c r="JK542" s="12"/>
      <c r="JL542" s="11"/>
      <c r="JM542" s="13"/>
      <c r="JN542" s="11"/>
      <c r="JO542" s="11"/>
      <c r="JP542" s="13"/>
      <c r="JQ542" s="11"/>
      <c r="JR542" s="12"/>
      <c r="JS542" s="12"/>
      <c r="JT542" s="11"/>
      <c r="JU542" s="13"/>
      <c r="JV542" s="11"/>
      <c r="JW542" s="11"/>
      <c r="JX542" s="13"/>
      <c r="JY542" s="11"/>
      <c r="JZ542" s="12"/>
      <c r="KA542" s="12"/>
      <c r="KB542" s="11"/>
      <c r="KC542" s="13"/>
      <c r="KD542" s="11"/>
      <c r="KE542" s="11"/>
      <c r="KF542" s="13"/>
      <c r="KG542" s="11"/>
      <c r="KH542" s="12"/>
      <c r="KI542" s="12"/>
      <c r="KJ542" s="11"/>
      <c r="KK542" s="13"/>
      <c r="KL542" s="11"/>
      <c r="KM542" s="11"/>
      <c r="KN542" s="13"/>
      <c r="KO542" s="11"/>
      <c r="KP542" s="12"/>
      <c r="KQ542" s="12"/>
      <c r="KR542" s="11"/>
      <c r="KS542" s="13"/>
      <c r="KT542" s="11">
        <v>1</v>
      </c>
      <c r="KU542" s="11"/>
      <c r="KV542" s="13"/>
      <c r="KW542" s="11"/>
      <c r="KX542" s="12"/>
      <c r="KY542" s="12"/>
      <c r="KZ542" s="11"/>
      <c r="LA542" s="13"/>
      <c r="LB542" s="11"/>
      <c r="LC542" s="11"/>
      <c r="LD542" s="13"/>
      <c r="LE542" s="11"/>
      <c r="LF542" s="12"/>
      <c r="LG542" s="12"/>
      <c r="LH542" s="11"/>
      <c r="LI542" s="13"/>
      <c r="LJ542" s="11"/>
      <c r="LK542" s="11"/>
      <c r="LL542" s="13"/>
      <c r="LM542" s="11"/>
      <c r="LN542" s="12"/>
      <c r="LO542" s="12"/>
      <c r="LP542" s="11"/>
      <c r="LQ542" s="13"/>
      <c r="LR542" s="11"/>
      <c r="LS542" s="11"/>
      <c r="LT542" s="13"/>
      <c r="LU542" s="11"/>
      <c r="LV542" s="12"/>
      <c r="LW542" s="12"/>
    </row>
    <row r="543">
      <c r="A543" s="10" t="s">
        <v>278</v>
      </c>
      <c r="B543" s="10" t="s">
        <v>137</v>
      </c>
      <c r="C543" s="10" t="s">
        <v>77</v>
      </c>
      <c r="D543" s="11">
        <v>39223</v>
      </c>
      <c r="E543" s="11">
        <f>=ROUNDDOWN({0},0)</f>
      </c>
      <c r="F543" s="11">
        <v>2673</v>
      </c>
      <c r="G543" s="12"/>
      <c r="H543" s="11"/>
      <c r="I543" s="11">
        <f>=ROUNDDOWN({0},0)</f>
      </c>
      <c r="J543" s="11"/>
      <c r="K543" s="12"/>
      <c r="L543" s="11">
        <v>6121</v>
      </c>
      <c r="M543" s="13">
        <v>182761.45</v>
      </c>
      <c r="N543" s="11">
        <v>68</v>
      </c>
      <c r="O543" s="14">
        <v>2687.67</v>
      </c>
      <c r="P543" s="11"/>
      <c r="Q543" s="13"/>
      <c r="R543" s="11"/>
      <c r="S543" s="14"/>
      <c r="T543" s="12"/>
      <c r="U543" s="12"/>
      <c r="V543" s="12"/>
      <c r="W543" s="12"/>
      <c r="X543" s="11">
        <v>3437</v>
      </c>
      <c r="Y543" s="13">
        <v>101263.05</v>
      </c>
      <c r="Z543" s="11">
        <v>68</v>
      </c>
      <c r="AA543" s="11"/>
      <c r="AB543" s="13"/>
      <c r="AC543" s="11"/>
      <c r="AD543" s="12"/>
      <c r="AE543" s="12"/>
      <c r="AF543" s="11">
        <v>64</v>
      </c>
      <c r="AG543" s="13">
        <v>1614.43</v>
      </c>
      <c r="AH543" s="11">
        <v>66</v>
      </c>
      <c r="AI543" s="11"/>
      <c r="AJ543" s="13"/>
      <c r="AK543" s="11"/>
      <c r="AL543" s="12"/>
      <c r="AM543" s="12"/>
      <c r="AN543" s="11">
        <v>512</v>
      </c>
      <c r="AO543" s="13">
        <v>13353.45</v>
      </c>
      <c r="AP543" s="11">
        <v>68</v>
      </c>
      <c r="AQ543" s="11"/>
      <c r="AR543" s="13"/>
      <c r="AS543" s="11"/>
      <c r="AT543" s="12"/>
      <c r="AU543" s="12"/>
      <c r="AV543" s="11">
        <v>144</v>
      </c>
      <c r="AW543" s="13">
        <v>4253.16</v>
      </c>
      <c r="AX543" s="11">
        <v>64</v>
      </c>
      <c r="AY543" s="11"/>
      <c r="AZ543" s="13"/>
      <c r="BA543" s="11"/>
      <c r="BB543" s="12"/>
      <c r="BC543" s="12"/>
      <c r="BD543" s="11">
        <v>1435</v>
      </c>
      <c r="BE543" s="13">
        <v>46191.77</v>
      </c>
      <c r="BF543" s="11">
        <v>68</v>
      </c>
      <c r="BG543" s="11"/>
      <c r="BH543" s="13"/>
      <c r="BI543" s="11"/>
      <c r="BJ543" s="12"/>
      <c r="BK543" s="12"/>
      <c r="BL543" s="11">
        <v>65</v>
      </c>
      <c r="BM543" s="13">
        <v>2028.69</v>
      </c>
      <c r="BN543" s="11">
        <v>52</v>
      </c>
      <c r="BO543" s="11"/>
      <c r="BP543" s="13"/>
      <c r="BQ543" s="11"/>
      <c r="BR543" s="12"/>
      <c r="BS543" s="12"/>
      <c r="BT543" s="11">
        <v>101</v>
      </c>
      <c r="BU543" s="13">
        <v>2929</v>
      </c>
      <c r="BV543" s="11">
        <v>68</v>
      </c>
      <c r="BW543" s="11"/>
      <c r="BX543" s="13"/>
      <c r="BY543" s="11"/>
      <c r="BZ543" s="12"/>
      <c r="CA543" s="12"/>
      <c r="CB543" s="11">
        <v>144</v>
      </c>
      <c r="CC543" s="13">
        <v>4104.44</v>
      </c>
      <c r="CD543" s="11">
        <v>68</v>
      </c>
      <c r="CE543" s="11"/>
      <c r="CF543" s="13"/>
      <c r="CG543" s="11"/>
      <c r="CH543" s="12"/>
      <c r="CI543" s="12"/>
      <c r="CJ543" s="11">
        <v>3</v>
      </c>
      <c r="CK543" s="13">
        <v>239.97</v>
      </c>
      <c r="CL543" s="11">
        <v>68</v>
      </c>
      <c r="CM543" s="11"/>
      <c r="CN543" s="13"/>
      <c r="CO543" s="11"/>
      <c r="CP543" s="12"/>
      <c r="CQ543" s="12"/>
      <c r="CR543" s="11"/>
      <c r="CS543" s="13"/>
      <c r="CT543" s="11"/>
      <c r="CU543" s="11"/>
      <c r="CV543" s="13"/>
      <c r="CW543" s="11"/>
      <c r="CX543" s="12"/>
      <c r="CY543" s="12"/>
      <c r="CZ543" s="11"/>
      <c r="DA543" s="13"/>
      <c r="DB543" s="11"/>
      <c r="DC543" s="11"/>
      <c r="DD543" s="13"/>
      <c r="DE543" s="11"/>
      <c r="DF543" s="12"/>
      <c r="DG543" s="12"/>
      <c r="DH543" s="11"/>
      <c r="DI543" s="13"/>
      <c r="DJ543" s="11"/>
      <c r="DK543" s="11"/>
      <c r="DL543" s="13"/>
      <c r="DM543" s="11"/>
      <c r="DN543" s="12"/>
      <c r="DO543" s="12"/>
      <c r="DP543" s="11">
        <v>33</v>
      </c>
      <c r="DQ543" s="13">
        <v>943.21</v>
      </c>
      <c r="DR543" s="11">
        <v>65</v>
      </c>
      <c r="DS543" s="11"/>
      <c r="DT543" s="13"/>
      <c r="DU543" s="11"/>
      <c r="DV543" s="12"/>
      <c r="DW543" s="12"/>
      <c r="DX543" s="11">
        <v>16</v>
      </c>
      <c r="DY543" s="13">
        <v>449.48</v>
      </c>
      <c r="DZ543" s="11">
        <v>65</v>
      </c>
      <c r="EA543" s="11"/>
      <c r="EB543" s="13"/>
      <c r="EC543" s="11"/>
      <c r="ED543" s="12"/>
      <c r="EE543" s="12"/>
      <c r="EF543" s="11"/>
      <c r="EG543" s="13"/>
      <c r="EH543" s="11"/>
      <c r="EI543" s="11"/>
      <c r="EJ543" s="13"/>
      <c r="EK543" s="11"/>
      <c r="EL543" s="12"/>
      <c r="EM543" s="12"/>
      <c r="EN543" s="11">
        <v>1</v>
      </c>
      <c r="EO543" s="13">
        <v>64.99</v>
      </c>
      <c r="EP543" s="11">
        <v>68</v>
      </c>
      <c r="EQ543" s="11"/>
      <c r="ER543" s="13"/>
      <c r="ES543" s="11"/>
      <c r="ET543" s="12"/>
      <c r="EU543" s="12"/>
      <c r="EV543" s="11">
        <v>91</v>
      </c>
      <c r="EW543" s="13">
        <v>3063.51</v>
      </c>
      <c r="EX543" s="11">
        <v>28</v>
      </c>
      <c r="EY543" s="11"/>
      <c r="EZ543" s="13"/>
      <c r="FA543" s="11"/>
      <c r="FB543" s="12"/>
      <c r="FC543" s="12"/>
      <c r="FD543" s="11">
        <v>37</v>
      </c>
      <c r="FE543" s="13">
        <v>1152.9</v>
      </c>
      <c r="FF543" s="11">
        <v>52</v>
      </c>
      <c r="FG543" s="11"/>
      <c r="FH543" s="13"/>
      <c r="FI543" s="11"/>
      <c r="FJ543" s="12"/>
      <c r="FK543" s="12"/>
      <c r="FL543" s="11"/>
      <c r="FM543" s="13"/>
      <c r="FN543" s="11"/>
      <c r="FO543" s="11"/>
      <c r="FP543" s="13"/>
      <c r="FQ543" s="11"/>
      <c r="FR543" s="12"/>
      <c r="FS543" s="12"/>
      <c r="FT543" s="11"/>
      <c r="FU543" s="13"/>
      <c r="FV543" s="11"/>
      <c r="FW543" s="11"/>
      <c r="FX543" s="13"/>
      <c r="FY543" s="11"/>
      <c r="FZ543" s="12"/>
      <c r="GA543" s="12"/>
      <c r="GB543" s="11"/>
      <c r="GC543" s="13"/>
      <c r="GD543" s="11"/>
      <c r="GE543" s="11"/>
      <c r="GF543" s="13"/>
      <c r="GG543" s="11"/>
      <c r="GH543" s="12"/>
      <c r="GI543" s="12"/>
      <c r="GJ543" s="11"/>
      <c r="GK543" s="13"/>
      <c r="GL543" s="11"/>
      <c r="GM543" s="11"/>
      <c r="GN543" s="13"/>
      <c r="GO543" s="11"/>
      <c r="GP543" s="12"/>
      <c r="GQ543" s="12"/>
      <c r="GR543" s="11"/>
      <c r="GS543" s="13"/>
      <c r="GT543" s="11">
        <v>31</v>
      </c>
      <c r="GU543" s="11"/>
      <c r="GV543" s="13"/>
      <c r="GW543" s="11"/>
      <c r="GX543" s="12"/>
      <c r="GY543" s="12"/>
      <c r="GZ543" s="11">
        <v>28</v>
      </c>
      <c r="HA543" s="13">
        <v>834.56</v>
      </c>
      <c r="HB543" s="11">
        <v>11</v>
      </c>
      <c r="HC543" s="11"/>
      <c r="HD543" s="13"/>
      <c r="HE543" s="11"/>
      <c r="HF543" s="12"/>
      <c r="HG543" s="12"/>
      <c r="HH543" s="11"/>
      <c r="HI543" s="13"/>
      <c r="HJ543" s="11"/>
      <c r="HK543" s="11"/>
      <c r="HL543" s="13"/>
      <c r="HM543" s="11"/>
      <c r="HN543" s="12"/>
      <c r="HO543" s="12"/>
      <c r="HP543" s="11"/>
      <c r="HQ543" s="13"/>
      <c r="HR543" s="11"/>
      <c r="HS543" s="11"/>
      <c r="HT543" s="13"/>
      <c r="HU543" s="11"/>
      <c r="HV543" s="12"/>
      <c r="HW543" s="12"/>
      <c r="HX543" s="11">
        <v>10</v>
      </c>
      <c r="HY543" s="13">
        <v>274.84</v>
      </c>
      <c r="HZ543" s="11">
        <v>29</v>
      </c>
      <c r="IA543" s="11"/>
      <c r="IB543" s="13"/>
      <c r="IC543" s="11"/>
      <c r="ID543" s="12"/>
      <c r="IE543" s="12"/>
      <c r="IF543" s="11"/>
      <c r="IG543" s="13"/>
      <c r="IH543" s="11"/>
      <c r="II543" s="11"/>
      <c r="IJ543" s="13"/>
      <c r="IK543" s="11"/>
      <c r="IL543" s="12"/>
      <c r="IM543" s="12"/>
      <c r="IN543" s="11"/>
      <c r="IO543" s="13"/>
      <c r="IP543" s="11"/>
      <c r="IQ543" s="11"/>
      <c r="IR543" s="13"/>
      <c r="IS543" s="11"/>
      <c r="IT543" s="12"/>
      <c r="IU543" s="12"/>
      <c r="IV543" s="11"/>
      <c r="IW543" s="13"/>
      <c r="IX543" s="11"/>
      <c r="IY543" s="11"/>
      <c r="IZ543" s="13"/>
      <c r="JA543" s="11"/>
      <c r="JB543" s="12"/>
      <c r="JC543" s="12"/>
      <c r="JD543" s="11"/>
      <c r="JE543" s="13"/>
      <c r="JF543" s="11"/>
      <c r="JG543" s="11"/>
      <c r="JH543" s="13"/>
      <c r="JI543" s="11"/>
      <c r="JJ543" s="12"/>
      <c r="JK543" s="12"/>
      <c r="JL543" s="11"/>
      <c r="JM543" s="13"/>
      <c r="JN543" s="11"/>
      <c r="JO543" s="11"/>
      <c r="JP543" s="13"/>
      <c r="JQ543" s="11"/>
      <c r="JR543" s="12"/>
      <c r="JS543" s="12"/>
      <c r="JT543" s="11"/>
      <c r="JU543" s="13"/>
      <c r="JV543" s="11"/>
      <c r="JW543" s="11"/>
      <c r="JX543" s="13"/>
      <c r="JY543" s="11"/>
      <c r="JZ543" s="12"/>
      <c r="KA543" s="12"/>
      <c r="KB543" s="11"/>
      <c r="KC543" s="13"/>
      <c r="KD543" s="11"/>
      <c r="KE543" s="11"/>
      <c r="KF543" s="13"/>
      <c r="KG543" s="11"/>
      <c r="KH543" s="12"/>
      <c r="KI543" s="12"/>
      <c r="KJ543" s="11"/>
      <c r="KK543" s="13"/>
      <c r="KL543" s="11"/>
      <c r="KM543" s="11"/>
      <c r="KN543" s="13"/>
      <c r="KO543" s="11"/>
      <c r="KP543" s="12"/>
      <c r="KQ543" s="12"/>
      <c r="KR543" s="11"/>
      <c r="KS543" s="13"/>
      <c r="KT543" s="11">
        <v>1</v>
      </c>
      <c r="KU543" s="11"/>
      <c r="KV543" s="13"/>
      <c r="KW543" s="11"/>
      <c r="KX543" s="12"/>
      <c r="KY543" s="12"/>
      <c r="KZ543" s="11"/>
      <c r="LA543" s="13"/>
      <c r="LB543" s="11"/>
      <c r="LC543" s="11"/>
      <c r="LD543" s="13"/>
      <c r="LE543" s="11"/>
      <c r="LF543" s="12"/>
      <c r="LG543" s="12"/>
      <c r="LH543" s="11"/>
      <c r="LI543" s="13"/>
      <c r="LJ543" s="11"/>
      <c r="LK543" s="11"/>
      <c r="LL543" s="13"/>
      <c r="LM543" s="11"/>
      <c r="LN543" s="12"/>
      <c r="LO543" s="12"/>
      <c r="LP543" s="11"/>
      <c r="LQ543" s="13"/>
      <c r="LR543" s="11"/>
      <c r="LS543" s="11"/>
      <c r="LT543" s="13"/>
      <c r="LU543" s="11"/>
      <c r="LV543" s="12"/>
      <c r="LW543" s="12"/>
    </row>
    <row r="544">
      <c r="A544" s="10" t="s">
        <v>286</v>
      </c>
      <c r="B544" s="10" t="s">
        <v>77</v>
      </c>
      <c r="C544" s="10" t="s">
        <v>77</v>
      </c>
      <c r="D544" s="11">
        <v>590417</v>
      </c>
      <c r="E544" s="11">
        <f>=ROUNDDOWN({0},0)</f>
      </c>
      <c r="F544" s="11">
        <v>266257</v>
      </c>
      <c r="G544" s="12"/>
      <c r="H544" s="11"/>
      <c r="I544" s="11">
        <f>=ROUNDDOWN({0},0)</f>
      </c>
      <c r="J544" s="11"/>
      <c r="K544" s="12"/>
      <c r="L544" s="11">
        <v>202768</v>
      </c>
      <c r="M544" s="13">
        <v>4856942.02</v>
      </c>
      <c r="N544" s="11">
        <v>1359</v>
      </c>
      <c r="O544" s="14">
        <v>3573.91</v>
      </c>
      <c r="P544" s="11"/>
      <c r="Q544" s="13"/>
      <c r="R544" s="11"/>
      <c r="S544" s="14"/>
      <c r="T544" s="12"/>
      <c r="U544" s="12"/>
      <c r="V544" s="12"/>
      <c r="W544" s="12"/>
      <c r="X544" s="11">
        <v>96455</v>
      </c>
      <c r="Y544" s="13">
        <v>2073460.48</v>
      </c>
      <c r="Z544" s="11">
        <v>1087</v>
      </c>
      <c r="AA544" s="11"/>
      <c r="AB544" s="13"/>
      <c r="AC544" s="11"/>
      <c r="AD544" s="12"/>
      <c r="AE544" s="12"/>
      <c r="AF544" s="11">
        <v>6225</v>
      </c>
      <c r="AG544" s="13">
        <v>158589.62</v>
      </c>
      <c r="AH544" s="11">
        <v>1094</v>
      </c>
      <c r="AI544" s="11"/>
      <c r="AJ544" s="13"/>
      <c r="AK544" s="11"/>
      <c r="AL544" s="12"/>
      <c r="AM544" s="12"/>
      <c r="AN544" s="11">
        <v>24482</v>
      </c>
      <c r="AO544" s="13">
        <v>629564.17</v>
      </c>
      <c r="AP544" s="11">
        <v>1067</v>
      </c>
      <c r="AQ544" s="11"/>
      <c r="AR544" s="13"/>
      <c r="AS544" s="11"/>
      <c r="AT544" s="12"/>
      <c r="AU544" s="12"/>
      <c r="AV544" s="11">
        <v>10931</v>
      </c>
      <c r="AW544" s="13">
        <v>219036.85</v>
      </c>
      <c r="AX544" s="11">
        <v>881</v>
      </c>
      <c r="AY544" s="11"/>
      <c r="AZ544" s="13"/>
      <c r="BA544" s="11"/>
      <c r="BB544" s="12"/>
      <c r="BC544" s="12"/>
      <c r="BD544" s="11">
        <v>26489</v>
      </c>
      <c r="BE544" s="13">
        <v>633474.31</v>
      </c>
      <c r="BF544" s="11">
        <v>1082</v>
      </c>
      <c r="BG544" s="11"/>
      <c r="BH544" s="13"/>
      <c r="BI544" s="11"/>
      <c r="BJ544" s="12"/>
      <c r="BK544" s="12"/>
      <c r="BL544" s="11">
        <v>6173</v>
      </c>
      <c r="BM544" s="13">
        <v>220777.26</v>
      </c>
      <c r="BN544" s="11">
        <v>1076</v>
      </c>
      <c r="BO544" s="11"/>
      <c r="BP544" s="13"/>
      <c r="BQ544" s="11"/>
      <c r="BR544" s="12"/>
      <c r="BS544" s="12"/>
      <c r="BT544" s="11">
        <v>3168</v>
      </c>
      <c r="BU544" s="13">
        <v>92413.58</v>
      </c>
      <c r="BV544" s="11">
        <v>1092</v>
      </c>
      <c r="BW544" s="11"/>
      <c r="BX544" s="13"/>
      <c r="BY544" s="11"/>
      <c r="BZ544" s="12"/>
      <c r="CA544" s="12"/>
      <c r="CB544" s="11">
        <v>14851</v>
      </c>
      <c r="CC544" s="13">
        <v>425389.97</v>
      </c>
      <c r="CD544" s="11">
        <v>1005</v>
      </c>
      <c r="CE544" s="11"/>
      <c r="CF544" s="13"/>
      <c r="CG544" s="11"/>
      <c r="CH544" s="12"/>
      <c r="CI544" s="12"/>
      <c r="CJ544" s="11">
        <v>6664</v>
      </c>
      <c r="CK544" s="13">
        <v>198954.69</v>
      </c>
      <c r="CL544" s="11">
        <v>1067</v>
      </c>
      <c r="CM544" s="11"/>
      <c r="CN544" s="13"/>
      <c r="CO544" s="11"/>
      <c r="CP544" s="12"/>
      <c r="CQ544" s="12"/>
      <c r="CR544" s="11"/>
      <c r="CS544" s="13"/>
      <c r="CT544" s="11"/>
      <c r="CU544" s="11"/>
      <c r="CV544" s="13"/>
      <c r="CW544" s="11"/>
      <c r="CX544" s="12"/>
      <c r="CY544" s="12"/>
      <c r="CZ544" s="11">
        <v>160</v>
      </c>
      <c r="DA544" s="13">
        <v>4470.1</v>
      </c>
      <c r="DB544" s="11">
        <v>63</v>
      </c>
      <c r="DC544" s="11"/>
      <c r="DD544" s="13"/>
      <c r="DE544" s="11"/>
      <c r="DF544" s="12"/>
      <c r="DG544" s="12"/>
      <c r="DH544" s="11"/>
      <c r="DI544" s="13"/>
      <c r="DJ544" s="11"/>
      <c r="DK544" s="11"/>
      <c r="DL544" s="13"/>
      <c r="DM544" s="11"/>
      <c r="DN544" s="12"/>
      <c r="DO544" s="12"/>
      <c r="DP544" s="11">
        <v>1783</v>
      </c>
      <c r="DQ544" s="13">
        <v>49795.2</v>
      </c>
      <c r="DR544" s="11">
        <v>1004</v>
      </c>
      <c r="DS544" s="11"/>
      <c r="DT544" s="13"/>
      <c r="DU544" s="11"/>
      <c r="DV544" s="12"/>
      <c r="DW544" s="12"/>
      <c r="DX544" s="11">
        <v>483</v>
      </c>
      <c r="DY544" s="13">
        <v>13466.52</v>
      </c>
      <c r="DZ544" s="11">
        <v>533</v>
      </c>
      <c r="EA544" s="11"/>
      <c r="EB544" s="13"/>
      <c r="EC544" s="11"/>
      <c r="ED544" s="12"/>
      <c r="EE544" s="12"/>
      <c r="EF544" s="11"/>
      <c r="EG544" s="13"/>
      <c r="EH544" s="11"/>
      <c r="EI544" s="11"/>
      <c r="EJ544" s="13"/>
      <c r="EK544" s="11"/>
      <c r="EL544" s="12"/>
      <c r="EM544" s="12"/>
      <c r="EN544" s="11">
        <v>321</v>
      </c>
      <c r="EO544" s="13">
        <v>16647.83</v>
      </c>
      <c r="EP544" s="11">
        <v>1169</v>
      </c>
      <c r="EQ544" s="11"/>
      <c r="ER544" s="13"/>
      <c r="ES544" s="11"/>
      <c r="ET544" s="12"/>
      <c r="EU544" s="12"/>
      <c r="EV544" s="11">
        <v>1213</v>
      </c>
      <c r="EW544" s="13">
        <v>27597.29</v>
      </c>
      <c r="EX544" s="11">
        <v>513</v>
      </c>
      <c r="EY544" s="11"/>
      <c r="EZ544" s="13"/>
      <c r="FA544" s="11"/>
      <c r="FB544" s="12"/>
      <c r="FC544" s="12"/>
      <c r="FD544" s="11">
        <v>1449</v>
      </c>
      <c r="FE544" s="13">
        <v>35315.26</v>
      </c>
      <c r="FF544" s="11">
        <v>551</v>
      </c>
      <c r="FG544" s="11"/>
      <c r="FH544" s="13"/>
      <c r="FI544" s="11"/>
      <c r="FJ544" s="12"/>
      <c r="FK544" s="12"/>
      <c r="FL544" s="11">
        <v>462</v>
      </c>
      <c r="FM544" s="13">
        <v>13609.49</v>
      </c>
      <c r="FN544" s="11">
        <v>30</v>
      </c>
      <c r="FO544" s="11"/>
      <c r="FP544" s="13"/>
      <c r="FQ544" s="11"/>
      <c r="FR544" s="12"/>
      <c r="FS544" s="12"/>
      <c r="FT544" s="11"/>
      <c r="FU544" s="13"/>
      <c r="FV544" s="11"/>
      <c r="FW544" s="11"/>
      <c r="FX544" s="13"/>
      <c r="FY544" s="11"/>
      <c r="FZ544" s="12"/>
      <c r="GA544" s="12"/>
      <c r="GB544" s="11"/>
      <c r="GC544" s="13"/>
      <c r="GD544" s="11"/>
      <c r="GE544" s="11"/>
      <c r="GF544" s="13"/>
      <c r="GG544" s="11"/>
      <c r="GH544" s="12"/>
      <c r="GI544" s="12"/>
      <c r="GJ544" s="11"/>
      <c r="GK544" s="13"/>
      <c r="GL544" s="11"/>
      <c r="GM544" s="11"/>
      <c r="GN544" s="13"/>
      <c r="GO544" s="11"/>
      <c r="GP544" s="12"/>
      <c r="GQ544" s="12"/>
      <c r="GR544" s="11">
        <v>4</v>
      </c>
      <c r="GS544" s="13">
        <v>186.65</v>
      </c>
      <c r="GT544" s="11">
        <v>817</v>
      </c>
      <c r="GU544" s="11"/>
      <c r="GV544" s="13"/>
      <c r="GW544" s="11"/>
      <c r="GX544" s="12"/>
      <c r="GY544" s="12"/>
      <c r="GZ544" s="11">
        <v>367</v>
      </c>
      <c r="HA544" s="13">
        <v>7565.26</v>
      </c>
      <c r="HB544" s="11">
        <v>184</v>
      </c>
      <c r="HC544" s="11"/>
      <c r="HD544" s="13"/>
      <c r="HE544" s="11"/>
      <c r="HF544" s="12"/>
      <c r="HG544" s="12"/>
      <c r="HH544" s="11">
        <v>1</v>
      </c>
      <c r="HI544" s="13">
        <v>57.13</v>
      </c>
      <c r="HJ544" s="11"/>
      <c r="HK544" s="11"/>
      <c r="HL544" s="13"/>
      <c r="HM544" s="11"/>
      <c r="HN544" s="12"/>
      <c r="HO544" s="12"/>
      <c r="HP544" s="11">
        <v>785</v>
      </c>
      <c r="HQ544" s="13">
        <v>26660.8</v>
      </c>
      <c r="HR544" s="11">
        <v>97</v>
      </c>
      <c r="HS544" s="11"/>
      <c r="HT544" s="13"/>
      <c r="HU544" s="11"/>
      <c r="HV544" s="12"/>
      <c r="HW544" s="12"/>
      <c r="HX544" s="11">
        <v>155</v>
      </c>
      <c r="HY544" s="13">
        <v>5229.87</v>
      </c>
      <c r="HZ544" s="11">
        <v>102</v>
      </c>
      <c r="IA544" s="11"/>
      <c r="IB544" s="13"/>
      <c r="IC544" s="11"/>
      <c r="ID544" s="12"/>
      <c r="IE544" s="12"/>
      <c r="IF544" s="11"/>
      <c r="IG544" s="13"/>
      <c r="IH544" s="11"/>
      <c r="II544" s="11"/>
      <c r="IJ544" s="13"/>
      <c r="IK544" s="11"/>
      <c r="IL544" s="12"/>
      <c r="IM544" s="12"/>
      <c r="IN544" s="11">
        <v>18</v>
      </c>
      <c r="IO544" s="13">
        <v>2226.82</v>
      </c>
      <c r="IP544" s="11">
        <v>23</v>
      </c>
      <c r="IQ544" s="11"/>
      <c r="IR544" s="13"/>
      <c r="IS544" s="11"/>
      <c r="IT544" s="12"/>
      <c r="IU544" s="12"/>
      <c r="IV544" s="11">
        <v>83</v>
      </c>
      <c r="IW544" s="13">
        <v>2229.94</v>
      </c>
      <c r="IX544" s="11">
        <v>339</v>
      </c>
      <c r="IY544" s="11"/>
      <c r="IZ544" s="13"/>
      <c r="JA544" s="11"/>
      <c r="JB544" s="12"/>
      <c r="JC544" s="12"/>
      <c r="JD544" s="11"/>
      <c r="JE544" s="13"/>
      <c r="JF544" s="11"/>
      <c r="JG544" s="11"/>
      <c r="JH544" s="13"/>
      <c r="JI544" s="11"/>
      <c r="JJ544" s="12"/>
      <c r="JK544" s="12"/>
      <c r="JL544" s="11"/>
      <c r="JM544" s="13"/>
      <c r="JN544" s="11"/>
      <c r="JO544" s="11"/>
      <c r="JP544" s="13"/>
      <c r="JQ544" s="11"/>
      <c r="JR544" s="12"/>
      <c r="JS544" s="12"/>
      <c r="JT544" s="11">
        <v>46</v>
      </c>
      <c r="JU544" s="13">
        <v>222.93</v>
      </c>
      <c r="JV544" s="11">
        <v>333</v>
      </c>
      <c r="JW544" s="11"/>
      <c r="JX544" s="13"/>
      <c r="JY544" s="11"/>
      <c r="JZ544" s="12"/>
      <c r="KA544" s="12"/>
      <c r="KB544" s="11"/>
      <c r="KC544" s="13"/>
      <c r="KD544" s="11"/>
      <c r="KE544" s="11"/>
      <c r="KF544" s="13"/>
      <c r="KG544" s="11"/>
      <c r="KH544" s="12"/>
      <c r="KI544" s="12"/>
      <c r="KJ544" s="11"/>
      <c r="KK544" s="13"/>
      <c r="KL544" s="11"/>
      <c r="KM544" s="11"/>
      <c r="KN544" s="13"/>
      <c r="KO544" s="11"/>
      <c r="KP544" s="12"/>
      <c r="KQ544" s="12"/>
      <c r="KR544" s="11"/>
      <c r="KS544" s="13"/>
      <c r="KT544" s="11">
        <v>1</v>
      </c>
      <c r="KU544" s="11"/>
      <c r="KV544" s="13"/>
      <c r="KW544" s="11"/>
      <c r="KX544" s="12"/>
      <c r="KY544" s="12"/>
      <c r="KZ544" s="11"/>
      <c r="LA544" s="13"/>
      <c r="LB544" s="11"/>
      <c r="LC544" s="11"/>
      <c r="LD544" s="13"/>
      <c r="LE544" s="11"/>
      <c r="LF544" s="12"/>
      <c r="LG544" s="12"/>
      <c r="LH544" s="11"/>
      <c r="LI544" s="13"/>
      <c r="LJ544" s="11"/>
      <c r="LK544" s="11"/>
      <c r="LL544" s="13"/>
      <c r="LM544" s="11"/>
      <c r="LN544" s="12"/>
      <c r="LO544" s="12"/>
      <c r="LP544" s="11"/>
      <c r="LQ544" s="13"/>
      <c r="LR544" s="11"/>
      <c r="LS544" s="11"/>
      <c r="LT544" s="13"/>
      <c r="LU544" s="11"/>
      <c r="LV544" s="12"/>
      <c r="LW544" s="12"/>
    </row>
    <row r="545">
      <c r="A545" s="10" t="s">
        <v>287</v>
      </c>
      <c r="B545" s="10" t="s">
        <v>73</v>
      </c>
      <c r="C545" s="10" t="s">
        <v>189</v>
      </c>
      <c r="D545" s="11">
        <v>10849</v>
      </c>
      <c r="E545" s="11">
        <f>=ROUNDDOWN(55.0710659898477,0)</f>
      </c>
      <c r="F545" s="11">
        <v>791</v>
      </c>
      <c r="G545" s="12">
        <v>1</v>
      </c>
      <c r="H545" s="11"/>
      <c r="I545" s="11">
        <f>=ROUNDDOWN({0},0)</f>
      </c>
      <c r="J545" s="11"/>
      <c r="K545" s="12"/>
      <c r="L545" s="11">
        <v>3087</v>
      </c>
      <c r="M545" s="13">
        <v>83578.84</v>
      </c>
      <c r="N545" s="11">
        <v>11</v>
      </c>
      <c r="O545" s="14">
        <v>7598.08</v>
      </c>
      <c r="P545" s="11"/>
      <c r="Q545" s="13"/>
      <c r="R545" s="11"/>
      <c r="S545" s="14"/>
      <c r="T545" s="12"/>
      <c r="U545" s="12"/>
      <c r="V545" s="12"/>
      <c r="W545" s="12"/>
      <c r="X545" s="11">
        <v>5</v>
      </c>
      <c r="Y545" s="13">
        <v>151.8</v>
      </c>
      <c r="Z545" s="11">
        <v>6</v>
      </c>
      <c r="AA545" s="11"/>
      <c r="AB545" s="13"/>
      <c r="AC545" s="11"/>
      <c r="AD545" s="12"/>
      <c r="AE545" s="12"/>
      <c r="AF545" s="11">
        <v>48</v>
      </c>
      <c r="AG545" s="13">
        <v>1258.44</v>
      </c>
      <c r="AH545" s="11">
        <v>11</v>
      </c>
      <c r="AI545" s="11"/>
      <c r="AJ545" s="13"/>
      <c r="AK545" s="11"/>
      <c r="AL545" s="12"/>
      <c r="AM545" s="12"/>
      <c r="AN545" s="11">
        <v>937</v>
      </c>
      <c r="AO545" s="13">
        <v>24571.94</v>
      </c>
      <c r="AP545" s="11">
        <v>11</v>
      </c>
      <c r="AQ545" s="11"/>
      <c r="AR545" s="13"/>
      <c r="AS545" s="11"/>
      <c r="AT545" s="12"/>
      <c r="AU545" s="12"/>
      <c r="AV545" s="11">
        <v>212</v>
      </c>
      <c r="AW545" s="13">
        <v>5885.23</v>
      </c>
      <c r="AX545" s="11">
        <v>10</v>
      </c>
      <c r="AY545" s="11"/>
      <c r="AZ545" s="13"/>
      <c r="BA545" s="11"/>
      <c r="BB545" s="12"/>
      <c r="BC545" s="12"/>
      <c r="BD545" s="11">
        <v>312</v>
      </c>
      <c r="BE545" s="13">
        <v>8962.39</v>
      </c>
      <c r="BF545" s="11">
        <v>11</v>
      </c>
      <c r="BG545" s="11"/>
      <c r="BH545" s="13"/>
      <c r="BI545" s="11"/>
      <c r="BJ545" s="12"/>
      <c r="BK545" s="12"/>
      <c r="BL545" s="11">
        <v>30</v>
      </c>
      <c r="BM545" s="13">
        <v>778.92</v>
      </c>
      <c r="BN545" s="11">
        <v>11</v>
      </c>
      <c r="BO545" s="11"/>
      <c r="BP545" s="13"/>
      <c r="BQ545" s="11"/>
      <c r="BR545" s="12"/>
      <c r="BS545" s="12"/>
      <c r="BT545" s="11">
        <v>63</v>
      </c>
      <c r="BU545" s="13">
        <v>1761.89</v>
      </c>
      <c r="BV545" s="11">
        <v>11</v>
      </c>
      <c r="BW545" s="11"/>
      <c r="BX545" s="13"/>
      <c r="BY545" s="11"/>
      <c r="BZ545" s="12"/>
      <c r="CA545" s="12"/>
      <c r="CB545" s="11">
        <v>520</v>
      </c>
      <c r="CC545" s="13">
        <v>14556.28</v>
      </c>
      <c r="CD545" s="11">
        <v>10</v>
      </c>
      <c r="CE545" s="11"/>
      <c r="CF545" s="13"/>
      <c r="CG545" s="11"/>
      <c r="CH545" s="12"/>
      <c r="CI545" s="12"/>
      <c r="CJ545" s="11"/>
      <c r="CK545" s="13"/>
      <c r="CL545" s="11">
        <v>11</v>
      </c>
      <c r="CM545" s="11"/>
      <c r="CN545" s="13"/>
      <c r="CO545" s="11"/>
      <c r="CP545" s="12"/>
      <c r="CQ545" s="12"/>
      <c r="CR545" s="11"/>
      <c r="CS545" s="13"/>
      <c r="CT545" s="11"/>
      <c r="CU545" s="11"/>
      <c r="CV545" s="13"/>
      <c r="CW545" s="11"/>
      <c r="CX545" s="12"/>
      <c r="CY545" s="12"/>
      <c r="CZ545" s="11">
        <v>31</v>
      </c>
      <c r="DA545" s="13">
        <v>761.45</v>
      </c>
      <c r="DB545" s="11">
        <v>5</v>
      </c>
      <c r="DC545" s="11"/>
      <c r="DD545" s="13"/>
      <c r="DE545" s="11"/>
      <c r="DF545" s="12"/>
      <c r="DG545" s="12"/>
      <c r="DH545" s="11"/>
      <c r="DI545" s="13"/>
      <c r="DJ545" s="11"/>
      <c r="DK545" s="11"/>
      <c r="DL545" s="13"/>
      <c r="DM545" s="11"/>
      <c r="DN545" s="12"/>
      <c r="DO545" s="12"/>
      <c r="DP545" s="11">
        <v>301</v>
      </c>
      <c r="DQ545" s="13">
        <v>8401.09</v>
      </c>
      <c r="DR545" s="11">
        <v>11</v>
      </c>
      <c r="DS545" s="11"/>
      <c r="DT545" s="13"/>
      <c r="DU545" s="11"/>
      <c r="DV545" s="12"/>
      <c r="DW545" s="12"/>
      <c r="DX545" s="11">
        <v>22</v>
      </c>
      <c r="DY545" s="13">
        <v>611.32</v>
      </c>
      <c r="DZ545" s="11">
        <v>11</v>
      </c>
      <c r="EA545" s="11"/>
      <c r="EB545" s="13"/>
      <c r="EC545" s="11"/>
      <c r="ED545" s="12"/>
      <c r="EE545" s="12"/>
      <c r="EF545" s="11"/>
      <c r="EG545" s="13"/>
      <c r="EH545" s="11"/>
      <c r="EI545" s="11"/>
      <c r="EJ545" s="13"/>
      <c r="EK545" s="11"/>
      <c r="EL545" s="12"/>
      <c r="EM545" s="12"/>
      <c r="EN545" s="11">
        <v>3</v>
      </c>
      <c r="EO545" s="13">
        <v>104.97</v>
      </c>
      <c r="EP545" s="11">
        <v>11</v>
      </c>
      <c r="EQ545" s="11"/>
      <c r="ER545" s="13"/>
      <c r="ES545" s="11"/>
      <c r="ET545" s="12"/>
      <c r="EU545" s="12"/>
      <c r="EV545" s="11">
        <v>15</v>
      </c>
      <c r="EW545" s="13">
        <v>433.2</v>
      </c>
      <c r="EX545" s="11">
        <v>6</v>
      </c>
      <c r="EY545" s="11"/>
      <c r="EZ545" s="13"/>
      <c r="FA545" s="11"/>
      <c r="FB545" s="12"/>
      <c r="FC545" s="12"/>
      <c r="FD545" s="11">
        <v>488</v>
      </c>
      <c r="FE545" s="13">
        <v>12581.67</v>
      </c>
      <c r="FF545" s="11">
        <v>11</v>
      </c>
      <c r="FG545" s="11"/>
      <c r="FH545" s="13"/>
      <c r="FI545" s="11"/>
      <c r="FJ545" s="12"/>
      <c r="FK545" s="12"/>
      <c r="FL545" s="11"/>
      <c r="FM545" s="13"/>
      <c r="FN545" s="11"/>
      <c r="FO545" s="11"/>
      <c r="FP545" s="13"/>
      <c r="FQ545" s="11"/>
      <c r="FR545" s="12"/>
      <c r="FS545" s="12"/>
      <c r="FT545" s="11"/>
      <c r="FU545" s="13"/>
      <c r="FV545" s="11"/>
      <c r="FW545" s="11"/>
      <c r="FX545" s="13"/>
      <c r="FY545" s="11"/>
      <c r="FZ545" s="12"/>
      <c r="GA545" s="12"/>
      <c r="GB545" s="11"/>
      <c r="GC545" s="13"/>
      <c r="GD545" s="11"/>
      <c r="GE545" s="11"/>
      <c r="GF545" s="13"/>
      <c r="GG545" s="11"/>
      <c r="GH545" s="12"/>
      <c r="GI545" s="12"/>
      <c r="GJ545" s="11"/>
      <c r="GK545" s="13"/>
      <c r="GL545" s="11"/>
      <c r="GM545" s="11"/>
      <c r="GN545" s="13"/>
      <c r="GO545" s="11"/>
      <c r="GP545" s="12"/>
      <c r="GQ545" s="12"/>
      <c r="GR545" s="11"/>
      <c r="GS545" s="13"/>
      <c r="GT545" s="11">
        <v>10</v>
      </c>
      <c r="GU545" s="11"/>
      <c r="GV545" s="13"/>
      <c r="GW545" s="11"/>
      <c r="GX545" s="12"/>
      <c r="GY545" s="12"/>
      <c r="GZ545" s="11"/>
      <c r="HA545" s="13"/>
      <c r="HB545" s="11"/>
      <c r="HC545" s="11"/>
      <c r="HD545" s="13"/>
      <c r="HE545" s="11"/>
      <c r="HF545" s="12"/>
      <c r="HG545" s="12"/>
      <c r="HH545" s="11">
        <v>23</v>
      </c>
      <c r="HI545" s="13">
        <v>621.03</v>
      </c>
      <c r="HJ545" s="11"/>
      <c r="HK545" s="11"/>
      <c r="HL545" s="13"/>
      <c r="HM545" s="11"/>
      <c r="HN545" s="12"/>
      <c r="HO545" s="12"/>
      <c r="HP545" s="11"/>
      <c r="HQ545" s="13"/>
      <c r="HR545" s="11"/>
      <c r="HS545" s="11"/>
      <c r="HT545" s="13"/>
      <c r="HU545" s="11"/>
      <c r="HV545" s="12"/>
      <c r="HW545" s="12"/>
      <c r="HX545" s="11">
        <v>74</v>
      </c>
      <c r="HY545" s="13">
        <v>2051.28</v>
      </c>
      <c r="HZ545" s="11">
        <v>3</v>
      </c>
      <c r="IA545" s="11"/>
      <c r="IB545" s="13"/>
      <c r="IC545" s="11"/>
      <c r="ID545" s="12"/>
      <c r="IE545" s="12"/>
      <c r="IF545" s="11"/>
      <c r="IG545" s="13"/>
      <c r="IH545" s="11"/>
      <c r="II545" s="11"/>
      <c r="IJ545" s="13"/>
      <c r="IK545" s="11"/>
      <c r="IL545" s="12"/>
      <c r="IM545" s="12"/>
      <c r="IN545" s="11"/>
      <c r="IO545" s="13"/>
      <c r="IP545" s="11"/>
      <c r="IQ545" s="11"/>
      <c r="IR545" s="13"/>
      <c r="IS545" s="11"/>
      <c r="IT545" s="12"/>
      <c r="IU545" s="12"/>
      <c r="IV545" s="11">
        <v>1</v>
      </c>
      <c r="IW545" s="13">
        <v>27.72</v>
      </c>
      <c r="IX545" s="11">
        <v>3</v>
      </c>
      <c r="IY545" s="11"/>
      <c r="IZ545" s="13"/>
      <c r="JA545" s="11"/>
      <c r="JB545" s="12"/>
      <c r="JC545" s="12"/>
      <c r="JD545" s="11">
        <v>2</v>
      </c>
      <c r="JE545" s="13">
        <v>58.22</v>
      </c>
      <c r="JF545" s="11">
        <v>6</v>
      </c>
      <c r="JG545" s="11"/>
      <c r="JH545" s="13"/>
      <c r="JI545" s="11"/>
      <c r="JJ545" s="12"/>
      <c r="JK545" s="12"/>
      <c r="JL545" s="11"/>
      <c r="JM545" s="13"/>
      <c r="JN545" s="11"/>
      <c r="JO545" s="11"/>
      <c r="JP545" s="13"/>
      <c r="JQ545" s="11"/>
      <c r="JR545" s="12"/>
      <c r="JS545" s="12"/>
      <c r="JT545" s="11"/>
      <c r="JU545" s="13"/>
      <c r="JV545" s="11">
        <v>6</v>
      </c>
      <c r="JW545" s="11"/>
      <c r="JX545" s="13"/>
      <c r="JY545" s="11"/>
      <c r="JZ545" s="12"/>
      <c r="KA545" s="12"/>
      <c r="KB545" s="11"/>
      <c r="KC545" s="13"/>
      <c r="KD545" s="11"/>
      <c r="KE545" s="11"/>
      <c r="KF545" s="13"/>
      <c r="KG545" s="11"/>
      <c r="KH545" s="12"/>
      <c r="KI545" s="12"/>
      <c r="KJ545" s="11"/>
      <c r="KK545" s="13"/>
      <c r="KL545" s="11"/>
      <c r="KM545" s="11"/>
      <c r="KN545" s="13"/>
      <c r="KO545" s="11"/>
      <c r="KP545" s="12"/>
      <c r="KQ545" s="12"/>
      <c r="KR545" s="11"/>
      <c r="KS545" s="13"/>
      <c r="KT545" s="11"/>
      <c r="KU545" s="11"/>
      <c r="KV545" s="13"/>
      <c r="KW545" s="11"/>
      <c r="KX545" s="12"/>
      <c r="KY545" s="12"/>
      <c r="KZ545" s="11"/>
      <c r="LA545" s="13"/>
      <c r="LB545" s="11"/>
      <c r="LC545" s="11"/>
      <c r="LD545" s="13"/>
      <c r="LE545" s="11"/>
      <c r="LF545" s="12"/>
      <c r="LG545" s="12"/>
      <c r="LH545" s="11"/>
      <c r="LI545" s="13"/>
      <c r="LJ545" s="11"/>
      <c r="LK545" s="11"/>
      <c r="LL545" s="13"/>
      <c r="LM545" s="11"/>
      <c r="LN545" s="12"/>
      <c r="LO545" s="12"/>
      <c r="LP545" s="11"/>
      <c r="LQ545" s="13"/>
      <c r="LR545" s="11"/>
      <c r="LS545" s="11"/>
      <c r="LT545" s="13"/>
      <c r="LU545" s="11"/>
      <c r="LV545" s="12"/>
      <c r="LW545" s="12"/>
    </row>
    <row r="546">
      <c r="A546" s="10" t="s">
        <v>287</v>
      </c>
      <c r="B546" s="10" t="s">
        <v>76</v>
      </c>
      <c r="C546" s="10" t="s">
        <v>77</v>
      </c>
      <c r="D546" s="11">
        <v>10849</v>
      </c>
      <c r="E546" s="11">
        <f>=ROUNDDOWN({0},0)</f>
      </c>
      <c r="F546" s="11">
        <v>791</v>
      </c>
      <c r="G546" s="12"/>
      <c r="H546" s="11"/>
      <c r="I546" s="11">
        <f>=ROUNDDOWN({0},0)</f>
      </c>
      <c r="J546" s="11"/>
      <c r="K546" s="12"/>
      <c r="L546" s="11">
        <v>3087</v>
      </c>
      <c r="M546" s="13">
        <v>83578.84</v>
      </c>
      <c r="N546" s="11">
        <v>11</v>
      </c>
      <c r="O546" s="14">
        <v>7598.08</v>
      </c>
      <c r="P546" s="11"/>
      <c r="Q546" s="13"/>
      <c r="R546" s="11"/>
      <c r="S546" s="14"/>
      <c r="T546" s="12"/>
      <c r="U546" s="12"/>
      <c r="V546" s="12"/>
      <c r="W546" s="12"/>
      <c r="X546" s="11">
        <v>5</v>
      </c>
      <c r="Y546" s="13">
        <v>151.8</v>
      </c>
      <c r="Z546" s="11">
        <v>6</v>
      </c>
      <c r="AA546" s="11"/>
      <c r="AB546" s="13"/>
      <c r="AC546" s="11"/>
      <c r="AD546" s="12"/>
      <c r="AE546" s="12"/>
      <c r="AF546" s="11">
        <v>48</v>
      </c>
      <c r="AG546" s="13">
        <v>1258.44</v>
      </c>
      <c r="AH546" s="11">
        <v>11</v>
      </c>
      <c r="AI546" s="11"/>
      <c r="AJ546" s="13"/>
      <c r="AK546" s="11"/>
      <c r="AL546" s="12"/>
      <c r="AM546" s="12"/>
      <c r="AN546" s="11">
        <v>937</v>
      </c>
      <c r="AO546" s="13">
        <v>24571.94</v>
      </c>
      <c r="AP546" s="11">
        <v>11</v>
      </c>
      <c r="AQ546" s="11"/>
      <c r="AR546" s="13"/>
      <c r="AS546" s="11"/>
      <c r="AT546" s="12"/>
      <c r="AU546" s="12"/>
      <c r="AV546" s="11">
        <v>212</v>
      </c>
      <c r="AW546" s="13">
        <v>5885.23</v>
      </c>
      <c r="AX546" s="11">
        <v>10</v>
      </c>
      <c r="AY546" s="11"/>
      <c r="AZ546" s="13"/>
      <c r="BA546" s="11"/>
      <c r="BB546" s="12"/>
      <c r="BC546" s="12"/>
      <c r="BD546" s="11">
        <v>312</v>
      </c>
      <c r="BE546" s="13">
        <v>8962.39</v>
      </c>
      <c r="BF546" s="11">
        <v>11</v>
      </c>
      <c r="BG546" s="11"/>
      <c r="BH546" s="13"/>
      <c r="BI546" s="11"/>
      <c r="BJ546" s="12"/>
      <c r="BK546" s="12"/>
      <c r="BL546" s="11">
        <v>30</v>
      </c>
      <c r="BM546" s="13">
        <v>778.92</v>
      </c>
      <c r="BN546" s="11">
        <v>11</v>
      </c>
      <c r="BO546" s="11"/>
      <c r="BP546" s="13"/>
      <c r="BQ546" s="11"/>
      <c r="BR546" s="12"/>
      <c r="BS546" s="12"/>
      <c r="BT546" s="11">
        <v>63</v>
      </c>
      <c r="BU546" s="13">
        <v>1761.89</v>
      </c>
      <c r="BV546" s="11">
        <v>11</v>
      </c>
      <c r="BW546" s="11"/>
      <c r="BX546" s="13"/>
      <c r="BY546" s="11"/>
      <c r="BZ546" s="12"/>
      <c r="CA546" s="12"/>
      <c r="CB546" s="11">
        <v>520</v>
      </c>
      <c r="CC546" s="13">
        <v>14556.28</v>
      </c>
      <c r="CD546" s="11">
        <v>10</v>
      </c>
      <c r="CE546" s="11"/>
      <c r="CF546" s="13"/>
      <c r="CG546" s="11"/>
      <c r="CH546" s="12"/>
      <c r="CI546" s="12"/>
      <c r="CJ546" s="11"/>
      <c r="CK546" s="13"/>
      <c r="CL546" s="11">
        <v>11</v>
      </c>
      <c r="CM546" s="11"/>
      <c r="CN546" s="13"/>
      <c r="CO546" s="11"/>
      <c r="CP546" s="12"/>
      <c r="CQ546" s="12"/>
      <c r="CR546" s="11"/>
      <c r="CS546" s="13"/>
      <c r="CT546" s="11"/>
      <c r="CU546" s="11"/>
      <c r="CV546" s="13"/>
      <c r="CW546" s="11"/>
      <c r="CX546" s="12"/>
      <c r="CY546" s="12"/>
      <c r="CZ546" s="11">
        <v>31</v>
      </c>
      <c r="DA546" s="13">
        <v>761.45</v>
      </c>
      <c r="DB546" s="11">
        <v>5</v>
      </c>
      <c r="DC546" s="11"/>
      <c r="DD546" s="13"/>
      <c r="DE546" s="11"/>
      <c r="DF546" s="12"/>
      <c r="DG546" s="12"/>
      <c r="DH546" s="11"/>
      <c r="DI546" s="13"/>
      <c r="DJ546" s="11"/>
      <c r="DK546" s="11"/>
      <c r="DL546" s="13"/>
      <c r="DM546" s="11"/>
      <c r="DN546" s="12"/>
      <c r="DO546" s="12"/>
      <c r="DP546" s="11">
        <v>301</v>
      </c>
      <c r="DQ546" s="13">
        <v>8401.09</v>
      </c>
      <c r="DR546" s="11">
        <v>11</v>
      </c>
      <c r="DS546" s="11"/>
      <c r="DT546" s="13"/>
      <c r="DU546" s="11"/>
      <c r="DV546" s="12"/>
      <c r="DW546" s="12"/>
      <c r="DX546" s="11">
        <v>22</v>
      </c>
      <c r="DY546" s="13">
        <v>611.32</v>
      </c>
      <c r="DZ546" s="11">
        <v>11</v>
      </c>
      <c r="EA546" s="11"/>
      <c r="EB546" s="13"/>
      <c r="EC546" s="11"/>
      <c r="ED546" s="12"/>
      <c r="EE546" s="12"/>
      <c r="EF546" s="11"/>
      <c r="EG546" s="13"/>
      <c r="EH546" s="11"/>
      <c r="EI546" s="11"/>
      <c r="EJ546" s="13"/>
      <c r="EK546" s="11"/>
      <c r="EL546" s="12"/>
      <c r="EM546" s="12"/>
      <c r="EN546" s="11">
        <v>3</v>
      </c>
      <c r="EO546" s="13">
        <v>104.97</v>
      </c>
      <c r="EP546" s="11">
        <v>11</v>
      </c>
      <c r="EQ546" s="11"/>
      <c r="ER546" s="13"/>
      <c r="ES546" s="11"/>
      <c r="ET546" s="12"/>
      <c r="EU546" s="12"/>
      <c r="EV546" s="11">
        <v>15</v>
      </c>
      <c r="EW546" s="13">
        <v>433.2</v>
      </c>
      <c r="EX546" s="11">
        <v>6</v>
      </c>
      <c r="EY546" s="11"/>
      <c r="EZ546" s="13"/>
      <c r="FA546" s="11"/>
      <c r="FB546" s="12"/>
      <c r="FC546" s="12"/>
      <c r="FD546" s="11">
        <v>488</v>
      </c>
      <c r="FE546" s="13">
        <v>12581.67</v>
      </c>
      <c r="FF546" s="11">
        <v>11</v>
      </c>
      <c r="FG546" s="11"/>
      <c r="FH546" s="13"/>
      <c r="FI546" s="11"/>
      <c r="FJ546" s="12"/>
      <c r="FK546" s="12"/>
      <c r="FL546" s="11"/>
      <c r="FM546" s="13"/>
      <c r="FN546" s="11"/>
      <c r="FO546" s="11"/>
      <c r="FP546" s="13"/>
      <c r="FQ546" s="11"/>
      <c r="FR546" s="12"/>
      <c r="FS546" s="12"/>
      <c r="FT546" s="11"/>
      <c r="FU546" s="13"/>
      <c r="FV546" s="11"/>
      <c r="FW546" s="11"/>
      <c r="FX546" s="13"/>
      <c r="FY546" s="11"/>
      <c r="FZ546" s="12"/>
      <c r="GA546" s="12"/>
      <c r="GB546" s="11"/>
      <c r="GC546" s="13"/>
      <c r="GD546" s="11"/>
      <c r="GE546" s="11"/>
      <c r="GF546" s="13"/>
      <c r="GG546" s="11"/>
      <c r="GH546" s="12"/>
      <c r="GI546" s="12"/>
      <c r="GJ546" s="11"/>
      <c r="GK546" s="13"/>
      <c r="GL546" s="11"/>
      <c r="GM546" s="11"/>
      <c r="GN546" s="13"/>
      <c r="GO546" s="11"/>
      <c r="GP546" s="12"/>
      <c r="GQ546" s="12"/>
      <c r="GR546" s="11"/>
      <c r="GS546" s="13"/>
      <c r="GT546" s="11">
        <v>10</v>
      </c>
      <c r="GU546" s="11"/>
      <c r="GV546" s="13"/>
      <c r="GW546" s="11"/>
      <c r="GX546" s="12"/>
      <c r="GY546" s="12"/>
      <c r="GZ546" s="11"/>
      <c r="HA546" s="13"/>
      <c r="HB546" s="11"/>
      <c r="HC546" s="11"/>
      <c r="HD546" s="13"/>
      <c r="HE546" s="11"/>
      <c r="HF546" s="12"/>
      <c r="HG546" s="12"/>
      <c r="HH546" s="11">
        <v>23</v>
      </c>
      <c r="HI546" s="13">
        <v>621.03</v>
      </c>
      <c r="HJ546" s="11"/>
      <c r="HK546" s="11"/>
      <c r="HL546" s="13"/>
      <c r="HM546" s="11"/>
      <c r="HN546" s="12"/>
      <c r="HO546" s="12"/>
      <c r="HP546" s="11"/>
      <c r="HQ546" s="13"/>
      <c r="HR546" s="11"/>
      <c r="HS546" s="11"/>
      <c r="HT546" s="13"/>
      <c r="HU546" s="11"/>
      <c r="HV546" s="12"/>
      <c r="HW546" s="12"/>
      <c r="HX546" s="11">
        <v>74</v>
      </c>
      <c r="HY546" s="13">
        <v>2051.28</v>
      </c>
      <c r="HZ546" s="11">
        <v>3</v>
      </c>
      <c r="IA546" s="11"/>
      <c r="IB546" s="13"/>
      <c r="IC546" s="11"/>
      <c r="ID546" s="12"/>
      <c r="IE546" s="12"/>
      <c r="IF546" s="11"/>
      <c r="IG546" s="13"/>
      <c r="IH546" s="11"/>
      <c r="II546" s="11"/>
      <c r="IJ546" s="13"/>
      <c r="IK546" s="11"/>
      <c r="IL546" s="12"/>
      <c r="IM546" s="12"/>
      <c r="IN546" s="11"/>
      <c r="IO546" s="13"/>
      <c r="IP546" s="11"/>
      <c r="IQ546" s="11"/>
      <c r="IR546" s="13"/>
      <c r="IS546" s="11"/>
      <c r="IT546" s="12"/>
      <c r="IU546" s="12"/>
      <c r="IV546" s="11">
        <v>1</v>
      </c>
      <c r="IW546" s="13">
        <v>27.72</v>
      </c>
      <c r="IX546" s="11">
        <v>3</v>
      </c>
      <c r="IY546" s="11"/>
      <c r="IZ546" s="13"/>
      <c r="JA546" s="11"/>
      <c r="JB546" s="12"/>
      <c r="JC546" s="12"/>
      <c r="JD546" s="11">
        <v>2</v>
      </c>
      <c r="JE546" s="13">
        <v>58.22</v>
      </c>
      <c r="JF546" s="11">
        <v>6</v>
      </c>
      <c r="JG546" s="11"/>
      <c r="JH546" s="13"/>
      <c r="JI546" s="11"/>
      <c r="JJ546" s="12"/>
      <c r="JK546" s="12"/>
      <c r="JL546" s="11"/>
      <c r="JM546" s="13"/>
      <c r="JN546" s="11"/>
      <c r="JO546" s="11"/>
      <c r="JP546" s="13"/>
      <c r="JQ546" s="11"/>
      <c r="JR546" s="12"/>
      <c r="JS546" s="12"/>
      <c r="JT546" s="11"/>
      <c r="JU546" s="13"/>
      <c r="JV546" s="11">
        <v>6</v>
      </c>
      <c r="JW546" s="11"/>
      <c r="JX546" s="13"/>
      <c r="JY546" s="11"/>
      <c r="JZ546" s="12"/>
      <c r="KA546" s="12"/>
      <c r="KB546" s="11"/>
      <c r="KC546" s="13"/>
      <c r="KD546" s="11"/>
      <c r="KE546" s="11"/>
      <c r="KF546" s="13"/>
      <c r="KG546" s="11"/>
      <c r="KH546" s="12"/>
      <c r="KI546" s="12"/>
      <c r="KJ546" s="11"/>
      <c r="KK546" s="13"/>
      <c r="KL546" s="11"/>
      <c r="KM546" s="11"/>
      <c r="KN546" s="13"/>
      <c r="KO546" s="11"/>
      <c r="KP546" s="12"/>
      <c r="KQ546" s="12"/>
      <c r="KR546" s="11"/>
      <c r="KS546" s="13"/>
      <c r="KT546" s="11"/>
      <c r="KU546" s="11"/>
      <c r="KV546" s="13"/>
      <c r="KW546" s="11"/>
      <c r="KX546" s="12"/>
      <c r="KY546" s="12"/>
      <c r="KZ546" s="11"/>
      <c r="LA546" s="13"/>
      <c r="LB546" s="11"/>
      <c r="LC546" s="11"/>
      <c r="LD546" s="13"/>
      <c r="LE546" s="11"/>
      <c r="LF546" s="12"/>
      <c r="LG546" s="12"/>
      <c r="LH546" s="11"/>
      <c r="LI546" s="13"/>
      <c r="LJ546" s="11"/>
      <c r="LK546" s="11"/>
      <c r="LL546" s="13"/>
      <c r="LM546" s="11"/>
      <c r="LN546" s="12"/>
      <c r="LO546" s="12"/>
      <c r="LP546" s="11"/>
      <c r="LQ546" s="13"/>
      <c r="LR546" s="11"/>
      <c r="LS546" s="11"/>
      <c r="LT546" s="13"/>
      <c r="LU546" s="11"/>
      <c r="LV546" s="12"/>
      <c r="LW546" s="12"/>
    </row>
    <row r="547">
      <c r="A547" s="10" t="s">
        <v>287</v>
      </c>
      <c r="B547" s="10" t="s">
        <v>82</v>
      </c>
      <c r="C547" s="10" t="s">
        <v>189</v>
      </c>
      <c r="D547" s="11">
        <v>5834</v>
      </c>
      <c r="E547" s="11">
        <f>=ROUNDDOWN(52.0892857142857,0)</f>
      </c>
      <c r="F547" s="11">
        <v>929</v>
      </c>
      <c r="G547" s="12"/>
      <c r="H547" s="11"/>
      <c r="I547" s="11">
        <f>=ROUNDDOWN({0},0)</f>
      </c>
      <c r="J547" s="11"/>
      <c r="K547" s="12"/>
      <c r="L547" s="11">
        <v>934</v>
      </c>
      <c r="M547" s="13">
        <v>38858.5</v>
      </c>
      <c r="N547" s="11">
        <v>13</v>
      </c>
      <c r="O547" s="14">
        <v>2989.12</v>
      </c>
      <c r="P547" s="11"/>
      <c r="Q547" s="13"/>
      <c r="R547" s="11"/>
      <c r="S547" s="14"/>
      <c r="T547" s="12"/>
      <c r="U547" s="12"/>
      <c r="V547" s="12"/>
      <c r="W547" s="12"/>
      <c r="X547" s="11">
        <v>80</v>
      </c>
      <c r="Y547" s="13">
        <v>3437.1</v>
      </c>
      <c r="Z547" s="11">
        <v>13</v>
      </c>
      <c r="AA547" s="11"/>
      <c r="AB547" s="13"/>
      <c r="AC547" s="11"/>
      <c r="AD547" s="12"/>
      <c r="AE547" s="12"/>
      <c r="AF547" s="11">
        <v>39</v>
      </c>
      <c r="AG547" s="13">
        <v>1329.59</v>
      </c>
      <c r="AH547" s="11">
        <v>13</v>
      </c>
      <c r="AI547" s="11"/>
      <c r="AJ547" s="13"/>
      <c r="AK547" s="11"/>
      <c r="AL547" s="12"/>
      <c r="AM547" s="12"/>
      <c r="AN547" s="11">
        <v>118</v>
      </c>
      <c r="AO547" s="13">
        <v>4982.62</v>
      </c>
      <c r="AP547" s="11">
        <v>13</v>
      </c>
      <c r="AQ547" s="11"/>
      <c r="AR547" s="13"/>
      <c r="AS547" s="11"/>
      <c r="AT547" s="12"/>
      <c r="AU547" s="12"/>
      <c r="AV547" s="11">
        <v>135</v>
      </c>
      <c r="AW547" s="13">
        <v>5648.61</v>
      </c>
      <c r="AX547" s="11">
        <v>9</v>
      </c>
      <c r="AY547" s="11"/>
      <c r="AZ547" s="13"/>
      <c r="BA547" s="11"/>
      <c r="BB547" s="12"/>
      <c r="BC547" s="12"/>
      <c r="BD547" s="11">
        <v>231</v>
      </c>
      <c r="BE547" s="13">
        <v>9585.4</v>
      </c>
      <c r="BF547" s="11">
        <v>13</v>
      </c>
      <c r="BG547" s="11"/>
      <c r="BH547" s="13"/>
      <c r="BI547" s="11"/>
      <c r="BJ547" s="12"/>
      <c r="BK547" s="12"/>
      <c r="BL547" s="11">
        <v>16</v>
      </c>
      <c r="BM547" s="13">
        <v>658.78</v>
      </c>
      <c r="BN547" s="11">
        <v>12</v>
      </c>
      <c r="BO547" s="11"/>
      <c r="BP547" s="13"/>
      <c r="BQ547" s="11"/>
      <c r="BR547" s="12"/>
      <c r="BS547" s="12"/>
      <c r="BT547" s="11">
        <v>79</v>
      </c>
      <c r="BU547" s="13">
        <v>3439.25</v>
      </c>
      <c r="BV547" s="11">
        <v>13</v>
      </c>
      <c r="BW547" s="11"/>
      <c r="BX547" s="13"/>
      <c r="BY547" s="11"/>
      <c r="BZ547" s="12"/>
      <c r="CA547" s="12"/>
      <c r="CB547" s="11">
        <v>153</v>
      </c>
      <c r="CC547" s="13">
        <v>6339.32</v>
      </c>
      <c r="CD547" s="11">
        <v>12</v>
      </c>
      <c r="CE547" s="11"/>
      <c r="CF547" s="13"/>
      <c r="CG547" s="11"/>
      <c r="CH547" s="12"/>
      <c r="CI547" s="12"/>
      <c r="CJ547" s="11"/>
      <c r="CK547" s="13"/>
      <c r="CL547" s="11">
        <v>1</v>
      </c>
      <c r="CM547" s="11"/>
      <c r="CN547" s="13"/>
      <c r="CO547" s="11"/>
      <c r="CP547" s="12"/>
      <c r="CQ547" s="12"/>
      <c r="CR547" s="11"/>
      <c r="CS547" s="13"/>
      <c r="CT547" s="11"/>
      <c r="CU547" s="11"/>
      <c r="CV547" s="13"/>
      <c r="CW547" s="11"/>
      <c r="CX547" s="12"/>
      <c r="CY547" s="12"/>
      <c r="CZ547" s="11"/>
      <c r="DA547" s="13"/>
      <c r="DB547" s="11"/>
      <c r="DC547" s="11"/>
      <c r="DD547" s="13"/>
      <c r="DE547" s="11"/>
      <c r="DF547" s="12"/>
      <c r="DG547" s="12"/>
      <c r="DH547" s="11"/>
      <c r="DI547" s="13"/>
      <c r="DJ547" s="11"/>
      <c r="DK547" s="11"/>
      <c r="DL547" s="13"/>
      <c r="DM547" s="11"/>
      <c r="DN547" s="12"/>
      <c r="DO547" s="12"/>
      <c r="DP547" s="11">
        <v>16</v>
      </c>
      <c r="DQ547" s="13">
        <v>658.78</v>
      </c>
      <c r="DR547" s="11">
        <v>13</v>
      </c>
      <c r="DS547" s="11"/>
      <c r="DT547" s="13"/>
      <c r="DU547" s="11"/>
      <c r="DV547" s="12"/>
      <c r="DW547" s="12"/>
      <c r="DX547" s="11">
        <v>3</v>
      </c>
      <c r="DY547" s="13">
        <v>122.38</v>
      </c>
      <c r="DZ547" s="11">
        <v>12</v>
      </c>
      <c r="EA547" s="11"/>
      <c r="EB547" s="13"/>
      <c r="EC547" s="11"/>
      <c r="ED547" s="12"/>
      <c r="EE547" s="12"/>
      <c r="EF547" s="11"/>
      <c r="EG547" s="13"/>
      <c r="EH547" s="11"/>
      <c r="EI547" s="11"/>
      <c r="EJ547" s="13"/>
      <c r="EK547" s="11"/>
      <c r="EL547" s="12"/>
      <c r="EM547" s="12"/>
      <c r="EN547" s="11">
        <v>1</v>
      </c>
      <c r="EO547" s="13">
        <v>39.99</v>
      </c>
      <c r="EP547" s="11">
        <v>13</v>
      </c>
      <c r="EQ547" s="11"/>
      <c r="ER547" s="13"/>
      <c r="ES547" s="11"/>
      <c r="ET547" s="12"/>
      <c r="EU547" s="12"/>
      <c r="EV547" s="11"/>
      <c r="EW547" s="13"/>
      <c r="EX547" s="11"/>
      <c r="EY547" s="11"/>
      <c r="EZ547" s="13"/>
      <c r="FA547" s="11"/>
      <c r="FB547" s="12"/>
      <c r="FC547" s="12"/>
      <c r="FD547" s="11"/>
      <c r="FE547" s="13"/>
      <c r="FF547" s="11"/>
      <c r="FG547" s="11"/>
      <c r="FH547" s="13"/>
      <c r="FI547" s="11"/>
      <c r="FJ547" s="12"/>
      <c r="FK547" s="12"/>
      <c r="FL547" s="11">
        <v>52</v>
      </c>
      <c r="FM547" s="13">
        <v>2177.78</v>
      </c>
      <c r="FN547" s="11">
        <v>13</v>
      </c>
      <c r="FO547" s="11"/>
      <c r="FP547" s="13"/>
      <c r="FQ547" s="11"/>
      <c r="FR547" s="12"/>
      <c r="FS547" s="12"/>
      <c r="FT547" s="11"/>
      <c r="FU547" s="13"/>
      <c r="FV547" s="11"/>
      <c r="FW547" s="11"/>
      <c r="FX547" s="13"/>
      <c r="FY547" s="11"/>
      <c r="FZ547" s="12"/>
      <c r="GA547" s="12"/>
      <c r="GB547" s="11"/>
      <c r="GC547" s="13"/>
      <c r="GD547" s="11"/>
      <c r="GE547" s="11"/>
      <c r="GF547" s="13"/>
      <c r="GG547" s="11"/>
      <c r="GH547" s="12"/>
      <c r="GI547" s="12"/>
      <c r="GJ547" s="11"/>
      <c r="GK547" s="13"/>
      <c r="GL547" s="11"/>
      <c r="GM547" s="11"/>
      <c r="GN547" s="13"/>
      <c r="GO547" s="11"/>
      <c r="GP547" s="12"/>
      <c r="GQ547" s="12"/>
      <c r="GR547" s="11"/>
      <c r="GS547" s="13"/>
      <c r="GT547" s="11">
        <v>6</v>
      </c>
      <c r="GU547" s="11"/>
      <c r="GV547" s="13"/>
      <c r="GW547" s="11"/>
      <c r="GX547" s="12"/>
      <c r="GY547" s="12"/>
      <c r="GZ547" s="11"/>
      <c r="HA547" s="13"/>
      <c r="HB547" s="11"/>
      <c r="HC547" s="11"/>
      <c r="HD547" s="13"/>
      <c r="HE547" s="11"/>
      <c r="HF547" s="12"/>
      <c r="HG547" s="12"/>
      <c r="HH547" s="11"/>
      <c r="HI547" s="13"/>
      <c r="HJ547" s="11"/>
      <c r="HK547" s="11"/>
      <c r="HL547" s="13"/>
      <c r="HM547" s="11"/>
      <c r="HN547" s="12"/>
      <c r="HO547" s="12"/>
      <c r="HP547" s="11">
        <v>9</v>
      </c>
      <c r="HQ547" s="13">
        <v>359.1</v>
      </c>
      <c r="HR547" s="11">
        <v>5</v>
      </c>
      <c r="HS547" s="11"/>
      <c r="HT547" s="13"/>
      <c r="HU547" s="11"/>
      <c r="HV547" s="12"/>
      <c r="HW547" s="12"/>
      <c r="HX547" s="11">
        <v>2</v>
      </c>
      <c r="HY547" s="13">
        <v>79.8</v>
      </c>
      <c r="HZ547" s="11">
        <v>6</v>
      </c>
      <c r="IA547" s="11"/>
      <c r="IB547" s="13"/>
      <c r="IC547" s="11"/>
      <c r="ID547" s="12"/>
      <c r="IE547" s="12"/>
      <c r="IF547" s="11"/>
      <c r="IG547" s="13"/>
      <c r="IH547" s="11"/>
      <c r="II547" s="11"/>
      <c r="IJ547" s="13"/>
      <c r="IK547" s="11"/>
      <c r="IL547" s="12"/>
      <c r="IM547" s="12"/>
      <c r="IN547" s="11"/>
      <c r="IO547" s="13"/>
      <c r="IP547" s="11"/>
      <c r="IQ547" s="11"/>
      <c r="IR547" s="13"/>
      <c r="IS547" s="11"/>
      <c r="IT547" s="12"/>
      <c r="IU547" s="12"/>
      <c r="IV547" s="11"/>
      <c r="IW547" s="13"/>
      <c r="IX547" s="11">
        <v>5</v>
      </c>
      <c r="IY547" s="11"/>
      <c r="IZ547" s="13"/>
      <c r="JA547" s="11"/>
      <c r="JB547" s="12"/>
      <c r="JC547" s="12"/>
      <c r="JD547" s="11"/>
      <c r="JE547" s="13"/>
      <c r="JF547" s="11"/>
      <c r="JG547" s="11"/>
      <c r="JH547" s="13"/>
      <c r="JI547" s="11"/>
      <c r="JJ547" s="12"/>
      <c r="JK547" s="12"/>
      <c r="JL547" s="11"/>
      <c r="JM547" s="13"/>
      <c r="JN547" s="11"/>
      <c r="JO547" s="11"/>
      <c r="JP547" s="13"/>
      <c r="JQ547" s="11"/>
      <c r="JR547" s="12"/>
      <c r="JS547" s="12"/>
      <c r="JT547" s="11"/>
      <c r="JU547" s="13"/>
      <c r="JV547" s="11">
        <v>7</v>
      </c>
      <c r="JW547" s="11"/>
      <c r="JX547" s="13"/>
      <c r="JY547" s="11"/>
      <c r="JZ547" s="12"/>
      <c r="KA547" s="12"/>
      <c r="KB547" s="11"/>
      <c r="KC547" s="13"/>
      <c r="KD547" s="11"/>
      <c r="KE547" s="11"/>
      <c r="KF547" s="13"/>
      <c r="KG547" s="11"/>
      <c r="KH547" s="12"/>
      <c r="KI547" s="12"/>
      <c r="KJ547" s="11"/>
      <c r="KK547" s="13"/>
      <c r="KL547" s="11"/>
      <c r="KM547" s="11"/>
      <c r="KN547" s="13"/>
      <c r="KO547" s="11"/>
      <c r="KP547" s="12"/>
      <c r="KQ547" s="12"/>
      <c r="KR547" s="11"/>
      <c r="KS547" s="13"/>
      <c r="KT547" s="11"/>
      <c r="KU547" s="11"/>
      <c r="KV547" s="13"/>
      <c r="KW547" s="11"/>
      <c r="KX547" s="12"/>
      <c r="KY547" s="12"/>
      <c r="KZ547" s="11"/>
      <c r="LA547" s="13"/>
      <c r="LB547" s="11"/>
      <c r="LC547" s="11"/>
      <c r="LD547" s="13"/>
      <c r="LE547" s="11"/>
      <c r="LF547" s="12"/>
      <c r="LG547" s="12"/>
      <c r="LH547" s="11"/>
      <c r="LI547" s="13"/>
      <c r="LJ547" s="11"/>
      <c r="LK547" s="11"/>
      <c r="LL547" s="13"/>
      <c r="LM547" s="11"/>
      <c r="LN547" s="12"/>
      <c r="LO547" s="12"/>
      <c r="LP547" s="11"/>
      <c r="LQ547" s="13"/>
      <c r="LR547" s="11"/>
      <c r="LS547" s="11"/>
      <c r="LT547" s="13"/>
      <c r="LU547" s="11"/>
      <c r="LV547" s="12"/>
      <c r="LW547" s="12"/>
    </row>
    <row r="548">
      <c r="A548" s="10" t="s">
        <v>287</v>
      </c>
      <c r="B548" s="10" t="s">
        <v>84</v>
      </c>
      <c r="C548" s="10" t="s">
        <v>77</v>
      </c>
      <c r="D548" s="11">
        <v>5834</v>
      </c>
      <c r="E548" s="11">
        <f>=ROUNDDOWN({0},0)</f>
      </c>
      <c r="F548" s="11">
        <v>929</v>
      </c>
      <c r="G548" s="12"/>
      <c r="H548" s="11"/>
      <c r="I548" s="11">
        <f>=ROUNDDOWN({0},0)</f>
      </c>
      <c r="J548" s="11"/>
      <c r="K548" s="12"/>
      <c r="L548" s="11">
        <v>934</v>
      </c>
      <c r="M548" s="13">
        <v>38858.5</v>
      </c>
      <c r="N548" s="11">
        <v>13</v>
      </c>
      <c r="O548" s="14">
        <v>2989.12</v>
      </c>
      <c r="P548" s="11"/>
      <c r="Q548" s="13"/>
      <c r="R548" s="11"/>
      <c r="S548" s="14"/>
      <c r="T548" s="12"/>
      <c r="U548" s="12"/>
      <c r="V548" s="12"/>
      <c r="W548" s="12"/>
      <c r="X548" s="11">
        <v>80</v>
      </c>
      <c r="Y548" s="13">
        <v>3437.1</v>
      </c>
      <c r="Z548" s="11">
        <v>13</v>
      </c>
      <c r="AA548" s="11"/>
      <c r="AB548" s="13"/>
      <c r="AC548" s="11"/>
      <c r="AD548" s="12"/>
      <c r="AE548" s="12"/>
      <c r="AF548" s="11">
        <v>39</v>
      </c>
      <c r="AG548" s="13">
        <v>1329.59</v>
      </c>
      <c r="AH548" s="11">
        <v>13</v>
      </c>
      <c r="AI548" s="11"/>
      <c r="AJ548" s="13"/>
      <c r="AK548" s="11"/>
      <c r="AL548" s="12"/>
      <c r="AM548" s="12"/>
      <c r="AN548" s="11">
        <v>118</v>
      </c>
      <c r="AO548" s="13">
        <v>4982.62</v>
      </c>
      <c r="AP548" s="11">
        <v>13</v>
      </c>
      <c r="AQ548" s="11"/>
      <c r="AR548" s="13"/>
      <c r="AS548" s="11"/>
      <c r="AT548" s="12"/>
      <c r="AU548" s="12"/>
      <c r="AV548" s="11">
        <v>135</v>
      </c>
      <c r="AW548" s="13">
        <v>5648.61</v>
      </c>
      <c r="AX548" s="11">
        <v>9</v>
      </c>
      <c r="AY548" s="11"/>
      <c r="AZ548" s="13"/>
      <c r="BA548" s="11"/>
      <c r="BB548" s="12"/>
      <c r="BC548" s="12"/>
      <c r="BD548" s="11">
        <v>231</v>
      </c>
      <c r="BE548" s="13">
        <v>9585.4</v>
      </c>
      <c r="BF548" s="11">
        <v>13</v>
      </c>
      <c r="BG548" s="11"/>
      <c r="BH548" s="13"/>
      <c r="BI548" s="11"/>
      <c r="BJ548" s="12"/>
      <c r="BK548" s="12"/>
      <c r="BL548" s="11">
        <v>16</v>
      </c>
      <c r="BM548" s="13">
        <v>658.78</v>
      </c>
      <c r="BN548" s="11">
        <v>12</v>
      </c>
      <c r="BO548" s="11"/>
      <c r="BP548" s="13"/>
      <c r="BQ548" s="11"/>
      <c r="BR548" s="12"/>
      <c r="BS548" s="12"/>
      <c r="BT548" s="11">
        <v>79</v>
      </c>
      <c r="BU548" s="13">
        <v>3439.25</v>
      </c>
      <c r="BV548" s="11">
        <v>13</v>
      </c>
      <c r="BW548" s="11"/>
      <c r="BX548" s="13"/>
      <c r="BY548" s="11"/>
      <c r="BZ548" s="12"/>
      <c r="CA548" s="12"/>
      <c r="CB548" s="11">
        <v>153</v>
      </c>
      <c r="CC548" s="13">
        <v>6339.32</v>
      </c>
      <c r="CD548" s="11">
        <v>12</v>
      </c>
      <c r="CE548" s="11"/>
      <c r="CF548" s="13"/>
      <c r="CG548" s="11"/>
      <c r="CH548" s="12"/>
      <c r="CI548" s="12"/>
      <c r="CJ548" s="11"/>
      <c r="CK548" s="13"/>
      <c r="CL548" s="11">
        <v>1</v>
      </c>
      <c r="CM548" s="11"/>
      <c r="CN548" s="13"/>
      <c r="CO548" s="11"/>
      <c r="CP548" s="12"/>
      <c r="CQ548" s="12"/>
      <c r="CR548" s="11"/>
      <c r="CS548" s="13"/>
      <c r="CT548" s="11"/>
      <c r="CU548" s="11"/>
      <c r="CV548" s="13"/>
      <c r="CW548" s="11"/>
      <c r="CX548" s="12"/>
      <c r="CY548" s="12"/>
      <c r="CZ548" s="11"/>
      <c r="DA548" s="13"/>
      <c r="DB548" s="11"/>
      <c r="DC548" s="11"/>
      <c r="DD548" s="13"/>
      <c r="DE548" s="11"/>
      <c r="DF548" s="12"/>
      <c r="DG548" s="12"/>
      <c r="DH548" s="11"/>
      <c r="DI548" s="13"/>
      <c r="DJ548" s="11"/>
      <c r="DK548" s="11"/>
      <c r="DL548" s="13"/>
      <c r="DM548" s="11"/>
      <c r="DN548" s="12"/>
      <c r="DO548" s="12"/>
      <c r="DP548" s="11">
        <v>16</v>
      </c>
      <c r="DQ548" s="13">
        <v>658.78</v>
      </c>
      <c r="DR548" s="11">
        <v>13</v>
      </c>
      <c r="DS548" s="11"/>
      <c r="DT548" s="13"/>
      <c r="DU548" s="11"/>
      <c r="DV548" s="12"/>
      <c r="DW548" s="12"/>
      <c r="DX548" s="11">
        <v>3</v>
      </c>
      <c r="DY548" s="13">
        <v>122.38</v>
      </c>
      <c r="DZ548" s="11">
        <v>12</v>
      </c>
      <c r="EA548" s="11"/>
      <c r="EB548" s="13"/>
      <c r="EC548" s="11"/>
      <c r="ED548" s="12"/>
      <c r="EE548" s="12"/>
      <c r="EF548" s="11"/>
      <c r="EG548" s="13"/>
      <c r="EH548" s="11"/>
      <c r="EI548" s="11"/>
      <c r="EJ548" s="13"/>
      <c r="EK548" s="11"/>
      <c r="EL548" s="12"/>
      <c r="EM548" s="12"/>
      <c r="EN548" s="11">
        <v>1</v>
      </c>
      <c r="EO548" s="13">
        <v>39.99</v>
      </c>
      <c r="EP548" s="11">
        <v>13</v>
      </c>
      <c r="EQ548" s="11"/>
      <c r="ER548" s="13"/>
      <c r="ES548" s="11"/>
      <c r="ET548" s="12"/>
      <c r="EU548" s="12"/>
      <c r="EV548" s="11"/>
      <c r="EW548" s="13"/>
      <c r="EX548" s="11"/>
      <c r="EY548" s="11"/>
      <c r="EZ548" s="13"/>
      <c r="FA548" s="11"/>
      <c r="FB548" s="12"/>
      <c r="FC548" s="12"/>
      <c r="FD548" s="11"/>
      <c r="FE548" s="13"/>
      <c r="FF548" s="11"/>
      <c r="FG548" s="11"/>
      <c r="FH548" s="13"/>
      <c r="FI548" s="11"/>
      <c r="FJ548" s="12"/>
      <c r="FK548" s="12"/>
      <c r="FL548" s="11">
        <v>52</v>
      </c>
      <c r="FM548" s="13">
        <v>2177.78</v>
      </c>
      <c r="FN548" s="11">
        <v>13</v>
      </c>
      <c r="FO548" s="11"/>
      <c r="FP548" s="13"/>
      <c r="FQ548" s="11"/>
      <c r="FR548" s="12"/>
      <c r="FS548" s="12"/>
      <c r="FT548" s="11"/>
      <c r="FU548" s="13"/>
      <c r="FV548" s="11"/>
      <c r="FW548" s="11"/>
      <c r="FX548" s="13"/>
      <c r="FY548" s="11"/>
      <c r="FZ548" s="12"/>
      <c r="GA548" s="12"/>
      <c r="GB548" s="11"/>
      <c r="GC548" s="13"/>
      <c r="GD548" s="11"/>
      <c r="GE548" s="11"/>
      <c r="GF548" s="13"/>
      <c r="GG548" s="11"/>
      <c r="GH548" s="12"/>
      <c r="GI548" s="12"/>
      <c r="GJ548" s="11"/>
      <c r="GK548" s="13"/>
      <c r="GL548" s="11"/>
      <c r="GM548" s="11"/>
      <c r="GN548" s="13"/>
      <c r="GO548" s="11"/>
      <c r="GP548" s="12"/>
      <c r="GQ548" s="12"/>
      <c r="GR548" s="11"/>
      <c r="GS548" s="13"/>
      <c r="GT548" s="11">
        <v>6</v>
      </c>
      <c r="GU548" s="11"/>
      <c r="GV548" s="13"/>
      <c r="GW548" s="11"/>
      <c r="GX548" s="12"/>
      <c r="GY548" s="12"/>
      <c r="GZ548" s="11"/>
      <c r="HA548" s="13"/>
      <c r="HB548" s="11"/>
      <c r="HC548" s="11"/>
      <c r="HD548" s="13"/>
      <c r="HE548" s="11"/>
      <c r="HF548" s="12"/>
      <c r="HG548" s="12"/>
      <c r="HH548" s="11"/>
      <c r="HI548" s="13"/>
      <c r="HJ548" s="11"/>
      <c r="HK548" s="11"/>
      <c r="HL548" s="13"/>
      <c r="HM548" s="11"/>
      <c r="HN548" s="12"/>
      <c r="HO548" s="12"/>
      <c r="HP548" s="11">
        <v>9</v>
      </c>
      <c r="HQ548" s="13">
        <v>359.1</v>
      </c>
      <c r="HR548" s="11">
        <v>5</v>
      </c>
      <c r="HS548" s="11"/>
      <c r="HT548" s="13"/>
      <c r="HU548" s="11"/>
      <c r="HV548" s="12"/>
      <c r="HW548" s="12"/>
      <c r="HX548" s="11">
        <v>2</v>
      </c>
      <c r="HY548" s="13">
        <v>79.8</v>
      </c>
      <c r="HZ548" s="11">
        <v>6</v>
      </c>
      <c r="IA548" s="11"/>
      <c r="IB548" s="13"/>
      <c r="IC548" s="11"/>
      <c r="ID548" s="12"/>
      <c r="IE548" s="12"/>
      <c r="IF548" s="11"/>
      <c r="IG548" s="13"/>
      <c r="IH548" s="11"/>
      <c r="II548" s="11"/>
      <c r="IJ548" s="13"/>
      <c r="IK548" s="11"/>
      <c r="IL548" s="12"/>
      <c r="IM548" s="12"/>
      <c r="IN548" s="11"/>
      <c r="IO548" s="13"/>
      <c r="IP548" s="11"/>
      <c r="IQ548" s="11"/>
      <c r="IR548" s="13"/>
      <c r="IS548" s="11"/>
      <c r="IT548" s="12"/>
      <c r="IU548" s="12"/>
      <c r="IV548" s="11"/>
      <c r="IW548" s="13"/>
      <c r="IX548" s="11">
        <v>5</v>
      </c>
      <c r="IY548" s="11"/>
      <c r="IZ548" s="13"/>
      <c r="JA548" s="11"/>
      <c r="JB548" s="12"/>
      <c r="JC548" s="12"/>
      <c r="JD548" s="11"/>
      <c r="JE548" s="13"/>
      <c r="JF548" s="11"/>
      <c r="JG548" s="11"/>
      <c r="JH548" s="13"/>
      <c r="JI548" s="11"/>
      <c r="JJ548" s="12"/>
      <c r="JK548" s="12"/>
      <c r="JL548" s="11"/>
      <c r="JM548" s="13"/>
      <c r="JN548" s="11"/>
      <c r="JO548" s="11"/>
      <c r="JP548" s="13"/>
      <c r="JQ548" s="11"/>
      <c r="JR548" s="12"/>
      <c r="JS548" s="12"/>
      <c r="JT548" s="11"/>
      <c r="JU548" s="13"/>
      <c r="JV548" s="11">
        <v>7</v>
      </c>
      <c r="JW548" s="11"/>
      <c r="JX548" s="13"/>
      <c r="JY548" s="11"/>
      <c r="JZ548" s="12"/>
      <c r="KA548" s="12"/>
      <c r="KB548" s="11"/>
      <c r="KC548" s="13"/>
      <c r="KD548" s="11"/>
      <c r="KE548" s="11"/>
      <c r="KF548" s="13"/>
      <c r="KG548" s="11"/>
      <c r="KH548" s="12"/>
      <c r="KI548" s="12"/>
      <c r="KJ548" s="11"/>
      <c r="KK548" s="13"/>
      <c r="KL548" s="11"/>
      <c r="KM548" s="11"/>
      <c r="KN548" s="13"/>
      <c r="KO548" s="11"/>
      <c r="KP548" s="12"/>
      <c r="KQ548" s="12"/>
      <c r="KR548" s="11"/>
      <c r="KS548" s="13"/>
      <c r="KT548" s="11"/>
      <c r="KU548" s="11"/>
      <c r="KV548" s="13"/>
      <c r="KW548" s="11"/>
      <c r="KX548" s="12"/>
      <c r="KY548" s="12"/>
      <c r="KZ548" s="11"/>
      <c r="LA548" s="13"/>
      <c r="LB548" s="11"/>
      <c r="LC548" s="11"/>
      <c r="LD548" s="13"/>
      <c r="LE548" s="11"/>
      <c r="LF548" s="12"/>
      <c r="LG548" s="12"/>
      <c r="LH548" s="11"/>
      <c r="LI548" s="13"/>
      <c r="LJ548" s="11"/>
      <c r="LK548" s="11"/>
      <c r="LL548" s="13"/>
      <c r="LM548" s="11"/>
      <c r="LN548" s="12"/>
      <c r="LO548" s="12"/>
      <c r="LP548" s="11"/>
      <c r="LQ548" s="13"/>
      <c r="LR548" s="11"/>
      <c r="LS548" s="11"/>
      <c r="LT548" s="13"/>
      <c r="LU548" s="11"/>
      <c r="LV548" s="12"/>
      <c r="LW548" s="12"/>
    </row>
    <row r="549">
      <c r="A549" s="10" t="s">
        <v>287</v>
      </c>
      <c r="B549" s="10" t="s">
        <v>87</v>
      </c>
      <c r="C549" s="10" t="s">
        <v>189</v>
      </c>
      <c r="D549" s="11">
        <v>1744</v>
      </c>
      <c r="E549" s="11">
        <f>=ROUNDDOWN(32.2962962962963,0)</f>
      </c>
      <c r="F549" s="11">
        <v>1139</v>
      </c>
      <c r="G549" s="12">
        <v>0.9456</v>
      </c>
      <c r="H549" s="11"/>
      <c r="I549" s="11">
        <f>=ROUNDDOWN({0},0)</f>
      </c>
      <c r="J549" s="11"/>
      <c r="K549" s="12"/>
      <c r="L549" s="11">
        <v>730</v>
      </c>
      <c r="M549" s="13">
        <v>18974.95</v>
      </c>
      <c r="N549" s="11">
        <v>4</v>
      </c>
      <c r="O549" s="14">
        <v>4743.74</v>
      </c>
      <c r="P549" s="11"/>
      <c r="Q549" s="13"/>
      <c r="R549" s="11"/>
      <c r="S549" s="14"/>
      <c r="T549" s="12"/>
      <c r="U549" s="12"/>
      <c r="V549" s="12"/>
      <c r="W549" s="12"/>
      <c r="X549" s="11"/>
      <c r="Y549" s="13"/>
      <c r="Z549" s="11"/>
      <c r="AA549" s="11"/>
      <c r="AB549" s="13"/>
      <c r="AC549" s="11"/>
      <c r="AD549" s="12"/>
      <c r="AE549" s="12"/>
      <c r="AF549" s="11">
        <v>5</v>
      </c>
      <c r="AG549" s="13">
        <v>104.23</v>
      </c>
      <c r="AH549" s="11">
        <v>4</v>
      </c>
      <c r="AI549" s="11"/>
      <c r="AJ549" s="13"/>
      <c r="AK549" s="11"/>
      <c r="AL549" s="12"/>
      <c r="AM549" s="12"/>
      <c r="AN549" s="11">
        <v>40</v>
      </c>
      <c r="AO549" s="13">
        <v>1016</v>
      </c>
      <c r="AP549" s="11">
        <v>4</v>
      </c>
      <c r="AQ549" s="11"/>
      <c r="AR549" s="13"/>
      <c r="AS549" s="11"/>
      <c r="AT549" s="12"/>
      <c r="AU549" s="12"/>
      <c r="AV549" s="11">
        <v>24</v>
      </c>
      <c r="AW549" s="13">
        <v>628.32</v>
      </c>
      <c r="AX549" s="11">
        <v>4</v>
      </c>
      <c r="AY549" s="11"/>
      <c r="AZ549" s="13"/>
      <c r="BA549" s="11"/>
      <c r="BB549" s="12"/>
      <c r="BC549" s="12"/>
      <c r="BD549" s="11">
        <v>106</v>
      </c>
      <c r="BE549" s="13">
        <v>2698.76</v>
      </c>
      <c r="BF549" s="11">
        <v>4</v>
      </c>
      <c r="BG549" s="11"/>
      <c r="BH549" s="13"/>
      <c r="BI549" s="11"/>
      <c r="BJ549" s="12"/>
      <c r="BK549" s="12"/>
      <c r="BL549" s="11">
        <v>16</v>
      </c>
      <c r="BM549" s="13">
        <v>407.36</v>
      </c>
      <c r="BN549" s="11">
        <v>4</v>
      </c>
      <c r="BO549" s="11"/>
      <c r="BP549" s="13"/>
      <c r="BQ549" s="11"/>
      <c r="BR549" s="12"/>
      <c r="BS549" s="12"/>
      <c r="BT549" s="11">
        <v>58</v>
      </c>
      <c r="BU549" s="13">
        <v>1598.26</v>
      </c>
      <c r="BV549" s="11">
        <v>4</v>
      </c>
      <c r="BW549" s="11"/>
      <c r="BX549" s="13"/>
      <c r="BY549" s="11"/>
      <c r="BZ549" s="12"/>
      <c r="CA549" s="12"/>
      <c r="CB549" s="11">
        <v>87</v>
      </c>
      <c r="CC549" s="13">
        <v>2215.02</v>
      </c>
      <c r="CD549" s="11">
        <v>4</v>
      </c>
      <c r="CE549" s="11"/>
      <c r="CF549" s="13"/>
      <c r="CG549" s="11"/>
      <c r="CH549" s="12"/>
      <c r="CI549" s="12"/>
      <c r="CJ549" s="11"/>
      <c r="CK549" s="13"/>
      <c r="CL549" s="11"/>
      <c r="CM549" s="11"/>
      <c r="CN549" s="13"/>
      <c r="CO549" s="11"/>
      <c r="CP549" s="12"/>
      <c r="CQ549" s="12"/>
      <c r="CR549" s="11"/>
      <c r="CS549" s="13"/>
      <c r="CT549" s="11"/>
      <c r="CU549" s="11"/>
      <c r="CV549" s="13"/>
      <c r="CW549" s="11"/>
      <c r="CX549" s="12"/>
      <c r="CY549" s="12"/>
      <c r="CZ549" s="11"/>
      <c r="DA549" s="13"/>
      <c r="DB549" s="11"/>
      <c r="DC549" s="11"/>
      <c r="DD549" s="13"/>
      <c r="DE549" s="11"/>
      <c r="DF549" s="12"/>
      <c r="DG549" s="12"/>
      <c r="DH549" s="11"/>
      <c r="DI549" s="13"/>
      <c r="DJ549" s="11"/>
      <c r="DK549" s="11"/>
      <c r="DL549" s="13"/>
      <c r="DM549" s="11"/>
      <c r="DN549" s="12"/>
      <c r="DO549" s="12"/>
      <c r="DP549" s="11">
        <v>8</v>
      </c>
      <c r="DQ549" s="13">
        <v>203.68</v>
      </c>
      <c r="DR549" s="11">
        <v>4</v>
      </c>
      <c r="DS549" s="11"/>
      <c r="DT549" s="13"/>
      <c r="DU549" s="11"/>
      <c r="DV549" s="12"/>
      <c r="DW549" s="12"/>
      <c r="DX549" s="11">
        <v>3</v>
      </c>
      <c r="DY549" s="13">
        <v>76.38</v>
      </c>
      <c r="DZ549" s="11">
        <v>4</v>
      </c>
      <c r="EA549" s="11"/>
      <c r="EB549" s="13"/>
      <c r="EC549" s="11"/>
      <c r="ED549" s="12"/>
      <c r="EE549" s="12"/>
      <c r="EF549" s="11"/>
      <c r="EG549" s="13"/>
      <c r="EH549" s="11"/>
      <c r="EI549" s="11"/>
      <c r="EJ549" s="13"/>
      <c r="EK549" s="11"/>
      <c r="EL549" s="12"/>
      <c r="EM549" s="12"/>
      <c r="EN549" s="11"/>
      <c r="EO549" s="13"/>
      <c r="EP549" s="11">
        <v>4</v>
      </c>
      <c r="EQ549" s="11"/>
      <c r="ER549" s="13"/>
      <c r="ES549" s="11"/>
      <c r="ET549" s="12"/>
      <c r="EU549" s="12"/>
      <c r="EV549" s="11"/>
      <c r="EW549" s="13"/>
      <c r="EX549" s="11"/>
      <c r="EY549" s="11"/>
      <c r="EZ549" s="13"/>
      <c r="FA549" s="11"/>
      <c r="FB549" s="12"/>
      <c r="FC549" s="12"/>
      <c r="FD549" s="11"/>
      <c r="FE549" s="13"/>
      <c r="FF549" s="11"/>
      <c r="FG549" s="11"/>
      <c r="FH549" s="13"/>
      <c r="FI549" s="11"/>
      <c r="FJ549" s="12"/>
      <c r="FK549" s="12"/>
      <c r="FL549" s="11">
        <v>383</v>
      </c>
      <c r="FM549" s="13">
        <v>10026.94</v>
      </c>
      <c r="FN549" s="11">
        <v>4</v>
      </c>
      <c r="FO549" s="11"/>
      <c r="FP549" s="13"/>
      <c r="FQ549" s="11"/>
      <c r="FR549" s="12"/>
      <c r="FS549" s="12"/>
      <c r="FT549" s="11"/>
      <c r="FU549" s="13"/>
      <c r="FV549" s="11"/>
      <c r="FW549" s="11"/>
      <c r="FX549" s="13"/>
      <c r="FY549" s="11"/>
      <c r="FZ549" s="12"/>
      <c r="GA549" s="12"/>
      <c r="GB549" s="11"/>
      <c r="GC549" s="13"/>
      <c r="GD549" s="11"/>
      <c r="GE549" s="11"/>
      <c r="GF549" s="13"/>
      <c r="GG549" s="11"/>
      <c r="GH549" s="12"/>
      <c r="GI549" s="12"/>
      <c r="GJ549" s="11"/>
      <c r="GK549" s="13"/>
      <c r="GL549" s="11"/>
      <c r="GM549" s="11"/>
      <c r="GN549" s="13"/>
      <c r="GO549" s="11"/>
      <c r="GP549" s="12"/>
      <c r="GQ549" s="12"/>
      <c r="GR549" s="11"/>
      <c r="GS549" s="13"/>
      <c r="GT549" s="11">
        <v>4</v>
      </c>
      <c r="GU549" s="11"/>
      <c r="GV549" s="13"/>
      <c r="GW549" s="11"/>
      <c r="GX549" s="12"/>
      <c r="GY549" s="12"/>
      <c r="GZ549" s="11"/>
      <c r="HA549" s="13"/>
      <c r="HB549" s="11"/>
      <c r="HC549" s="11"/>
      <c r="HD549" s="13"/>
      <c r="HE549" s="11"/>
      <c r="HF549" s="12"/>
      <c r="HG549" s="12"/>
      <c r="HH549" s="11"/>
      <c r="HI549" s="13"/>
      <c r="HJ549" s="11"/>
      <c r="HK549" s="11"/>
      <c r="HL549" s="13"/>
      <c r="HM549" s="11"/>
      <c r="HN549" s="12"/>
      <c r="HO549" s="12"/>
      <c r="HP549" s="11"/>
      <c r="HQ549" s="13"/>
      <c r="HR549" s="11"/>
      <c r="HS549" s="11"/>
      <c r="HT549" s="13"/>
      <c r="HU549" s="11"/>
      <c r="HV549" s="12"/>
      <c r="HW549" s="12"/>
      <c r="HX549" s="11"/>
      <c r="HY549" s="13"/>
      <c r="HZ549" s="11"/>
      <c r="IA549" s="11"/>
      <c r="IB549" s="13"/>
      <c r="IC549" s="11"/>
      <c r="ID549" s="12"/>
      <c r="IE549" s="12"/>
      <c r="IF549" s="11"/>
      <c r="IG549" s="13"/>
      <c r="IH549" s="11"/>
      <c r="II549" s="11"/>
      <c r="IJ549" s="13"/>
      <c r="IK549" s="11"/>
      <c r="IL549" s="12"/>
      <c r="IM549" s="12"/>
      <c r="IN549" s="11"/>
      <c r="IO549" s="13"/>
      <c r="IP549" s="11"/>
      <c r="IQ549" s="11"/>
      <c r="IR549" s="13"/>
      <c r="IS549" s="11"/>
      <c r="IT549" s="12"/>
      <c r="IU549" s="12"/>
      <c r="IV549" s="11"/>
      <c r="IW549" s="13"/>
      <c r="IX549" s="11"/>
      <c r="IY549" s="11"/>
      <c r="IZ549" s="13"/>
      <c r="JA549" s="11"/>
      <c r="JB549" s="12"/>
      <c r="JC549" s="12"/>
      <c r="JD549" s="11"/>
      <c r="JE549" s="13"/>
      <c r="JF549" s="11"/>
      <c r="JG549" s="11"/>
      <c r="JH549" s="13"/>
      <c r="JI549" s="11"/>
      <c r="JJ549" s="12"/>
      <c r="JK549" s="12"/>
      <c r="JL549" s="11"/>
      <c r="JM549" s="13"/>
      <c r="JN549" s="11"/>
      <c r="JO549" s="11"/>
      <c r="JP549" s="13"/>
      <c r="JQ549" s="11"/>
      <c r="JR549" s="12"/>
      <c r="JS549" s="12"/>
      <c r="JT549" s="11"/>
      <c r="JU549" s="13"/>
      <c r="JV549" s="11"/>
      <c r="JW549" s="11"/>
      <c r="JX549" s="13"/>
      <c r="JY549" s="11"/>
      <c r="JZ549" s="12"/>
      <c r="KA549" s="12"/>
      <c r="KB549" s="11"/>
      <c r="KC549" s="13"/>
      <c r="KD549" s="11"/>
      <c r="KE549" s="11"/>
      <c r="KF549" s="13"/>
      <c r="KG549" s="11"/>
      <c r="KH549" s="12"/>
      <c r="KI549" s="12"/>
      <c r="KJ549" s="11"/>
      <c r="KK549" s="13"/>
      <c r="KL549" s="11"/>
      <c r="KM549" s="11"/>
      <c r="KN549" s="13"/>
      <c r="KO549" s="11"/>
      <c r="KP549" s="12"/>
      <c r="KQ549" s="12"/>
      <c r="KR549" s="11"/>
      <c r="KS549" s="13"/>
      <c r="KT549" s="11"/>
      <c r="KU549" s="11"/>
      <c r="KV549" s="13"/>
      <c r="KW549" s="11"/>
      <c r="KX549" s="12"/>
      <c r="KY549" s="12"/>
      <c r="KZ549" s="11"/>
      <c r="LA549" s="13"/>
      <c r="LB549" s="11"/>
      <c r="LC549" s="11"/>
      <c r="LD549" s="13"/>
      <c r="LE549" s="11"/>
      <c r="LF549" s="12"/>
      <c r="LG549" s="12"/>
      <c r="LH549" s="11"/>
      <c r="LI549" s="13"/>
      <c r="LJ549" s="11"/>
      <c r="LK549" s="11"/>
      <c r="LL549" s="13"/>
      <c r="LM549" s="11"/>
      <c r="LN549" s="12"/>
      <c r="LO549" s="12"/>
      <c r="LP549" s="11"/>
      <c r="LQ549" s="13"/>
      <c r="LR549" s="11"/>
      <c r="LS549" s="11"/>
      <c r="LT549" s="13"/>
      <c r="LU549" s="11"/>
      <c r="LV549" s="12"/>
      <c r="LW549" s="12"/>
    </row>
    <row r="550">
      <c r="A550" s="10" t="s">
        <v>287</v>
      </c>
      <c r="B550" s="10" t="s">
        <v>88</v>
      </c>
      <c r="C550" s="10" t="s">
        <v>77</v>
      </c>
      <c r="D550" s="11">
        <v>1744</v>
      </c>
      <c r="E550" s="11">
        <f>=ROUNDDOWN({0},0)</f>
      </c>
      <c r="F550" s="11">
        <v>1139</v>
      </c>
      <c r="G550" s="12"/>
      <c r="H550" s="11"/>
      <c r="I550" s="11">
        <f>=ROUNDDOWN({0},0)</f>
      </c>
      <c r="J550" s="11"/>
      <c r="K550" s="12"/>
      <c r="L550" s="11">
        <v>730</v>
      </c>
      <c r="M550" s="13">
        <v>18974.95</v>
      </c>
      <c r="N550" s="11">
        <v>4</v>
      </c>
      <c r="O550" s="14">
        <v>4743.74</v>
      </c>
      <c r="P550" s="11"/>
      <c r="Q550" s="13"/>
      <c r="R550" s="11"/>
      <c r="S550" s="14"/>
      <c r="T550" s="12"/>
      <c r="U550" s="12"/>
      <c r="V550" s="12"/>
      <c r="W550" s="12"/>
      <c r="X550" s="11"/>
      <c r="Y550" s="13"/>
      <c r="Z550" s="11"/>
      <c r="AA550" s="11"/>
      <c r="AB550" s="13"/>
      <c r="AC550" s="11"/>
      <c r="AD550" s="12"/>
      <c r="AE550" s="12"/>
      <c r="AF550" s="11">
        <v>5</v>
      </c>
      <c r="AG550" s="13">
        <v>104.23</v>
      </c>
      <c r="AH550" s="11">
        <v>4</v>
      </c>
      <c r="AI550" s="11"/>
      <c r="AJ550" s="13"/>
      <c r="AK550" s="11"/>
      <c r="AL550" s="12"/>
      <c r="AM550" s="12"/>
      <c r="AN550" s="11">
        <v>40</v>
      </c>
      <c r="AO550" s="13">
        <v>1016</v>
      </c>
      <c r="AP550" s="11">
        <v>4</v>
      </c>
      <c r="AQ550" s="11"/>
      <c r="AR550" s="13"/>
      <c r="AS550" s="11"/>
      <c r="AT550" s="12"/>
      <c r="AU550" s="12"/>
      <c r="AV550" s="11">
        <v>24</v>
      </c>
      <c r="AW550" s="13">
        <v>628.32</v>
      </c>
      <c r="AX550" s="11">
        <v>4</v>
      </c>
      <c r="AY550" s="11"/>
      <c r="AZ550" s="13"/>
      <c r="BA550" s="11"/>
      <c r="BB550" s="12"/>
      <c r="BC550" s="12"/>
      <c r="BD550" s="11">
        <v>106</v>
      </c>
      <c r="BE550" s="13">
        <v>2698.76</v>
      </c>
      <c r="BF550" s="11">
        <v>4</v>
      </c>
      <c r="BG550" s="11"/>
      <c r="BH550" s="13"/>
      <c r="BI550" s="11"/>
      <c r="BJ550" s="12"/>
      <c r="BK550" s="12"/>
      <c r="BL550" s="11">
        <v>16</v>
      </c>
      <c r="BM550" s="13">
        <v>407.36</v>
      </c>
      <c r="BN550" s="11">
        <v>4</v>
      </c>
      <c r="BO550" s="11"/>
      <c r="BP550" s="13"/>
      <c r="BQ550" s="11"/>
      <c r="BR550" s="12"/>
      <c r="BS550" s="12"/>
      <c r="BT550" s="11">
        <v>58</v>
      </c>
      <c r="BU550" s="13">
        <v>1598.26</v>
      </c>
      <c r="BV550" s="11">
        <v>4</v>
      </c>
      <c r="BW550" s="11"/>
      <c r="BX550" s="13"/>
      <c r="BY550" s="11"/>
      <c r="BZ550" s="12"/>
      <c r="CA550" s="12"/>
      <c r="CB550" s="11">
        <v>87</v>
      </c>
      <c r="CC550" s="13">
        <v>2215.02</v>
      </c>
      <c r="CD550" s="11">
        <v>4</v>
      </c>
      <c r="CE550" s="11"/>
      <c r="CF550" s="13"/>
      <c r="CG550" s="11"/>
      <c r="CH550" s="12"/>
      <c r="CI550" s="12"/>
      <c r="CJ550" s="11"/>
      <c r="CK550" s="13"/>
      <c r="CL550" s="11"/>
      <c r="CM550" s="11"/>
      <c r="CN550" s="13"/>
      <c r="CO550" s="11"/>
      <c r="CP550" s="12"/>
      <c r="CQ550" s="12"/>
      <c r="CR550" s="11"/>
      <c r="CS550" s="13"/>
      <c r="CT550" s="11"/>
      <c r="CU550" s="11"/>
      <c r="CV550" s="13"/>
      <c r="CW550" s="11"/>
      <c r="CX550" s="12"/>
      <c r="CY550" s="12"/>
      <c r="CZ550" s="11"/>
      <c r="DA550" s="13"/>
      <c r="DB550" s="11"/>
      <c r="DC550" s="11"/>
      <c r="DD550" s="13"/>
      <c r="DE550" s="11"/>
      <c r="DF550" s="12"/>
      <c r="DG550" s="12"/>
      <c r="DH550" s="11"/>
      <c r="DI550" s="13"/>
      <c r="DJ550" s="11"/>
      <c r="DK550" s="11"/>
      <c r="DL550" s="13"/>
      <c r="DM550" s="11"/>
      <c r="DN550" s="12"/>
      <c r="DO550" s="12"/>
      <c r="DP550" s="11">
        <v>8</v>
      </c>
      <c r="DQ550" s="13">
        <v>203.68</v>
      </c>
      <c r="DR550" s="11">
        <v>4</v>
      </c>
      <c r="DS550" s="11"/>
      <c r="DT550" s="13"/>
      <c r="DU550" s="11"/>
      <c r="DV550" s="12"/>
      <c r="DW550" s="12"/>
      <c r="DX550" s="11">
        <v>3</v>
      </c>
      <c r="DY550" s="13">
        <v>76.38</v>
      </c>
      <c r="DZ550" s="11">
        <v>4</v>
      </c>
      <c r="EA550" s="11"/>
      <c r="EB550" s="13"/>
      <c r="EC550" s="11"/>
      <c r="ED550" s="12"/>
      <c r="EE550" s="12"/>
      <c r="EF550" s="11"/>
      <c r="EG550" s="13"/>
      <c r="EH550" s="11"/>
      <c r="EI550" s="11"/>
      <c r="EJ550" s="13"/>
      <c r="EK550" s="11"/>
      <c r="EL550" s="12"/>
      <c r="EM550" s="12"/>
      <c r="EN550" s="11"/>
      <c r="EO550" s="13"/>
      <c r="EP550" s="11">
        <v>4</v>
      </c>
      <c r="EQ550" s="11"/>
      <c r="ER550" s="13"/>
      <c r="ES550" s="11"/>
      <c r="ET550" s="12"/>
      <c r="EU550" s="12"/>
      <c r="EV550" s="11"/>
      <c r="EW550" s="13"/>
      <c r="EX550" s="11"/>
      <c r="EY550" s="11"/>
      <c r="EZ550" s="13"/>
      <c r="FA550" s="11"/>
      <c r="FB550" s="12"/>
      <c r="FC550" s="12"/>
      <c r="FD550" s="11"/>
      <c r="FE550" s="13"/>
      <c r="FF550" s="11"/>
      <c r="FG550" s="11"/>
      <c r="FH550" s="13"/>
      <c r="FI550" s="11"/>
      <c r="FJ550" s="12"/>
      <c r="FK550" s="12"/>
      <c r="FL550" s="11">
        <v>383</v>
      </c>
      <c r="FM550" s="13">
        <v>10026.94</v>
      </c>
      <c r="FN550" s="11">
        <v>4</v>
      </c>
      <c r="FO550" s="11"/>
      <c r="FP550" s="13"/>
      <c r="FQ550" s="11"/>
      <c r="FR550" s="12"/>
      <c r="FS550" s="12"/>
      <c r="FT550" s="11"/>
      <c r="FU550" s="13"/>
      <c r="FV550" s="11"/>
      <c r="FW550" s="11"/>
      <c r="FX550" s="13"/>
      <c r="FY550" s="11"/>
      <c r="FZ550" s="12"/>
      <c r="GA550" s="12"/>
      <c r="GB550" s="11"/>
      <c r="GC550" s="13"/>
      <c r="GD550" s="11"/>
      <c r="GE550" s="11"/>
      <c r="GF550" s="13"/>
      <c r="GG550" s="11"/>
      <c r="GH550" s="12"/>
      <c r="GI550" s="12"/>
      <c r="GJ550" s="11"/>
      <c r="GK550" s="13"/>
      <c r="GL550" s="11"/>
      <c r="GM550" s="11"/>
      <c r="GN550" s="13"/>
      <c r="GO550" s="11"/>
      <c r="GP550" s="12"/>
      <c r="GQ550" s="12"/>
      <c r="GR550" s="11"/>
      <c r="GS550" s="13"/>
      <c r="GT550" s="11">
        <v>4</v>
      </c>
      <c r="GU550" s="11"/>
      <c r="GV550" s="13"/>
      <c r="GW550" s="11"/>
      <c r="GX550" s="12"/>
      <c r="GY550" s="12"/>
      <c r="GZ550" s="11"/>
      <c r="HA550" s="13"/>
      <c r="HB550" s="11"/>
      <c r="HC550" s="11"/>
      <c r="HD550" s="13"/>
      <c r="HE550" s="11"/>
      <c r="HF550" s="12"/>
      <c r="HG550" s="12"/>
      <c r="HH550" s="11"/>
      <c r="HI550" s="13"/>
      <c r="HJ550" s="11"/>
      <c r="HK550" s="11"/>
      <c r="HL550" s="13"/>
      <c r="HM550" s="11"/>
      <c r="HN550" s="12"/>
      <c r="HO550" s="12"/>
      <c r="HP550" s="11"/>
      <c r="HQ550" s="13"/>
      <c r="HR550" s="11"/>
      <c r="HS550" s="11"/>
      <c r="HT550" s="13"/>
      <c r="HU550" s="11"/>
      <c r="HV550" s="12"/>
      <c r="HW550" s="12"/>
      <c r="HX550" s="11"/>
      <c r="HY550" s="13"/>
      <c r="HZ550" s="11"/>
      <c r="IA550" s="11"/>
      <c r="IB550" s="13"/>
      <c r="IC550" s="11"/>
      <c r="ID550" s="12"/>
      <c r="IE550" s="12"/>
      <c r="IF550" s="11"/>
      <c r="IG550" s="13"/>
      <c r="IH550" s="11"/>
      <c r="II550" s="11"/>
      <c r="IJ550" s="13"/>
      <c r="IK550" s="11"/>
      <c r="IL550" s="12"/>
      <c r="IM550" s="12"/>
      <c r="IN550" s="11"/>
      <c r="IO550" s="13"/>
      <c r="IP550" s="11"/>
      <c r="IQ550" s="11"/>
      <c r="IR550" s="13"/>
      <c r="IS550" s="11"/>
      <c r="IT550" s="12"/>
      <c r="IU550" s="12"/>
      <c r="IV550" s="11"/>
      <c r="IW550" s="13"/>
      <c r="IX550" s="11"/>
      <c r="IY550" s="11"/>
      <c r="IZ550" s="13"/>
      <c r="JA550" s="11"/>
      <c r="JB550" s="12"/>
      <c r="JC550" s="12"/>
      <c r="JD550" s="11"/>
      <c r="JE550" s="13"/>
      <c r="JF550" s="11"/>
      <c r="JG550" s="11"/>
      <c r="JH550" s="13"/>
      <c r="JI550" s="11"/>
      <c r="JJ550" s="12"/>
      <c r="JK550" s="12"/>
      <c r="JL550" s="11"/>
      <c r="JM550" s="13"/>
      <c r="JN550" s="11"/>
      <c r="JO550" s="11"/>
      <c r="JP550" s="13"/>
      <c r="JQ550" s="11"/>
      <c r="JR550" s="12"/>
      <c r="JS550" s="12"/>
      <c r="JT550" s="11"/>
      <c r="JU550" s="13"/>
      <c r="JV550" s="11"/>
      <c r="JW550" s="11"/>
      <c r="JX550" s="13"/>
      <c r="JY550" s="11"/>
      <c r="JZ550" s="12"/>
      <c r="KA550" s="12"/>
      <c r="KB550" s="11"/>
      <c r="KC550" s="13"/>
      <c r="KD550" s="11"/>
      <c r="KE550" s="11"/>
      <c r="KF550" s="13"/>
      <c r="KG550" s="11"/>
      <c r="KH550" s="12"/>
      <c r="KI550" s="12"/>
      <c r="KJ550" s="11"/>
      <c r="KK550" s="13"/>
      <c r="KL550" s="11"/>
      <c r="KM550" s="11"/>
      <c r="KN550" s="13"/>
      <c r="KO550" s="11"/>
      <c r="KP550" s="12"/>
      <c r="KQ550" s="12"/>
      <c r="KR550" s="11"/>
      <c r="KS550" s="13"/>
      <c r="KT550" s="11"/>
      <c r="KU550" s="11"/>
      <c r="KV550" s="13"/>
      <c r="KW550" s="11"/>
      <c r="KX550" s="12"/>
      <c r="KY550" s="12"/>
      <c r="KZ550" s="11"/>
      <c r="LA550" s="13"/>
      <c r="LB550" s="11"/>
      <c r="LC550" s="11"/>
      <c r="LD550" s="13"/>
      <c r="LE550" s="11"/>
      <c r="LF550" s="12"/>
      <c r="LG550" s="12"/>
      <c r="LH550" s="11"/>
      <c r="LI550" s="13"/>
      <c r="LJ550" s="11"/>
      <c r="LK550" s="11"/>
      <c r="LL550" s="13"/>
      <c r="LM550" s="11"/>
      <c r="LN550" s="12"/>
      <c r="LO550" s="12"/>
      <c r="LP550" s="11"/>
      <c r="LQ550" s="13"/>
      <c r="LR550" s="11"/>
      <c r="LS550" s="11"/>
      <c r="LT550" s="13"/>
      <c r="LU550" s="11"/>
      <c r="LV550" s="12"/>
      <c r="LW550" s="12"/>
    </row>
    <row r="551">
      <c r="A551" s="10" t="s">
        <v>287</v>
      </c>
      <c r="B551" s="10" t="s">
        <v>89</v>
      </c>
      <c r="C551" s="10" t="s">
        <v>189</v>
      </c>
      <c r="D551" s="11">
        <v>1735</v>
      </c>
      <c r="E551" s="11">
        <f>=ROUNDDOWN(72.2916666666667,0)</f>
      </c>
      <c r="F551" s="11"/>
      <c r="G551" s="12">
        <v>1</v>
      </c>
      <c r="H551" s="11"/>
      <c r="I551" s="11">
        <f>=ROUNDDOWN({0},0)</f>
      </c>
      <c r="J551" s="11"/>
      <c r="K551" s="12"/>
      <c r="L551" s="11">
        <v>396</v>
      </c>
      <c r="M551" s="13">
        <v>7964.4</v>
      </c>
      <c r="N551" s="11">
        <v>3</v>
      </c>
      <c r="O551" s="14">
        <v>2654.8</v>
      </c>
      <c r="P551" s="11"/>
      <c r="Q551" s="13"/>
      <c r="R551" s="11"/>
      <c r="S551" s="14"/>
      <c r="T551" s="12"/>
      <c r="U551" s="12"/>
      <c r="V551" s="12"/>
      <c r="W551" s="12"/>
      <c r="X551" s="11">
        <v>396</v>
      </c>
      <c r="Y551" s="13">
        <v>7964.4</v>
      </c>
      <c r="Z551" s="11">
        <v>3</v>
      </c>
      <c r="AA551" s="11"/>
      <c r="AB551" s="13"/>
      <c r="AC551" s="11"/>
      <c r="AD551" s="12"/>
      <c r="AE551" s="12"/>
      <c r="AF551" s="11"/>
      <c r="AG551" s="13"/>
      <c r="AH551" s="11"/>
      <c r="AI551" s="11"/>
      <c r="AJ551" s="13"/>
      <c r="AK551" s="11"/>
      <c r="AL551" s="12"/>
      <c r="AM551" s="12"/>
      <c r="AN551" s="11"/>
      <c r="AO551" s="13"/>
      <c r="AP551" s="11"/>
      <c r="AQ551" s="11"/>
      <c r="AR551" s="13"/>
      <c r="AS551" s="11"/>
      <c r="AT551" s="12"/>
      <c r="AU551" s="12"/>
      <c r="AV551" s="11"/>
      <c r="AW551" s="13"/>
      <c r="AX551" s="11"/>
      <c r="AY551" s="11"/>
      <c r="AZ551" s="13"/>
      <c r="BA551" s="11"/>
      <c r="BB551" s="12"/>
      <c r="BC551" s="12"/>
      <c r="BD551" s="11"/>
      <c r="BE551" s="13"/>
      <c r="BF551" s="11"/>
      <c r="BG551" s="11"/>
      <c r="BH551" s="13"/>
      <c r="BI551" s="11"/>
      <c r="BJ551" s="12"/>
      <c r="BK551" s="12"/>
      <c r="BL551" s="11"/>
      <c r="BM551" s="13"/>
      <c r="BN551" s="11"/>
      <c r="BO551" s="11"/>
      <c r="BP551" s="13"/>
      <c r="BQ551" s="11"/>
      <c r="BR551" s="12"/>
      <c r="BS551" s="12"/>
      <c r="BT551" s="11"/>
      <c r="BU551" s="13"/>
      <c r="BV551" s="11"/>
      <c r="BW551" s="11"/>
      <c r="BX551" s="13"/>
      <c r="BY551" s="11"/>
      <c r="BZ551" s="12"/>
      <c r="CA551" s="12"/>
      <c r="CB551" s="11"/>
      <c r="CC551" s="13"/>
      <c r="CD551" s="11"/>
      <c r="CE551" s="11"/>
      <c r="CF551" s="13"/>
      <c r="CG551" s="11"/>
      <c r="CH551" s="12"/>
      <c r="CI551" s="12"/>
      <c r="CJ551" s="11"/>
      <c r="CK551" s="13"/>
      <c r="CL551" s="11"/>
      <c r="CM551" s="11"/>
      <c r="CN551" s="13"/>
      <c r="CO551" s="11"/>
      <c r="CP551" s="12"/>
      <c r="CQ551" s="12"/>
      <c r="CR551" s="11"/>
      <c r="CS551" s="13"/>
      <c r="CT551" s="11"/>
      <c r="CU551" s="11"/>
      <c r="CV551" s="13"/>
      <c r="CW551" s="11"/>
      <c r="CX551" s="12"/>
      <c r="CY551" s="12"/>
      <c r="CZ551" s="11"/>
      <c r="DA551" s="13"/>
      <c r="DB551" s="11"/>
      <c r="DC551" s="11"/>
      <c r="DD551" s="13"/>
      <c r="DE551" s="11"/>
      <c r="DF551" s="12"/>
      <c r="DG551" s="12"/>
      <c r="DH551" s="11"/>
      <c r="DI551" s="13"/>
      <c r="DJ551" s="11"/>
      <c r="DK551" s="11"/>
      <c r="DL551" s="13"/>
      <c r="DM551" s="11"/>
      <c r="DN551" s="12"/>
      <c r="DO551" s="12"/>
      <c r="DP551" s="11"/>
      <c r="DQ551" s="13"/>
      <c r="DR551" s="11"/>
      <c r="DS551" s="11"/>
      <c r="DT551" s="13"/>
      <c r="DU551" s="11"/>
      <c r="DV551" s="12"/>
      <c r="DW551" s="12"/>
      <c r="DX551" s="11"/>
      <c r="DY551" s="13"/>
      <c r="DZ551" s="11"/>
      <c r="EA551" s="11"/>
      <c r="EB551" s="13"/>
      <c r="EC551" s="11"/>
      <c r="ED551" s="12"/>
      <c r="EE551" s="12"/>
      <c r="EF551" s="11"/>
      <c r="EG551" s="13"/>
      <c r="EH551" s="11"/>
      <c r="EI551" s="11"/>
      <c r="EJ551" s="13"/>
      <c r="EK551" s="11"/>
      <c r="EL551" s="12"/>
      <c r="EM551" s="12"/>
      <c r="EN551" s="11"/>
      <c r="EO551" s="13"/>
      <c r="EP551" s="11"/>
      <c r="EQ551" s="11"/>
      <c r="ER551" s="13"/>
      <c r="ES551" s="11"/>
      <c r="ET551" s="12"/>
      <c r="EU551" s="12"/>
      <c r="EV551" s="11"/>
      <c r="EW551" s="13"/>
      <c r="EX551" s="11"/>
      <c r="EY551" s="11"/>
      <c r="EZ551" s="13"/>
      <c r="FA551" s="11"/>
      <c r="FB551" s="12"/>
      <c r="FC551" s="12"/>
      <c r="FD551" s="11"/>
      <c r="FE551" s="13"/>
      <c r="FF551" s="11"/>
      <c r="FG551" s="11"/>
      <c r="FH551" s="13"/>
      <c r="FI551" s="11"/>
      <c r="FJ551" s="12"/>
      <c r="FK551" s="12"/>
      <c r="FL551" s="11"/>
      <c r="FM551" s="13"/>
      <c r="FN551" s="11"/>
      <c r="FO551" s="11"/>
      <c r="FP551" s="13"/>
      <c r="FQ551" s="11"/>
      <c r="FR551" s="12"/>
      <c r="FS551" s="12"/>
      <c r="FT551" s="11"/>
      <c r="FU551" s="13"/>
      <c r="FV551" s="11"/>
      <c r="FW551" s="11"/>
      <c r="FX551" s="13"/>
      <c r="FY551" s="11"/>
      <c r="FZ551" s="12"/>
      <c r="GA551" s="12"/>
      <c r="GB551" s="11"/>
      <c r="GC551" s="13"/>
      <c r="GD551" s="11"/>
      <c r="GE551" s="11"/>
      <c r="GF551" s="13"/>
      <c r="GG551" s="11"/>
      <c r="GH551" s="12"/>
      <c r="GI551" s="12"/>
      <c r="GJ551" s="11"/>
      <c r="GK551" s="13"/>
      <c r="GL551" s="11"/>
      <c r="GM551" s="11"/>
      <c r="GN551" s="13"/>
      <c r="GO551" s="11"/>
      <c r="GP551" s="12"/>
      <c r="GQ551" s="12"/>
      <c r="GR551" s="11"/>
      <c r="GS551" s="13"/>
      <c r="GT551" s="11"/>
      <c r="GU551" s="11"/>
      <c r="GV551" s="13"/>
      <c r="GW551" s="11"/>
      <c r="GX551" s="12"/>
      <c r="GY551" s="12"/>
      <c r="GZ551" s="11"/>
      <c r="HA551" s="13"/>
      <c r="HB551" s="11"/>
      <c r="HC551" s="11"/>
      <c r="HD551" s="13"/>
      <c r="HE551" s="11"/>
      <c r="HF551" s="12"/>
      <c r="HG551" s="12"/>
      <c r="HH551" s="11"/>
      <c r="HI551" s="13"/>
      <c r="HJ551" s="11"/>
      <c r="HK551" s="11"/>
      <c r="HL551" s="13"/>
      <c r="HM551" s="11"/>
      <c r="HN551" s="12"/>
      <c r="HO551" s="12"/>
      <c r="HP551" s="11"/>
      <c r="HQ551" s="13"/>
      <c r="HR551" s="11"/>
      <c r="HS551" s="11"/>
      <c r="HT551" s="13"/>
      <c r="HU551" s="11"/>
      <c r="HV551" s="12"/>
      <c r="HW551" s="12"/>
      <c r="HX551" s="11"/>
      <c r="HY551" s="13"/>
      <c r="HZ551" s="11"/>
      <c r="IA551" s="11"/>
      <c r="IB551" s="13"/>
      <c r="IC551" s="11"/>
      <c r="ID551" s="12"/>
      <c r="IE551" s="12"/>
      <c r="IF551" s="11"/>
      <c r="IG551" s="13"/>
      <c r="IH551" s="11"/>
      <c r="II551" s="11"/>
      <c r="IJ551" s="13"/>
      <c r="IK551" s="11"/>
      <c r="IL551" s="12"/>
      <c r="IM551" s="12"/>
      <c r="IN551" s="11"/>
      <c r="IO551" s="13"/>
      <c r="IP551" s="11"/>
      <c r="IQ551" s="11"/>
      <c r="IR551" s="13"/>
      <c r="IS551" s="11"/>
      <c r="IT551" s="12"/>
      <c r="IU551" s="12"/>
      <c r="IV551" s="11"/>
      <c r="IW551" s="13"/>
      <c r="IX551" s="11"/>
      <c r="IY551" s="11"/>
      <c r="IZ551" s="13"/>
      <c r="JA551" s="11"/>
      <c r="JB551" s="12"/>
      <c r="JC551" s="12"/>
      <c r="JD551" s="11"/>
      <c r="JE551" s="13"/>
      <c r="JF551" s="11"/>
      <c r="JG551" s="11"/>
      <c r="JH551" s="13"/>
      <c r="JI551" s="11"/>
      <c r="JJ551" s="12"/>
      <c r="JK551" s="12"/>
      <c r="JL551" s="11"/>
      <c r="JM551" s="13"/>
      <c r="JN551" s="11"/>
      <c r="JO551" s="11"/>
      <c r="JP551" s="13"/>
      <c r="JQ551" s="11"/>
      <c r="JR551" s="12"/>
      <c r="JS551" s="12"/>
      <c r="JT551" s="11"/>
      <c r="JU551" s="13"/>
      <c r="JV551" s="11"/>
      <c r="JW551" s="11"/>
      <c r="JX551" s="13"/>
      <c r="JY551" s="11"/>
      <c r="JZ551" s="12"/>
      <c r="KA551" s="12"/>
      <c r="KB551" s="11"/>
      <c r="KC551" s="13"/>
      <c r="KD551" s="11"/>
      <c r="KE551" s="11"/>
      <c r="KF551" s="13"/>
      <c r="KG551" s="11"/>
      <c r="KH551" s="12"/>
      <c r="KI551" s="12"/>
      <c r="KJ551" s="11"/>
      <c r="KK551" s="13"/>
      <c r="KL551" s="11"/>
      <c r="KM551" s="11"/>
      <c r="KN551" s="13"/>
      <c r="KO551" s="11"/>
      <c r="KP551" s="12"/>
      <c r="KQ551" s="12"/>
      <c r="KR551" s="11"/>
      <c r="KS551" s="13"/>
      <c r="KT551" s="11"/>
      <c r="KU551" s="11"/>
      <c r="KV551" s="13"/>
      <c r="KW551" s="11"/>
      <c r="KX551" s="12"/>
      <c r="KY551" s="12"/>
      <c r="KZ551" s="11"/>
      <c r="LA551" s="13"/>
      <c r="LB551" s="11"/>
      <c r="LC551" s="11"/>
      <c r="LD551" s="13"/>
      <c r="LE551" s="11"/>
      <c r="LF551" s="12"/>
      <c r="LG551" s="12"/>
      <c r="LH551" s="11"/>
      <c r="LI551" s="13"/>
      <c r="LJ551" s="11"/>
      <c r="LK551" s="11"/>
      <c r="LL551" s="13"/>
      <c r="LM551" s="11"/>
      <c r="LN551" s="12"/>
      <c r="LO551" s="12"/>
      <c r="LP551" s="11"/>
      <c r="LQ551" s="13"/>
      <c r="LR551" s="11"/>
      <c r="LS551" s="11"/>
      <c r="LT551" s="13"/>
      <c r="LU551" s="11"/>
      <c r="LV551" s="12"/>
      <c r="LW551" s="12"/>
    </row>
    <row r="552">
      <c r="A552" s="10" t="s">
        <v>287</v>
      </c>
      <c r="B552" s="10" t="s">
        <v>90</v>
      </c>
      <c r="C552" s="10" t="s">
        <v>77</v>
      </c>
      <c r="D552" s="11">
        <v>1735</v>
      </c>
      <c r="E552" s="11">
        <f>=ROUNDDOWN({0},0)</f>
      </c>
      <c r="F552" s="11"/>
      <c r="G552" s="12"/>
      <c r="H552" s="11"/>
      <c r="I552" s="11">
        <f>=ROUNDDOWN({0},0)</f>
      </c>
      <c r="J552" s="11"/>
      <c r="K552" s="12"/>
      <c r="L552" s="11">
        <v>396</v>
      </c>
      <c r="M552" s="13">
        <v>7964.4</v>
      </c>
      <c r="N552" s="11">
        <v>3</v>
      </c>
      <c r="O552" s="14">
        <v>2654.8</v>
      </c>
      <c r="P552" s="11"/>
      <c r="Q552" s="13"/>
      <c r="R552" s="11"/>
      <c r="S552" s="14"/>
      <c r="T552" s="12"/>
      <c r="U552" s="12"/>
      <c r="V552" s="12"/>
      <c r="W552" s="12"/>
      <c r="X552" s="11">
        <v>396</v>
      </c>
      <c r="Y552" s="13">
        <v>7964.4</v>
      </c>
      <c r="Z552" s="11">
        <v>3</v>
      </c>
      <c r="AA552" s="11"/>
      <c r="AB552" s="13"/>
      <c r="AC552" s="11"/>
      <c r="AD552" s="12"/>
      <c r="AE552" s="12"/>
      <c r="AF552" s="11"/>
      <c r="AG552" s="13"/>
      <c r="AH552" s="11"/>
      <c r="AI552" s="11"/>
      <c r="AJ552" s="13"/>
      <c r="AK552" s="11"/>
      <c r="AL552" s="12"/>
      <c r="AM552" s="12"/>
      <c r="AN552" s="11"/>
      <c r="AO552" s="13"/>
      <c r="AP552" s="11"/>
      <c r="AQ552" s="11"/>
      <c r="AR552" s="13"/>
      <c r="AS552" s="11"/>
      <c r="AT552" s="12"/>
      <c r="AU552" s="12"/>
      <c r="AV552" s="11"/>
      <c r="AW552" s="13"/>
      <c r="AX552" s="11"/>
      <c r="AY552" s="11"/>
      <c r="AZ552" s="13"/>
      <c r="BA552" s="11"/>
      <c r="BB552" s="12"/>
      <c r="BC552" s="12"/>
      <c r="BD552" s="11"/>
      <c r="BE552" s="13"/>
      <c r="BF552" s="11"/>
      <c r="BG552" s="11"/>
      <c r="BH552" s="13"/>
      <c r="BI552" s="11"/>
      <c r="BJ552" s="12"/>
      <c r="BK552" s="12"/>
      <c r="BL552" s="11"/>
      <c r="BM552" s="13"/>
      <c r="BN552" s="11"/>
      <c r="BO552" s="11"/>
      <c r="BP552" s="13"/>
      <c r="BQ552" s="11"/>
      <c r="BR552" s="12"/>
      <c r="BS552" s="12"/>
      <c r="BT552" s="11"/>
      <c r="BU552" s="13"/>
      <c r="BV552" s="11"/>
      <c r="BW552" s="11"/>
      <c r="BX552" s="13"/>
      <c r="BY552" s="11"/>
      <c r="BZ552" s="12"/>
      <c r="CA552" s="12"/>
      <c r="CB552" s="11"/>
      <c r="CC552" s="13"/>
      <c r="CD552" s="11"/>
      <c r="CE552" s="11"/>
      <c r="CF552" s="13"/>
      <c r="CG552" s="11"/>
      <c r="CH552" s="12"/>
      <c r="CI552" s="12"/>
      <c r="CJ552" s="11"/>
      <c r="CK552" s="13"/>
      <c r="CL552" s="11"/>
      <c r="CM552" s="11"/>
      <c r="CN552" s="13"/>
      <c r="CO552" s="11"/>
      <c r="CP552" s="12"/>
      <c r="CQ552" s="12"/>
      <c r="CR552" s="11"/>
      <c r="CS552" s="13"/>
      <c r="CT552" s="11"/>
      <c r="CU552" s="11"/>
      <c r="CV552" s="13"/>
      <c r="CW552" s="11"/>
      <c r="CX552" s="12"/>
      <c r="CY552" s="12"/>
      <c r="CZ552" s="11"/>
      <c r="DA552" s="13"/>
      <c r="DB552" s="11"/>
      <c r="DC552" s="11"/>
      <c r="DD552" s="13"/>
      <c r="DE552" s="11"/>
      <c r="DF552" s="12"/>
      <c r="DG552" s="12"/>
      <c r="DH552" s="11"/>
      <c r="DI552" s="13"/>
      <c r="DJ552" s="11"/>
      <c r="DK552" s="11"/>
      <c r="DL552" s="13"/>
      <c r="DM552" s="11"/>
      <c r="DN552" s="12"/>
      <c r="DO552" s="12"/>
      <c r="DP552" s="11"/>
      <c r="DQ552" s="13"/>
      <c r="DR552" s="11"/>
      <c r="DS552" s="11"/>
      <c r="DT552" s="13"/>
      <c r="DU552" s="11"/>
      <c r="DV552" s="12"/>
      <c r="DW552" s="12"/>
      <c r="DX552" s="11"/>
      <c r="DY552" s="13"/>
      <c r="DZ552" s="11"/>
      <c r="EA552" s="11"/>
      <c r="EB552" s="13"/>
      <c r="EC552" s="11"/>
      <c r="ED552" s="12"/>
      <c r="EE552" s="12"/>
      <c r="EF552" s="11"/>
      <c r="EG552" s="13"/>
      <c r="EH552" s="11"/>
      <c r="EI552" s="11"/>
      <c r="EJ552" s="13"/>
      <c r="EK552" s="11"/>
      <c r="EL552" s="12"/>
      <c r="EM552" s="12"/>
      <c r="EN552" s="11"/>
      <c r="EO552" s="13"/>
      <c r="EP552" s="11"/>
      <c r="EQ552" s="11"/>
      <c r="ER552" s="13"/>
      <c r="ES552" s="11"/>
      <c r="ET552" s="12"/>
      <c r="EU552" s="12"/>
      <c r="EV552" s="11"/>
      <c r="EW552" s="13"/>
      <c r="EX552" s="11"/>
      <c r="EY552" s="11"/>
      <c r="EZ552" s="13"/>
      <c r="FA552" s="11"/>
      <c r="FB552" s="12"/>
      <c r="FC552" s="12"/>
      <c r="FD552" s="11"/>
      <c r="FE552" s="13"/>
      <c r="FF552" s="11"/>
      <c r="FG552" s="11"/>
      <c r="FH552" s="13"/>
      <c r="FI552" s="11"/>
      <c r="FJ552" s="12"/>
      <c r="FK552" s="12"/>
      <c r="FL552" s="11"/>
      <c r="FM552" s="13"/>
      <c r="FN552" s="11"/>
      <c r="FO552" s="11"/>
      <c r="FP552" s="13"/>
      <c r="FQ552" s="11"/>
      <c r="FR552" s="12"/>
      <c r="FS552" s="12"/>
      <c r="FT552" s="11"/>
      <c r="FU552" s="13"/>
      <c r="FV552" s="11"/>
      <c r="FW552" s="11"/>
      <c r="FX552" s="13"/>
      <c r="FY552" s="11"/>
      <c r="FZ552" s="12"/>
      <c r="GA552" s="12"/>
      <c r="GB552" s="11"/>
      <c r="GC552" s="13"/>
      <c r="GD552" s="11"/>
      <c r="GE552" s="11"/>
      <c r="GF552" s="13"/>
      <c r="GG552" s="11"/>
      <c r="GH552" s="12"/>
      <c r="GI552" s="12"/>
      <c r="GJ552" s="11"/>
      <c r="GK552" s="13"/>
      <c r="GL552" s="11"/>
      <c r="GM552" s="11"/>
      <c r="GN552" s="13"/>
      <c r="GO552" s="11"/>
      <c r="GP552" s="12"/>
      <c r="GQ552" s="12"/>
      <c r="GR552" s="11"/>
      <c r="GS552" s="13"/>
      <c r="GT552" s="11"/>
      <c r="GU552" s="11"/>
      <c r="GV552" s="13"/>
      <c r="GW552" s="11"/>
      <c r="GX552" s="12"/>
      <c r="GY552" s="12"/>
      <c r="GZ552" s="11"/>
      <c r="HA552" s="13"/>
      <c r="HB552" s="11"/>
      <c r="HC552" s="11"/>
      <c r="HD552" s="13"/>
      <c r="HE552" s="11"/>
      <c r="HF552" s="12"/>
      <c r="HG552" s="12"/>
      <c r="HH552" s="11"/>
      <c r="HI552" s="13"/>
      <c r="HJ552" s="11"/>
      <c r="HK552" s="11"/>
      <c r="HL552" s="13"/>
      <c r="HM552" s="11"/>
      <c r="HN552" s="12"/>
      <c r="HO552" s="12"/>
      <c r="HP552" s="11"/>
      <c r="HQ552" s="13"/>
      <c r="HR552" s="11"/>
      <c r="HS552" s="11"/>
      <c r="HT552" s="13"/>
      <c r="HU552" s="11"/>
      <c r="HV552" s="12"/>
      <c r="HW552" s="12"/>
      <c r="HX552" s="11"/>
      <c r="HY552" s="13"/>
      <c r="HZ552" s="11"/>
      <c r="IA552" s="11"/>
      <c r="IB552" s="13"/>
      <c r="IC552" s="11"/>
      <c r="ID552" s="12"/>
      <c r="IE552" s="12"/>
      <c r="IF552" s="11"/>
      <c r="IG552" s="13"/>
      <c r="IH552" s="11"/>
      <c r="II552" s="11"/>
      <c r="IJ552" s="13"/>
      <c r="IK552" s="11"/>
      <c r="IL552" s="12"/>
      <c r="IM552" s="12"/>
      <c r="IN552" s="11"/>
      <c r="IO552" s="13"/>
      <c r="IP552" s="11"/>
      <c r="IQ552" s="11"/>
      <c r="IR552" s="13"/>
      <c r="IS552" s="11"/>
      <c r="IT552" s="12"/>
      <c r="IU552" s="12"/>
      <c r="IV552" s="11"/>
      <c r="IW552" s="13"/>
      <c r="IX552" s="11"/>
      <c r="IY552" s="11"/>
      <c r="IZ552" s="13"/>
      <c r="JA552" s="11"/>
      <c r="JB552" s="12"/>
      <c r="JC552" s="12"/>
      <c r="JD552" s="11"/>
      <c r="JE552" s="13"/>
      <c r="JF552" s="11"/>
      <c r="JG552" s="11"/>
      <c r="JH552" s="13"/>
      <c r="JI552" s="11"/>
      <c r="JJ552" s="12"/>
      <c r="JK552" s="12"/>
      <c r="JL552" s="11"/>
      <c r="JM552" s="13"/>
      <c r="JN552" s="11"/>
      <c r="JO552" s="11"/>
      <c r="JP552" s="13"/>
      <c r="JQ552" s="11"/>
      <c r="JR552" s="12"/>
      <c r="JS552" s="12"/>
      <c r="JT552" s="11"/>
      <c r="JU552" s="13"/>
      <c r="JV552" s="11"/>
      <c r="JW552" s="11"/>
      <c r="JX552" s="13"/>
      <c r="JY552" s="11"/>
      <c r="JZ552" s="12"/>
      <c r="KA552" s="12"/>
      <c r="KB552" s="11"/>
      <c r="KC552" s="13"/>
      <c r="KD552" s="11"/>
      <c r="KE552" s="11"/>
      <c r="KF552" s="13"/>
      <c r="KG552" s="11"/>
      <c r="KH552" s="12"/>
      <c r="KI552" s="12"/>
      <c r="KJ552" s="11"/>
      <c r="KK552" s="13"/>
      <c r="KL552" s="11"/>
      <c r="KM552" s="11"/>
      <c r="KN552" s="13"/>
      <c r="KO552" s="11"/>
      <c r="KP552" s="12"/>
      <c r="KQ552" s="12"/>
      <c r="KR552" s="11"/>
      <c r="KS552" s="13"/>
      <c r="KT552" s="11"/>
      <c r="KU552" s="11"/>
      <c r="KV552" s="13"/>
      <c r="KW552" s="11"/>
      <c r="KX552" s="12"/>
      <c r="KY552" s="12"/>
      <c r="KZ552" s="11"/>
      <c r="LA552" s="13"/>
      <c r="LB552" s="11"/>
      <c r="LC552" s="11"/>
      <c r="LD552" s="13"/>
      <c r="LE552" s="11"/>
      <c r="LF552" s="12"/>
      <c r="LG552" s="12"/>
      <c r="LH552" s="11"/>
      <c r="LI552" s="13"/>
      <c r="LJ552" s="11"/>
      <c r="LK552" s="11"/>
      <c r="LL552" s="13"/>
      <c r="LM552" s="11"/>
      <c r="LN552" s="12"/>
      <c r="LO552" s="12"/>
      <c r="LP552" s="11"/>
      <c r="LQ552" s="13"/>
      <c r="LR552" s="11"/>
      <c r="LS552" s="11"/>
      <c r="LT552" s="13"/>
      <c r="LU552" s="11"/>
      <c r="LV552" s="12"/>
      <c r="LW552" s="12"/>
    </row>
    <row r="553">
      <c r="A553" s="10" t="s">
        <v>287</v>
      </c>
      <c r="B553" s="10" t="s">
        <v>170</v>
      </c>
      <c r="C553" s="10" t="s">
        <v>189</v>
      </c>
      <c r="D553" s="11">
        <v>3428</v>
      </c>
      <c r="E553" s="11">
        <f>=ROUNDDOWN(54.4126984126984,0)</f>
      </c>
      <c r="F553" s="11"/>
      <c r="G553" s="12"/>
      <c r="H553" s="11"/>
      <c r="I553" s="11">
        <f>=ROUNDDOWN({0},0)</f>
      </c>
      <c r="J553" s="11"/>
      <c r="K553" s="12"/>
      <c r="L553" s="11">
        <v>544</v>
      </c>
      <c r="M553" s="13">
        <v>7129.79</v>
      </c>
      <c r="N553" s="11">
        <v>10</v>
      </c>
      <c r="O553" s="14">
        <v>712.98</v>
      </c>
      <c r="P553" s="11"/>
      <c r="Q553" s="13"/>
      <c r="R553" s="11"/>
      <c r="S553" s="14"/>
      <c r="T553" s="12"/>
      <c r="U553" s="12"/>
      <c r="V553" s="12"/>
      <c r="W553" s="12"/>
      <c r="X553" s="11"/>
      <c r="Y553" s="13"/>
      <c r="Z553" s="11"/>
      <c r="AA553" s="11"/>
      <c r="AB553" s="13"/>
      <c r="AC553" s="11"/>
      <c r="AD553" s="12"/>
      <c r="AE553" s="12"/>
      <c r="AF553" s="11">
        <v>6</v>
      </c>
      <c r="AG553" s="13">
        <v>47.22</v>
      </c>
      <c r="AH553" s="11">
        <v>10</v>
      </c>
      <c r="AI553" s="11"/>
      <c r="AJ553" s="13"/>
      <c r="AK553" s="11"/>
      <c r="AL553" s="12"/>
      <c r="AM553" s="12"/>
      <c r="AN553" s="11">
        <v>80</v>
      </c>
      <c r="AO553" s="13">
        <v>974.48</v>
      </c>
      <c r="AP553" s="11">
        <v>10</v>
      </c>
      <c r="AQ553" s="11"/>
      <c r="AR553" s="13"/>
      <c r="AS553" s="11"/>
      <c r="AT553" s="12"/>
      <c r="AU553" s="12"/>
      <c r="AV553" s="11"/>
      <c r="AW553" s="13"/>
      <c r="AX553" s="11"/>
      <c r="AY553" s="11"/>
      <c r="AZ553" s="13"/>
      <c r="BA553" s="11"/>
      <c r="BB553" s="12"/>
      <c r="BC553" s="12"/>
      <c r="BD553" s="11">
        <v>171</v>
      </c>
      <c r="BE553" s="13">
        <v>1944.79</v>
      </c>
      <c r="BF553" s="11">
        <v>10</v>
      </c>
      <c r="BG553" s="11"/>
      <c r="BH553" s="13"/>
      <c r="BI553" s="11"/>
      <c r="BJ553" s="12"/>
      <c r="BK553" s="12"/>
      <c r="BL553" s="11">
        <v>10</v>
      </c>
      <c r="BM553" s="13">
        <v>139.14</v>
      </c>
      <c r="BN553" s="11">
        <v>10</v>
      </c>
      <c r="BO553" s="11"/>
      <c r="BP553" s="13"/>
      <c r="BQ553" s="11"/>
      <c r="BR553" s="12"/>
      <c r="BS553" s="12"/>
      <c r="BT553" s="11">
        <v>60</v>
      </c>
      <c r="BU553" s="13">
        <v>905.52</v>
      </c>
      <c r="BV553" s="11">
        <v>10</v>
      </c>
      <c r="BW553" s="11"/>
      <c r="BX553" s="13"/>
      <c r="BY553" s="11"/>
      <c r="BZ553" s="12"/>
      <c r="CA553" s="12"/>
      <c r="CB553" s="11">
        <v>176</v>
      </c>
      <c r="CC553" s="13">
        <v>2058.36</v>
      </c>
      <c r="CD553" s="11">
        <v>10</v>
      </c>
      <c r="CE553" s="11"/>
      <c r="CF553" s="13"/>
      <c r="CG553" s="11"/>
      <c r="CH553" s="12"/>
      <c r="CI553" s="12"/>
      <c r="CJ553" s="11">
        <v>5</v>
      </c>
      <c r="CK553" s="13">
        <v>399.95</v>
      </c>
      <c r="CL553" s="11">
        <v>10</v>
      </c>
      <c r="CM553" s="11"/>
      <c r="CN553" s="13"/>
      <c r="CO553" s="11"/>
      <c r="CP553" s="12"/>
      <c r="CQ553" s="12"/>
      <c r="CR553" s="11"/>
      <c r="CS553" s="13"/>
      <c r="CT553" s="11"/>
      <c r="CU553" s="11"/>
      <c r="CV553" s="13"/>
      <c r="CW553" s="11"/>
      <c r="CX553" s="12"/>
      <c r="CY553" s="12"/>
      <c r="CZ553" s="11"/>
      <c r="DA553" s="13"/>
      <c r="DB553" s="11"/>
      <c r="DC553" s="11"/>
      <c r="DD553" s="13"/>
      <c r="DE553" s="11"/>
      <c r="DF553" s="12"/>
      <c r="DG553" s="12"/>
      <c r="DH553" s="11"/>
      <c r="DI553" s="13"/>
      <c r="DJ553" s="11"/>
      <c r="DK553" s="11"/>
      <c r="DL553" s="13"/>
      <c r="DM553" s="11"/>
      <c r="DN553" s="12"/>
      <c r="DO553" s="12"/>
      <c r="DP553" s="11">
        <v>12</v>
      </c>
      <c r="DQ553" s="13">
        <v>147.32</v>
      </c>
      <c r="DR553" s="11">
        <v>10</v>
      </c>
      <c r="DS553" s="11"/>
      <c r="DT553" s="13"/>
      <c r="DU553" s="11"/>
      <c r="DV553" s="12"/>
      <c r="DW553" s="12"/>
      <c r="DX553" s="11"/>
      <c r="DY553" s="13"/>
      <c r="DZ553" s="11"/>
      <c r="EA553" s="11"/>
      <c r="EB553" s="13"/>
      <c r="EC553" s="11"/>
      <c r="ED553" s="12"/>
      <c r="EE553" s="12"/>
      <c r="EF553" s="11"/>
      <c r="EG553" s="13"/>
      <c r="EH553" s="11"/>
      <c r="EI553" s="11"/>
      <c r="EJ553" s="13"/>
      <c r="EK553" s="11"/>
      <c r="EL553" s="12"/>
      <c r="EM553" s="12"/>
      <c r="EN553" s="11">
        <v>4</v>
      </c>
      <c r="EO553" s="13">
        <v>49.96</v>
      </c>
      <c r="EP553" s="11">
        <v>10</v>
      </c>
      <c r="EQ553" s="11"/>
      <c r="ER553" s="13"/>
      <c r="ES553" s="11"/>
      <c r="ET553" s="12"/>
      <c r="EU553" s="12"/>
      <c r="EV553" s="11"/>
      <c r="EW553" s="13"/>
      <c r="EX553" s="11"/>
      <c r="EY553" s="11"/>
      <c r="EZ553" s="13"/>
      <c r="FA553" s="11"/>
      <c r="FB553" s="12"/>
      <c r="FC553" s="12"/>
      <c r="FD553" s="11"/>
      <c r="FE553" s="13"/>
      <c r="FF553" s="11"/>
      <c r="FG553" s="11"/>
      <c r="FH553" s="13"/>
      <c r="FI553" s="11"/>
      <c r="FJ553" s="12"/>
      <c r="FK553" s="12"/>
      <c r="FL553" s="11"/>
      <c r="FM553" s="13"/>
      <c r="FN553" s="11"/>
      <c r="FO553" s="11"/>
      <c r="FP553" s="13"/>
      <c r="FQ553" s="11"/>
      <c r="FR553" s="12"/>
      <c r="FS553" s="12"/>
      <c r="FT553" s="11"/>
      <c r="FU553" s="13"/>
      <c r="FV553" s="11"/>
      <c r="FW553" s="11"/>
      <c r="FX553" s="13"/>
      <c r="FY553" s="11"/>
      <c r="FZ553" s="12"/>
      <c r="GA553" s="12"/>
      <c r="GB553" s="11"/>
      <c r="GC553" s="13"/>
      <c r="GD553" s="11"/>
      <c r="GE553" s="11"/>
      <c r="GF553" s="13"/>
      <c r="GG553" s="11"/>
      <c r="GH553" s="12"/>
      <c r="GI553" s="12"/>
      <c r="GJ553" s="11"/>
      <c r="GK553" s="13"/>
      <c r="GL553" s="11"/>
      <c r="GM553" s="11"/>
      <c r="GN553" s="13"/>
      <c r="GO553" s="11"/>
      <c r="GP553" s="12"/>
      <c r="GQ553" s="12"/>
      <c r="GR553" s="11"/>
      <c r="GS553" s="13"/>
      <c r="GT553" s="11">
        <v>10</v>
      </c>
      <c r="GU553" s="11"/>
      <c r="GV553" s="13"/>
      <c r="GW553" s="11"/>
      <c r="GX553" s="12"/>
      <c r="GY553" s="12"/>
      <c r="GZ553" s="11"/>
      <c r="HA553" s="13"/>
      <c r="HB553" s="11"/>
      <c r="HC553" s="11"/>
      <c r="HD553" s="13"/>
      <c r="HE553" s="11"/>
      <c r="HF553" s="12"/>
      <c r="HG553" s="12"/>
      <c r="HH553" s="11"/>
      <c r="HI553" s="13"/>
      <c r="HJ553" s="11"/>
      <c r="HK553" s="11"/>
      <c r="HL553" s="13"/>
      <c r="HM553" s="11"/>
      <c r="HN553" s="12"/>
      <c r="HO553" s="12"/>
      <c r="HP553" s="11"/>
      <c r="HQ553" s="13"/>
      <c r="HR553" s="11"/>
      <c r="HS553" s="11"/>
      <c r="HT553" s="13"/>
      <c r="HU553" s="11"/>
      <c r="HV553" s="12"/>
      <c r="HW553" s="12"/>
      <c r="HX553" s="11"/>
      <c r="HY553" s="13"/>
      <c r="HZ553" s="11"/>
      <c r="IA553" s="11"/>
      <c r="IB553" s="13"/>
      <c r="IC553" s="11"/>
      <c r="ID553" s="12"/>
      <c r="IE553" s="12"/>
      <c r="IF553" s="11"/>
      <c r="IG553" s="13"/>
      <c r="IH553" s="11"/>
      <c r="II553" s="11"/>
      <c r="IJ553" s="13"/>
      <c r="IK553" s="11"/>
      <c r="IL553" s="12"/>
      <c r="IM553" s="12"/>
      <c r="IN553" s="11">
        <v>20</v>
      </c>
      <c r="IO553" s="13">
        <v>463.05</v>
      </c>
      <c r="IP553" s="11">
        <v>10</v>
      </c>
      <c r="IQ553" s="11"/>
      <c r="IR553" s="13"/>
      <c r="IS553" s="11"/>
      <c r="IT553" s="12"/>
      <c r="IU553" s="12"/>
      <c r="IV553" s="11"/>
      <c r="IW553" s="13"/>
      <c r="IX553" s="11"/>
      <c r="IY553" s="11"/>
      <c r="IZ553" s="13"/>
      <c r="JA553" s="11"/>
      <c r="JB553" s="12"/>
      <c r="JC553" s="12"/>
      <c r="JD553" s="11"/>
      <c r="JE553" s="13"/>
      <c r="JF553" s="11"/>
      <c r="JG553" s="11"/>
      <c r="JH553" s="13"/>
      <c r="JI553" s="11"/>
      <c r="JJ553" s="12"/>
      <c r="JK553" s="12"/>
      <c r="JL553" s="11"/>
      <c r="JM553" s="13"/>
      <c r="JN553" s="11"/>
      <c r="JO553" s="11"/>
      <c r="JP553" s="13"/>
      <c r="JQ553" s="11"/>
      <c r="JR553" s="12"/>
      <c r="JS553" s="12"/>
      <c r="JT553" s="11"/>
      <c r="JU553" s="13"/>
      <c r="JV553" s="11">
        <v>10</v>
      </c>
      <c r="JW553" s="11"/>
      <c r="JX553" s="13"/>
      <c r="JY553" s="11"/>
      <c r="JZ553" s="12"/>
      <c r="KA553" s="12"/>
      <c r="KB553" s="11"/>
      <c r="KC553" s="13"/>
      <c r="KD553" s="11"/>
      <c r="KE553" s="11"/>
      <c r="KF553" s="13"/>
      <c r="KG553" s="11"/>
      <c r="KH553" s="12"/>
      <c r="KI553" s="12"/>
      <c r="KJ553" s="11"/>
      <c r="KK553" s="13"/>
      <c r="KL553" s="11"/>
      <c r="KM553" s="11"/>
      <c r="KN553" s="13"/>
      <c r="KO553" s="11"/>
      <c r="KP553" s="12"/>
      <c r="KQ553" s="12"/>
      <c r="KR553" s="11"/>
      <c r="KS553" s="13"/>
      <c r="KT553" s="11"/>
      <c r="KU553" s="11"/>
      <c r="KV553" s="13"/>
      <c r="KW553" s="11"/>
      <c r="KX553" s="12"/>
      <c r="KY553" s="12"/>
      <c r="KZ553" s="11"/>
      <c r="LA553" s="13"/>
      <c r="LB553" s="11"/>
      <c r="LC553" s="11"/>
      <c r="LD553" s="13"/>
      <c r="LE553" s="11"/>
      <c r="LF553" s="12"/>
      <c r="LG553" s="12"/>
      <c r="LH553" s="11"/>
      <c r="LI553" s="13"/>
      <c r="LJ553" s="11"/>
      <c r="LK553" s="11"/>
      <c r="LL553" s="13"/>
      <c r="LM553" s="11"/>
      <c r="LN553" s="12"/>
      <c r="LO553" s="12"/>
      <c r="LP553" s="11"/>
      <c r="LQ553" s="13"/>
      <c r="LR553" s="11"/>
      <c r="LS553" s="11"/>
      <c r="LT553" s="13"/>
      <c r="LU553" s="11"/>
      <c r="LV553" s="12"/>
      <c r="LW553" s="12"/>
    </row>
    <row r="554">
      <c r="A554" s="10" t="s">
        <v>287</v>
      </c>
      <c r="B554" s="10" t="s">
        <v>171</v>
      </c>
      <c r="C554" s="10" t="s">
        <v>77</v>
      </c>
      <c r="D554" s="11">
        <v>3428</v>
      </c>
      <c r="E554" s="11">
        <f>=ROUNDDOWN({0},0)</f>
      </c>
      <c r="F554" s="11"/>
      <c r="G554" s="12"/>
      <c r="H554" s="11"/>
      <c r="I554" s="11">
        <f>=ROUNDDOWN({0},0)</f>
      </c>
      <c r="J554" s="11"/>
      <c r="K554" s="12"/>
      <c r="L554" s="11">
        <v>544</v>
      </c>
      <c r="M554" s="13">
        <v>7129.79</v>
      </c>
      <c r="N554" s="11">
        <v>10</v>
      </c>
      <c r="O554" s="14">
        <v>712.98</v>
      </c>
      <c r="P554" s="11"/>
      <c r="Q554" s="13"/>
      <c r="R554" s="11"/>
      <c r="S554" s="14"/>
      <c r="T554" s="12"/>
      <c r="U554" s="12"/>
      <c r="V554" s="12"/>
      <c r="W554" s="12"/>
      <c r="X554" s="11"/>
      <c r="Y554" s="13"/>
      <c r="Z554" s="11"/>
      <c r="AA554" s="11"/>
      <c r="AB554" s="13"/>
      <c r="AC554" s="11"/>
      <c r="AD554" s="12"/>
      <c r="AE554" s="12"/>
      <c r="AF554" s="11">
        <v>6</v>
      </c>
      <c r="AG554" s="13">
        <v>47.22</v>
      </c>
      <c r="AH554" s="11">
        <v>10</v>
      </c>
      <c r="AI554" s="11"/>
      <c r="AJ554" s="13"/>
      <c r="AK554" s="11"/>
      <c r="AL554" s="12"/>
      <c r="AM554" s="12"/>
      <c r="AN554" s="11">
        <v>80</v>
      </c>
      <c r="AO554" s="13">
        <v>974.48</v>
      </c>
      <c r="AP554" s="11">
        <v>10</v>
      </c>
      <c r="AQ554" s="11"/>
      <c r="AR554" s="13"/>
      <c r="AS554" s="11"/>
      <c r="AT554" s="12"/>
      <c r="AU554" s="12"/>
      <c r="AV554" s="11"/>
      <c r="AW554" s="13"/>
      <c r="AX554" s="11"/>
      <c r="AY554" s="11"/>
      <c r="AZ554" s="13"/>
      <c r="BA554" s="11"/>
      <c r="BB554" s="12"/>
      <c r="BC554" s="12"/>
      <c r="BD554" s="11">
        <v>171</v>
      </c>
      <c r="BE554" s="13">
        <v>1944.79</v>
      </c>
      <c r="BF554" s="11">
        <v>10</v>
      </c>
      <c r="BG554" s="11"/>
      <c r="BH554" s="13"/>
      <c r="BI554" s="11"/>
      <c r="BJ554" s="12"/>
      <c r="BK554" s="12"/>
      <c r="BL554" s="11">
        <v>10</v>
      </c>
      <c r="BM554" s="13">
        <v>139.14</v>
      </c>
      <c r="BN554" s="11">
        <v>10</v>
      </c>
      <c r="BO554" s="11"/>
      <c r="BP554" s="13"/>
      <c r="BQ554" s="11"/>
      <c r="BR554" s="12"/>
      <c r="BS554" s="12"/>
      <c r="BT554" s="11">
        <v>60</v>
      </c>
      <c r="BU554" s="13">
        <v>905.52</v>
      </c>
      <c r="BV554" s="11">
        <v>10</v>
      </c>
      <c r="BW554" s="11"/>
      <c r="BX554" s="13"/>
      <c r="BY554" s="11"/>
      <c r="BZ554" s="12"/>
      <c r="CA554" s="12"/>
      <c r="CB554" s="11">
        <v>176</v>
      </c>
      <c r="CC554" s="13">
        <v>2058.36</v>
      </c>
      <c r="CD554" s="11">
        <v>10</v>
      </c>
      <c r="CE554" s="11"/>
      <c r="CF554" s="13"/>
      <c r="CG554" s="11"/>
      <c r="CH554" s="12"/>
      <c r="CI554" s="12"/>
      <c r="CJ554" s="11">
        <v>5</v>
      </c>
      <c r="CK554" s="13">
        <v>399.95</v>
      </c>
      <c r="CL554" s="11">
        <v>10</v>
      </c>
      <c r="CM554" s="11"/>
      <c r="CN554" s="13"/>
      <c r="CO554" s="11"/>
      <c r="CP554" s="12"/>
      <c r="CQ554" s="12"/>
      <c r="CR554" s="11"/>
      <c r="CS554" s="13"/>
      <c r="CT554" s="11"/>
      <c r="CU554" s="11"/>
      <c r="CV554" s="13"/>
      <c r="CW554" s="11"/>
      <c r="CX554" s="12"/>
      <c r="CY554" s="12"/>
      <c r="CZ554" s="11"/>
      <c r="DA554" s="13"/>
      <c r="DB554" s="11"/>
      <c r="DC554" s="11"/>
      <c r="DD554" s="13"/>
      <c r="DE554" s="11"/>
      <c r="DF554" s="12"/>
      <c r="DG554" s="12"/>
      <c r="DH554" s="11"/>
      <c r="DI554" s="13"/>
      <c r="DJ554" s="11"/>
      <c r="DK554" s="11"/>
      <c r="DL554" s="13"/>
      <c r="DM554" s="11"/>
      <c r="DN554" s="12"/>
      <c r="DO554" s="12"/>
      <c r="DP554" s="11">
        <v>12</v>
      </c>
      <c r="DQ554" s="13">
        <v>147.32</v>
      </c>
      <c r="DR554" s="11">
        <v>10</v>
      </c>
      <c r="DS554" s="11"/>
      <c r="DT554" s="13"/>
      <c r="DU554" s="11"/>
      <c r="DV554" s="12"/>
      <c r="DW554" s="12"/>
      <c r="DX554" s="11"/>
      <c r="DY554" s="13"/>
      <c r="DZ554" s="11"/>
      <c r="EA554" s="11"/>
      <c r="EB554" s="13"/>
      <c r="EC554" s="11"/>
      <c r="ED554" s="12"/>
      <c r="EE554" s="12"/>
      <c r="EF554" s="11"/>
      <c r="EG554" s="13"/>
      <c r="EH554" s="11"/>
      <c r="EI554" s="11"/>
      <c r="EJ554" s="13"/>
      <c r="EK554" s="11"/>
      <c r="EL554" s="12"/>
      <c r="EM554" s="12"/>
      <c r="EN554" s="11">
        <v>4</v>
      </c>
      <c r="EO554" s="13">
        <v>49.96</v>
      </c>
      <c r="EP554" s="11">
        <v>10</v>
      </c>
      <c r="EQ554" s="11"/>
      <c r="ER554" s="13"/>
      <c r="ES554" s="11"/>
      <c r="ET554" s="12"/>
      <c r="EU554" s="12"/>
      <c r="EV554" s="11"/>
      <c r="EW554" s="13"/>
      <c r="EX554" s="11"/>
      <c r="EY554" s="11"/>
      <c r="EZ554" s="13"/>
      <c r="FA554" s="11"/>
      <c r="FB554" s="12"/>
      <c r="FC554" s="12"/>
      <c r="FD554" s="11"/>
      <c r="FE554" s="13"/>
      <c r="FF554" s="11"/>
      <c r="FG554" s="11"/>
      <c r="FH554" s="13"/>
      <c r="FI554" s="11"/>
      <c r="FJ554" s="12"/>
      <c r="FK554" s="12"/>
      <c r="FL554" s="11"/>
      <c r="FM554" s="13"/>
      <c r="FN554" s="11"/>
      <c r="FO554" s="11"/>
      <c r="FP554" s="13"/>
      <c r="FQ554" s="11"/>
      <c r="FR554" s="12"/>
      <c r="FS554" s="12"/>
      <c r="FT554" s="11"/>
      <c r="FU554" s="13"/>
      <c r="FV554" s="11"/>
      <c r="FW554" s="11"/>
      <c r="FX554" s="13"/>
      <c r="FY554" s="11"/>
      <c r="FZ554" s="12"/>
      <c r="GA554" s="12"/>
      <c r="GB554" s="11"/>
      <c r="GC554" s="13"/>
      <c r="GD554" s="11"/>
      <c r="GE554" s="11"/>
      <c r="GF554" s="13"/>
      <c r="GG554" s="11"/>
      <c r="GH554" s="12"/>
      <c r="GI554" s="12"/>
      <c r="GJ554" s="11"/>
      <c r="GK554" s="13"/>
      <c r="GL554" s="11"/>
      <c r="GM554" s="11"/>
      <c r="GN554" s="13"/>
      <c r="GO554" s="11"/>
      <c r="GP554" s="12"/>
      <c r="GQ554" s="12"/>
      <c r="GR554" s="11"/>
      <c r="GS554" s="13"/>
      <c r="GT554" s="11">
        <v>10</v>
      </c>
      <c r="GU554" s="11"/>
      <c r="GV554" s="13"/>
      <c r="GW554" s="11"/>
      <c r="GX554" s="12"/>
      <c r="GY554" s="12"/>
      <c r="GZ554" s="11"/>
      <c r="HA554" s="13"/>
      <c r="HB554" s="11"/>
      <c r="HC554" s="11"/>
      <c r="HD554" s="13"/>
      <c r="HE554" s="11"/>
      <c r="HF554" s="12"/>
      <c r="HG554" s="12"/>
      <c r="HH554" s="11"/>
      <c r="HI554" s="13"/>
      <c r="HJ554" s="11"/>
      <c r="HK554" s="11"/>
      <c r="HL554" s="13"/>
      <c r="HM554" s="11"/>
      <c r="HN554" s="12"/>
      <c r="HO554" s="12"/>
      <c r="HP554" s="11"/>
      <c r="HQ554" s="13"/>
      <c r="HR554" s="11"/>
      <c r="HS554" s="11"/>
      <c r="HT554" s="13"/>
      <c r="HU554" s="11"/>
      <c r="HV554" s="12"/>
      <c r="HW554" s="12"/>
      <c r="HX554" s="11"/>
      <c r="HY554" s="13"/>
      <c r="HZ554" s="11"/>
      <c r="IA554" s="11"/>
      <c r="IB554" s="13"/>
      <c r="IC554" s="11"/>
      <c r="ID554" s="12"/>
      <c r="IE554" s="12"/>
      <c r="IF554" s="11"/>
      <c r="IG554" s="13"/>
      <c r="IH554" s="11"/>
      <c r="II554" s="11"/>
      <c r="IJ554" s="13"/>
      <c r="IK554" s="11"/>
      <c r="IL554" s="12"/>
      <c r="IM554" s="12"/>
      <c r="IN554" s="11">
        <v>20</v>
      </c>
      <c r="IO554" s="13">
        <v>463.05</v>
      </c>
      <c r="IP554" s="11">
        <v>10</v>
      </c>
      <c r="IQ554" s="11"/>
      <c r="IR554" s="13"/>
      <c r="IS554" s="11"/>
      <c r="IT554" s="12"/>
      <c r="IU554" s="12"/>
      <c r="IV554" s="11"/>
      <c r="IW554" s="13"/>
      <c r="IX554" s="11"/>
      <c r="IY554" s="11"/>
      <c r="IZ554" s="13"/>
      <c r="JA554" s="11"/>
      <c r="JB554" s="12"/>
      <c r="JC554" s="12"/>
      <c r="JD554" s="11"/>
      <c r="JE554" s="13"/>
      <c r="JF554" s="11"/>
      <c r="JG554" s="11"/>
      <c r="JH554" s="13"/>
      <c r="JI554" s="11"/>
      <c r="JJ554" s="12"/>
      <c r="JK554" s="12"/>
      <c r="JL554" s="11"/>
      <c r="JM554" s="13"/>
      <c r="JN554" s="11"/>
      <c r="JO554" s="11"/>
      <c r="JP554" s="13"/>
      <c r="JQ554" s="11"/>
      <c r="JR554" s="12"/>
      <c r="JS554" s="12"/>
      <c r="JT554" s="11"/>
      <c r="JU554" s="13"/>
      <c r="JV554" s="11">
        <v>10</v>
      </c>
      <c r="JW554" s="11"/>
      <c r="JX554" s="13"/>
      <c r="JY554" s="11"/>
      <c r="JZ554" s="12"/>
      <c r="KA554" s="12"/>
      <c r="KB554" s="11"/>
      <c r="KC554" s="13"/>
      <c r="KD554" s="11"/>
      <c r="KE554" s="11"/>
      <c r="KF554" s="13"/>
      <c r="KG554" s="11"/>
      <c r="KH554" s="12"/>
      <c r="KI554" s="12"/>
      <c r="KJ554" s="11"/>
      <c r="KK554" s="13"/>
      <c r="KL554" s="11"/>
      <c r="KM554" s="11"/>
      <c r="KN554" s="13"/>
      <c r="KO554" s="11"/>
      <c r="KP554" s="12"/>
      <c r="KQ554" s="12"/>
      <c r="KR554" s="11"/>
      <c r="KS554" s="13"/>
      <c r="KT554" s="11"/>
      <c r="KU554" s="11"/>
      <c r="KV554" s="13"/>
      <c r="KW554" s="11"/>
      <c r="KX554" s="12"/>
      <c r="KY554" s="12"/>
      <c r="KZ554" s="11"/>
      <c r="LA554" s="13"/>
      <c r="LB554" s="11"/>
      <c r="LC554" s="11"/>
      <c r="LD554" s="13"/>
      <c r="LE554" s="11"/>
      <c r="LF554" s="12"/>
      <c r="LG554" s="12"/>
      <c r="LH554" s="11"/>
      <c r="LI554" s="13"/>
      <c r="LJ554" s="11"/>
      <c r="LK554" s="11"/>
      <c r="LL554" s="13"/>
      <c r="LM554" s="11"/>
      <c r="LN554" s="12"/>
      <c r="LO554" s="12"/>
      <c r="LP554" s="11"/>
      <c r="LQ554" s="13"/>
      <c r="LR554" s="11"/>
      <c r="LS554" s="11"/>
      <c r="LT554" s="13"/>
      <c r="LU554" s="11"/>
      <c r="LV554" s="12"/>
      <c r="LW554" s="12"/>
    </row>
    <row r="555">
      <c r="A555" s="10" t="s">
        <v>287</v>
      </c>
      <c r="B555" s="10" t="s">
        <v>107</v>
      </c>
      <c r="C555" s="10" t="s">
        <v>189</v>
      </c>
      <c r="D555" s="11">
        <v>658</v>
      </c>
      <c r="E555" s="11">
        <f>=ROUNDDOWN(15.3738317757009,0)</f>
      </c>
      <c r="F555" s="11"/>
      <c r="G555" s="12"/>
      <c r="H555" s="11"/>
      <c r="I555" s="11">
        <f>=ROUNDDOWN({0},0)</f>
      </c>
      <c r="J555" s="11"/>
      <c r="K555" s="12"/>
      <c r="L555" s="11">
        <v>496</v>
      </c>
      <c r="M555" s="13">
        <v>14051.97</v>
      </c>
      <c r="N555" s="11">
        <v>5</v>
      </c>
      <c r="O555" s="14">
        <v>2810.39</v>
      </c>
      <c r="P555" s="11"/>
      <c r="Q555" s="13"/>
      <c r="R555" s="11"/>
      <c r="S555" s="14"/>
      <c r="T555" s="12"/>
      <c r="U555" s="12"/>
      <c r="V555" s="12"/>
      <c r="W555" s="12"/>
      <c r="X555" s="11">
        <v>144</v>
      </c>
      <c r="Y555" s="13">
        <v>3553.84</v>
      </c>
      <c r="Z555" s="11">
        <v>5</v>
      </c>
      <c r="AA555" s="11"/>
      <c r="AB555" s="13"/>
      <c r="AC555" s="11"/>
      <c r="AD555" s="12"/>
      <c r="AE555" s="12"/>
      <c r="AF555" s="11">
        <v>10</v>
      </c>
      <c r="AG555" s="13">
        <v>246.22</v>
      </c>
      <c r="AH555" s="11">
        <v>5</v>
      </c>
      <c r="AI555" s="11"/>
      <c r="AJ555" s="13"/>
      <c r="AK555" s="11"/>
      <c r="AL555" s="12"/>
      <c r="AM555" s="12"/>
      <c r="AN555" s="11">
        <v>38</v>
      </c>
      <c r="AO555" s="13">
        <v>1148.36</v>
      </c>
      <c r="AP555" s="11">
        <v>5</v>
      </c>
      <c r="AQ555" s="11"/>
      <c r="AR555" s="13"/>
      <c r="AS555" s="11"/>
      <c r="AT555" s="12"/>
      <c r="AU555" s="12"/>
      <c r="AV555" s="11">
        <v>130</v>
      </c>
      <c r="AW555" s="13">
        <v>3928.6</v>
      </c>
      <c r="AX555" s="11">
        <v>5</v>
      </c>
      <c r="AY555" s="11"/>
      <c r="AZ555" s="13"/>
      <c r="BA555" s="11"/>
      <c r="BB555" s="12"/>
      <c r="BC555" s="12"/>
      <c r="BD555" s="11">
        <v>14</v>
      </c>
      <c r="BE555" s="13">
        <v>411.32</v>
      </c>
      <c r="BF555" s="11">
        <v>5</v>
      </c>
      <c r="BG555" s="11"/>
      <c r="BH555" s="13"/>
      <c r="BI555" s="11"/>
      <c r="BJ555" s="12"/>
      <c r="BK555" s="12"/>
      <c r="BL555" s="11">
        <v>21</v>
      </c>
      <c r="BM555" s="13">
        <v>616.98</v>
      </c>
      <c r="BN555" s="11">
        <v>5</v>
      </c>
      <c r="BO555" s="11"/>
      <c r="BP555" s="13"/>
      <c r="BQ555" s="11"/>
      <c r="BR555" s="12"/>
      <c r="BS555" s="12"/>
      <c r="BT555" s="11">
        <v>115</v>
      </c>
      <c r="BU555" s="13">
        <v>3433.97</v>
      </c>
      <c r="BV555" s="11">
        <v>5</v>
      </c>
      <c r="BW555" s="11"/>
      <c r="BX555" s="13"/>
      <c r="BY555" s="11"/>
      <c r="BZ555" s="12"/>
      <c r="CA555" s="12"/>
      <c r="CB555" s="11">
        <v>14</v>
      </c>
      <c r="CC555" s="13">
        <v>411.32</v>
      </c>
      <c r="CD555" s="11">
        <v>5</v>
      </c>
      <c r="CE555" s="11"/>
      <c r="CF555" s="13"/>
      <c r="CG555" s="11"/>
      <c r="CH555" s="12"/>
      <c r="CI555" s="12"/>
      <c r="CJ555" s="11"/>
      <c r="CK555" s="13"/>
      <c r="CL555" s="11">
        <v>5</v>
      </c>
      <c r="CM555" s="11"/>
      <c r="CN555" s="13"/>
      <c r="CO555" s="11"/>
      <c r="CP555" s="12"/>
      <c r="CQ555" s="12"/>
      <c r="CR555" s="11"/>
      <c r="CS555" s="13"/>
      <c r="CT555" s="11"/>
      <c r="CU555" s="11"/>
      <c r="CV555" s="13"/>
      <c r="CW555" s="11"/>
      <c r="CX555" s="12"/>
      <c r="CY555" s="12"/>
      <c r="CZ555" s="11"/>
      <c r="DA555" s="13"/>
      <c r="DB555" s="11"/>
      <c r="DC555" s="11"/>
      <c r="DD555" s="13"/>
      <c r="DE555" s="11"/>
      <c r="DF555" s="12"/>
      <c r="DG555" s="12"/>
      <c r="DH555" s="11"/>
      <c r="DI555" s="13"/>
      <c r="DJ555" s="11"/>
      <c r="DK555" s="11"/>
      <c r="DL555" s="13"/>
      <c r="DM555" s="11"/>
      <c r="DN555" s="12"/>
      <c r="DO555" s="12"/>
      <c r="DP555" s="11">
        <v>1</v>
      </c>
      <c r="DQ555" s="13">
        <v>29.38</v>
      </c>
      <c r="DR555" s="11">
        <v>5</v>
      </c>
      <c r="DS555" s="11"/>
      <c r="DT555" s="13"/>
      <c r="DU555" s="11"/>
      <c r="DV555" s="12"/>
      <c r="DW555" s="12"/>
      <c r="DX555" s="11"/>
      <c r="DY555" s="13"/>
      <c r="DZ555" s="11"/>
      <c r="EA555" s="11"/>
      <c r="EB555" s="13"/>
      <c r="EC555" s="11"/>
      <c r="ED555" s="12"/>
      <c r="EE555" s="12"/>
      <c r="EF555" s="11"/>
      <c r="EG555" s="13"/>
      <c r="EH555" s="11"/>
      <c r="EI555" s="11"/>
      <c r="EJ555" s="13"/>
      <c r="EK555" s="11"/>
      <c r="EL555" s="12"/>
      <c r="EM555" s="12"/>
      <c r="EN555" s="11"/>
      <c r="EO555" s="13"/>
      <c r="EP555" s="11">
        <v>5</v>
      </c>
      <c r="EQ555" s="11"/>
      <c r="ER555" s="13"/>
      <c r="ES555" s="11"/>
      <c r="ET555" s="12"/>
      <c r="EU555" s="12"/>
      <c r="EV555" s="11"/>
      <c r="EW555" s="13"/>
      <c r="EX555" s="11"/>
      <c r="EY555" s="11"/>
      <c r="EZ555" s="13"/>
      <c r="FA555" s="11"/>
      <c r="FB555" s="12"/>
      <c r="FC555" s="12"/>
      <c r="FD555" s="11"/>
      <c r="FE555" s="13"/>
      <c r="FF555" s="11"/>
      <c r="FG555" s="11"/>
      <c r="FH555" s="13"/>
      <c r="FI555" s="11"/>
      <c r="FJ555" s="12"/>
      <c r="FK555" s="12"/>
      <c r="FL555" s="11">
        <v>9</v>
      </c>
      <c r="FM555" s="13">
        <v>271.98</v>
      </c>
      <c r="FN555" s="11">
        <v>5</v>
      </c>
      <c r="FO555" s="11"/>
      <c r="FP555" s="13"/>
      <c r="FQ555" s="11"/>
      <c r="FR555" s="12"/>
      <c r="FS555" s="12"/>
      <c r="FT555" s="11"/>
      <c r="FU555" s="13"/>
      <c r="FV555" s="11"/>
      <c r="FW555" s="11"/>
      <c r="FX555" s="13"/>
      <c r="FY555" s="11"/>
      <c r="FZ555" s="12"/>
      <c r="GA555" s="12"/>
      <c r="GB555" s="11"/>
      <c r="GC555" s="13"/>
      <c r="GD555" s="11"/>
      <c r="GE555" s="11"/>
      <c r="GF555" s="13"/>
      <c r="GG555" s="11"/>
      <c r="GH555" s="12"/>
      <c r="GI555" s="12"/>
      <c r="GJ555" s="11"/>
      <c r="GK555" s="13"/>
      <c r="GL555" s="11"/>
      <c r="GM555" s="11"/>
      <c r="GN555" s="13"/>
      <c r="GO555" s="11"/>
      <c r="GP555" s="12"/>
      <c r="GQ555" s="12"/>
      <c r="GR555" s="11"/>
      <c r="GS555" s="13"/>
      <c r="GT555" s="11">
        <v>5</v>
      </c>
      <c r="GU555" s="11"/>
      <c r="GV555" s="13"/>
      <c r="GW555" s="11"/>
      <c r="GX555" s="12"/>
      <c r="GY555" s="12"/>
      <c r="GZ555" s="11"/>
      <c r="HA555" s="13"/>
      <c r="HB555" s="11"/>
      <c r="HC555" s="11"/>
      <c r="HD555" s="13"/>
      <c r="HE555" s="11"/>
      <c r="HF555" s="12"/>
      <c r="HG555" s="12"/>
      <c r="HH555" s="11"/>
      <c r="HI555" s="13"/>
      <c r="HJ555" s="11"/>
      <c r="HK555" s="11"/>
      <c r="HL555" s="13"/>
      <c r="HM555" s="11"/>
      <c r="HN555" s="12"/>
      <c r="HO555" s="12"/>
      <c r="HP555" s="11"/>
      <c r="HQ555" s="13"/>
      <c r="HR555" s="11"/>
      <c r="HS555" s="11"/>
      <c r="HT555" s="13"/>
      <c r="HU555" s="11"/>
      <c r="HV555" s="12"/>
      <c r="HW555" s="12"/>
      <c r="HX555" s="11"/>
      <c r="HY555" s="13"/>
      <c r="HZ555" s="11"/>
      <c r="IA555" s="11"/>
      <c r="IB555" s="13"/>
      <c r="IC555" s="11"/>
      <c r="ID555" s="12"/>
      <c r="IE555" s="12"/>
      <c r="IF555" s="11"/>
      <c r="IG555" s="13"/>
      <c r="IH555" s="11"/>
      <c r="II555" s="11"/>
      <c r="IJ555" s="13"/>
      <c r="IK555" s="11"/>
      <c r="IL555" s="12"/>
      <c r="IM555" s="12"/>
      <c r="IN555" s="11"/>
      <c r="IO555" s="13"/>
      <c r="IP555" s="11"/>
      <c r="IQ555" s="11"/>
      <c r="IR555" s="13"/>
      <c r="IS555" s="11"/>
      <c r="IT555" s="12"/>
      <c r="IU555" s="12"/>
      <c r="IV555" s="11"/>
      <c r="IW555" s="13"/>
      <c r="IX555" s="11"/>
      <c r="IY555" s="11"/>
      <c r="IZ555" s="13"/>
      <c r="JA555" s="11"/>
      <c r="JB555" s="12"/>
      <c r="JC555" s="12"/>
      <c r="JD555" s="11"/>
      <c r="JE555" s="13"/>
      <c r="JF555" s="11"/>
      <c r="JG555" s="11"/>
      <c r="JH555" s="13"/>
      <c r="JI555" s="11"/>
      <c r="JJ555" s="12"/>
      <c r="JK555" s="12"/>
      <c r="JL555" s="11"/>
      <c r="JM555" s="13"/>
      <c r="JN555" s="11"/>
      <c r="JO555" s="11"/>
      <c r="JP555" s="13"/>
      <c r="JQ555" s="11"/>
      <c r="JR555" s="12"/>
      <c r="JS555" s="12"/>
      <c r="JT555" s="11"/>
      <c r="JU555" s="13"/>
      <c r="JV555" s="11"/>
      <c r="JW555" s="11"/>
      <c r="JX555" s="13"/>
      <c r="JY555" s="11"/>
      <c r="JZ555" s="12"/>
      <c r="KA555" s="12"/>
      <c r="KB555" s="11"/>
      <c r="KC555" s="13"/>
      <c r="KD555" s="11"/>
      <c r="KE555" s="11"/>
      <c r="KF555" s="13"/>
      <c r="KG555" s="11"/>
      <c r="KH555" s="12"/>
      <c r="KI555" s="12"/>
      <c r="KJ555" s="11"/>
      <c r="KK555" s="13"/>
      <c r="KL555" s="11"/>
      <c r="KM555" s="11"/>
      <c r="KN555" s="13"/>
      <c r="KO555" s="11"/>
      <c r="KP555" s="12"/>
      <c r="KQ555" s="12"/>
      <c r="KR555" s="11"/>
      <c r="KS555" s="13"/>
      <c r="KT555" s="11"/>
      <c r="KU555" s="11"/>
      <c r="KV555" s="13"/>
      <c r="KW555" s="11"/>
      <c r="KX555" s="12"/>
      <c r="KY555" s="12"/>
      <c r="KZ555" s="11"/>
      <c r="LA555" s="13"/>
      <c r="LB555" s="11"/>
      <c r="LC555" s="11"/>
      <c r="LD555" s="13"/>
      <c r="LE555" s="11"/>
      <c r="LF555" s="12"/>
      <c r="LG555" s="12"/>
      <c r="LH555" s="11"/>
      <c r="LI555" s="13"/>
      <c r="LJ555" s="11"/>
      <c r="LK555" s="11"/>
      <c r="LL555" s="13"/>
      <c r="LM555" s="11"/>
      <c r="LN555" s="12"/>
      <c r="LO555" s="12"/>
      <c r="LP555" s="11"/>
      <c r="LQ555" s="13"/>
      <c r="LR555" s="11"/>
      <c r="LS555" s="11"/>
      <c r="LT555" s="13"/>
      <c r="LU555" s="11"/>
      <c r="LV555" s="12"/>
      <c r="LW555" s="12"/>
    </row>
    <row r="556">
      <c r="A556" s="10" t="s">
        <v>287</v>
      </c>
      <c r="B556" s="10" t="s">
        <v>108</v>
      </c>
      <c r="C556" s="10" t="s">
        <v>77</v>
      </c>
      <c r="D556" s="11">
        <v>658</v>
      </c>
      <c r="E556" s="11">
        <f>=ROUNDDOWN({0},0)</f>
      </c>
      <c r="F556" s="11"/>
      <c r="G556" s="12"/>
      <c r="H556" s="11"/>
      <c r="I556" s="11">
        <f>=ROUNDDOWN({0},0)</f>
      </c>
      <c r="J556" s="11"/>
      <c r="K556" s="12"/>
      <c r="L556" s="11">
        <v>496</v>
      </c>
      <c r="M556" s="13">
        <v>14051.97</v>
      </c>
      <c r="N556" s="11">
        <v>5</v>
      </c>
      <c r="O556" s="14">
        <v>2810.39</v>
      </c>
      <c r="P556" s="11"/>
      <c r="Q556" s="13"/>
      <c r="R556" s="11"/>
      <c r="S556" s="14"/>
      <c r="T556" s="12"/>
      <c r="U556" s="12"/>
      <c r="V556" s="12"/>
      <c r="W556" s="12"/>
      <c r="X556" s="11">
        <v>144</v>
      </c>
      <c r="Y556" s="13">
        <v>3553.84</v>
      </c>
      <c r="Z556" s="11">
        <v>5</v>
      </c>
      <c r="AA556" s="11"/>
      <c r="AB556" s="13"/>
      <c r="AC556" s="11"/>
      <c r="AD556" s="12"/>
      <c r="AE556" s="12"/>
      <c r="AF556" s="11">
        <v>10</v>
      </c>
      <c r="AG556" s="13">
        <v>246.22</v>
      </c>
      <c r="AH556" s="11">
        <v>5</v>
      </c>
      <c r="AI556" s="11"/>
      <c r="AJ556" s="13"/>
      <c r="AK556" s="11"/>
      <c r="AL556" s="12"/>
      <c r="AM556" s="12"/>
      <c r="AN556" s="11">
        <v>38</v>
      </c>
      <c r="AO556" s="13">
        <v>1148.36</v>
      </c>
      <c r="AP556" s="11">
        <v>5</v>
      </c>
      <c r="AQ556" s="11"/>
      <c r="AR556" s="13"/>
      <c r="AS556" s="11"/>
      <c r="AT556" s="12"/>
      <c r="AU556" s="12"/>
      <c r="AV556" s="11">
        <v>130</v>
      </c>
      <c r="AW556" s="13">
        <v>3928.6</v>
      </c>
      <c r="AX556" s="11">
        <v>5</v>
      </c>
      <c r="AY556" s="11"/>
      <c r="AZ556" s="13"/>
      <c r="BA556" s="11"/>
      <c r="BB556" s="12"/>
      <c r="BC556" s="12"/>
      <c r="BD556" s="11">
        <v>14</v>
      </c>
      <c r="BE556" s="13">
        <v>411.32</v>
      </c>
      <c r="BF556" s="11">
        <v>5</v>
      </c>
      <c r="BG556" s="11"/>
      <c r="BH556" s="13"/>
      <c r="BI556" s="11"/>
      <c r="BJ556" s="12"/>
      <c r="BK556" s="12"/>
      <c r="BL556" s="11">
        <v>21</v>
      </c>
      <c r="BM556" s="13">
        <v>616.98</v>
      </c>
      <c r="BN556" s="11">
        <v>5</v>
      </c>
      <c r="BO556" s="11"/>
      <c r="BP556" s="13"/>
      <c r="BQ556" s="11"/>
      <c r="BR556" s="12"/>
      <c r="BS556" s="12"/>
      <c r="BT556" s="11">
        <v>115</v>
      </c>
      <c r="BU556" s="13">
        <v>3433.97</v>
      </c>
      <c r="BV556" s="11">
        <v>5</v>
      </c>
      <c r="BW556" s="11"/>
      <c r="BX556" s="13"/>
      <c r="BY556" s="11"/>
      <c r="BZ556" s="12"/>
      <c r="CA556" s="12"/>
      <c r="CB556" s="11">
        <v>14</v>
      </c>
      <c r="CC556" s="13">
        <v>411.32</v>
      </c>
      <c r="CD556" s="11">
        <v>5</v>
      </c>
      <c r="CE556" s="11"/>
      <c r="CF556" s="13"/>
      <c r="CG556" s="11"/>
      <c r="CH556" s="12"/>
      <c r="CI556" s="12"/>
      <c r="CJ556" s="11"/>
      <c r="CK556" s="13"/>
      <c r="CL556" s="11">
        <v>5</v>
      </c>
      <c r="CM556" s="11"/>
      <c r="CN556" s="13"/>
      <c r="CO556" s="11"/>
      <c r="CP556" s="12"/>
      <c r="CQ556" s="12"/>
      <c r="CR556" s="11"/>
      <c r="CS556" s="13"/>
      <c r="CT556" s="11"/>
      <c r="CU556" s="11"/>
      <c r="CV556" s="13"/>
      <c r="CW556" s="11"/>
      <c r="CX556" s="12"/>
      <c r="CY556" s="12"/>
      <c r="CZ556" s="11"/>
      <c r="DA556" s="13"/>
      <c r="DB556" s="11"/>
      <c r="DC556" s="11"/>
      <c r="DD556" s="13"/>
      <c r="DE556" s="11"/>
      <c r="DF556" s="12"/>
      <c r="DG556" s="12"/>
      <c r="DH556" s="11"/>
      <c r="DI556" s="13"/>
      <c r="DJ556" s="11"/>
      <c r="DK556" s="11"/>
      <c r="DL556" s="13"/>
      <c r="DM556" s="11"/>
      <c r="DN556" s="12"/>
      <c r="DO556" s="12"/>
      <c r="DP556" s="11">
        <v>1</v>
      </c>
      <c r="DQ556" s="13">
        <v>29.38</v>
      </c>
      <c r="DR556" s="11">
        <v>5</v>
      </c>
      <c r="DS556" s="11"/>
      <c r="DT556" s="13"/>
      <c r="DU556" s="11"/>
      <c r="DV556" s="12"/>
      <c r="DW556" s="12"/>
      <c r="DX556" s="11"/>
      <c r="DY556" s="13"/>
      <c r="DZ556" s="11"/>
      <c r="EA556" s="11"/>
      <c r="EB556" s="13"/>
      <c r="EC556" s="11"/>
      <c r="ED556" s="12"/>
      <c r="EE556" s="12"/>
      <c r="EF556" s="11"/>
      <c r="EG556" s="13"/>
      <c r="EH556" s="11"/>
      <c r="EI556" s="11"/>
      <c r="EJ556" s="13"/>
      <c r="EK556" s="11"/>
      <c r="EL556" s="12"/>
      <c r="EM556" s="12"/>
      <c r="EN556" s="11"/>
      <c r="EO556" s="13"/>
      <c r="EP556" s="11">
        <v>5</v>
      </c>
      <c r="EQ556" s="11"/>
      <c r="ER556" s="13"/>
      <c r="ES556" s="11"/>
      <c r="ET556" s="12"/>
      <c r="EU556" s="12"/>
      <c r="EV556" s="11"/>
      <c r="EW556" s="13"/>
      <c r="EX556" s="11"/>
      <c r="EY556" s="11"/>
      <c r="EZ556" s="13"/>
      <c r="FA556" s="11"/>
      <c r="FB556" s="12"/>
      <c r="FC556" s="12"/>
      <c r="FD556" s="11"/>
      <c r="FE556" s="13"/>
      <c r="FF556" s="11"/>
      <c r="FG556" s="11"/>
      <c r="FH556" s="13"/>
      <c r="FI556" s="11"/>
      <c r="FJ556" s="12"/>
      <c r="FK556" s="12"/>
      <c r="FL556" s="11">
        <v>9</v>
      </c>
      <c r="FM556" s="13">
        <v>271.98</v>
      </c>
      <c r="FN556" s="11">
        <v>5</v>
      </c>
      <c r="FO556" s="11"/>
      <c r="FP556" s="13"/>
      <c r="FQ556" s="11"/>
      <c r="FR556" s="12"/>
      <c r="FS556" s="12"/>
      <c r="FT556" s="11"/>
      <c r="FU556" s="13"/>
      <c r="FV556" s="11"/>
      <c r="FW556" s="11"/>
      <c r="FX556" s="13"/>
      <c r="FY556" s="11"/>
      <c r="FZ556" s="12"/>
      <c r="GA556" s="12"/>
      <c r="GB556" s="11"/>
      <c r="GC556" s="13"/>
      <c r="GD556" s="11"/>
      <c r="GE556" s="11"/>
      <c r="GF556" s="13"/>
      <c r="GG556" s="11"/>
      <c r="GH556" s="12"/>
      <c r="GI556" s="12"/>
      <c r="GJ556" s="11"/>
      <c r="GK556" s="13"/>
      <c r="GL556" s="11"/>
      <c r="GM556" s="11"/>
      <c r="GN556" s="13"/>
      <c r="GO556" s="11"/>
      <c r="GP556" s="12"/>
      <c r="GQ556" s="12"/>
      <c r="GR556" s="11"/>
      <c r="GS556" s="13"/>
      <c r="GT556" s="11">
        <v>5</v>
      </c>
      <c r="GU556" s="11"/>
      <c r="GV556" s="13"/>
      <c r="GW556" s="11"/>
      <c r="GX556" s="12"/>
      <c r="GY556" s="12"/>
      <c r="GZ556" s="11"/>
      <c r="HA556" s="13"/>
      <c r="HB556" s="11"/>
      <c r="HC556" s="11"/>
      <c r="HD556" s="13"/>
      <c r="HE556" s="11"/>
      <c r="HF556" s="12"/>
      <c r="HG556" s="12"/>
      <c r="HH556" s="11"/>
      <c r="HI556" s="13"/>
      <c r="HJ556" s="11"/>
      <c r="HK556" s="11"/>
      <c r="HL556" s="13"/>
      <c r="HM556" s="11"/>
      <c r="HN556" s="12"/>
      <c r="HO556" s="12"/>
      <c r="HP556" s="11"/>
      <c r="HQ556" s="13"/>
      <c r="HR556" s="11"/>
      <c r="HS556" s="11"/>
      <c r="HT556" s="13"/>
      <c r="HU556" s="11"/>
      <c r="HV556" s="12"/>
      <c r="HW556" s="12"/>
      <c r="HX556" s="11"/>
      <c r="HY556" s="13"/>
      <c r="HZ556" s="11"/>
      <c r="IA556" s="11"/>
      <c r="IB556" s="13"/>
      <c r="IC556" s="11"/>
      <c r="ID556" s="12"/>
      <c r="IE556" s="12"/>
      <c r="IF556" s="11"/>
      <c r="IG556" s="13"/>
      <c r="IH556" s="11"/>
      <c r="II556" s="11"/>
      <c r="IJ556" s="13"/>
      <c r="IK556" s="11"/>
      <c r="IL556" s="12"/>
      <c r="IM556" s="12"/>
      <c r="IN556" s="11"/>
      <c r="IO556" s="13"/>
      <c r="IP556" s="11"/>
      <c r="IQ556" s="11"/>
      <c r="IR556" s="13"/>
      <c r="IS556" s="11"/>
      <c r="IT556" s="12"/>
      <c r="IU556" s="12"/>
      <c r="IV556" s="11"/>
      <c r="IW556" s="13"/>
      <c r="IX556" s="11"/>
      <c r="IY556" s="11"/>
      <c r="IZ556" s="13"/>
      <c r="JA556" s="11"/>
      <c r="JB556" s="12"/>
      <c r="JC556" s="12"/>
      <c r="JD556" s="11"/>
      <c r="JE556" s="13"/>
      <c r="JF556" s="11"/>
      <c r="JG556" s="11"/>
      <c r="JH556" s="13"/>
      <c r="JI556" s="11"/>
      <c r="JJ556" s="12"/>
      <c r="JK556" s="12"/>
      <c r="JL556" s="11"/>
      <c r="JM556" s="13"/>
      <c r="JN556" s="11"/>
      <c r="JO556" s="11"/>
      <c r="JP556" s="13"/>
      <c r="JQ556" s="11"/>
      <c r="JR556" s="12"/>
      <c r="JS556" s="12"/>
      <c r="JT556" s="11"/>
      <c r="JU556" s="13"/>
      <c r="JV556" s="11"/>
      <c r="JW556" s="11"/>
      <c r="JX556" s="13"/>
      <c r="JY556" s="11"/>
      <c r="JZ556" s="12"/>
      <c r="KA556" s="12"/>
      <c r="KB556" s="11"/>
      <c r="KC556" s="13"/>
      <c r="KD556" s="11"/>
      <c r="KE556" s="11"/>
      <c r="KF556" s="13"/>
      <c r="KG556" s="11"/>
      <c r="KH556" s="12"/>
      <c r="KI556" s="12"/>
      <c r="KJ556" s="11"/>
      <c r="KK556" s="13"/>
      <c r="KL556" s="11"/>
      <c r="KM556" s="11"/>
      <c r="KN556" s="13"/>
      <c r="KO556" s="11"/>
      <c r="KP556" s="12"/>
      <c r="KQ556" s="12"/>
      <c r="KR556" s="11"/>
      <c r="KS556" s="13"/>
      <c r="KT556" s="11"/>
      <c r="KU556" s="11"/>
      <c r="KV556" s="13"/>
      <c r="KW556" s="11"/>
      <c r="KX556" s="12"/>
      <c r="KY556" s="12"/>
      <c r="KZ556" s="11"/>
      <c r="LA556" s="13"/>
      <c r="LB556" s="11"/>
      <c r="LC556" s="11"/>
      <c r="LD556" s="13"/>
      <c r="LE556" s="11"/>
      <c r="LF556" s="12"/>
      <c r="LG556" s="12"/>
      <c r="LH556" s="11"/>
      <c r="LI556" s="13"/>
      <c r="LJ556" s="11"/>
      <c r="LK556" s="11"/>
      <c r="LL556" s="13"/>
      <c r="LM556" s="11"/>
      <c r="LN556" s="12"/>
      <c r="LO556" s="12"/>
      <c r="LP556" s="11"/>
      <c r="LQ556" s="13"/>
      <c r="LR556" s="11"/>
      <c r="LS556" s="11"/>
      <c r="LT556" s="13"/>
      <c r="LU556" s="11"/>
      <c r="LV556" s="12"/>
      <c r="LW556" s="12"/>
    </row>
    <row r="557">
      <c r="A557" s="10" t="s">
        <v>287</v>
      </c>
      <c r="B557" s="10" t="s">
        <v>113</v>
      </c>
      <c r="C557" s="10" t="s">
        <v>189</v>
      </c>
      <c r="D557" s="11">
        <v>14395</v>
      </c>
      <c r="E557" s="11">
        <f>=ROUNDDOWN(19.8032741780162,0)</f>
      </c>
      <c r="F557" s="11">
        <v>18285</v>
      </c>
      <c r="G557" s="12">
        <v>0.8123</v>
      </c>
      <c r="H557" s="11"/>
      <c r="I557" s="11">
        <f>=ROUNDDOWN({0},0)</f>
      </c>
      <c r="J557" s="11"/>
      <c r="K557" s="12"/>
      <c r="L557" s="11">
        <v>8830</v>
      </c>
      <c r="M557" s="13">
        <v>231431.47</v>
      </c>
      <c r="N557" s="11">
        <v>16</v>
      </c>
      <c r="O557" s="14">
        <v>14464.47</v>
      </c>
      <c r="P557" s="11"/>
      <c r="Q557" s="13"/>
      <c r="R557" s="11"/>
      <c r="S557" s="14"/>
      <c r="T557" s="12"/>
      <c r="U557" s="12"/>
      <c r="V557" s="12"/>
      <c r="W557" s="12"/>
      <c r="X557" s="11">
        <v>2012</v>
      </c>
      <c r="Y557" s="13">
        <v>55298.41</v>
      </c>
      <c r="Z557" s="11">
        <v>15</v>
      </c>
      <c r="AA557" s="11"/>
      <c r="AB557" s="13"/>
      <c r="AC557" s="11"/>
      <c r="AD557" s="12"/>
      <c r="AE557" s="12"/>
      <c r="AF557" s="11">
        <v>238</v>
      </c>
      <c r="AG557" s="13">
        <v>5445.52</v>
      </c>
      <c r="AH557" s="11">
        <v>15</v>
      </c>
      <c r="AI557" s="11"/>
      <c r="AJ557" s="13"/>
      <c r="AK557" s="11"/>
      <c r="AL557" s="12"/>
      <c r="AM557" s="12"/>
      <c r="AN557" s="11">
        <v>2353</v>
      </c>
      <c r="AO557" s="13">
        <v>58671.52</v>
      </c>
      <c r="AP557" s="11">
        <v>16</v>
      </c>
      <c r="AQ557" s="11"/>
      <c r="AR557" s="13"/>
      <c r="AS557" s="11"/>
      <c r="AT557" s="12"/>
      <c r="AU557" s="12"/>
      <c r="AV557" s="11">
        <v>1744</v>
      </c>
      <c r="AW557" s="13">
        <v>44982.83</v>
      </c>
      <c r="AX557" s="11">
        <v>15</v>
      </c>
      <c r="AY557" s="11"/>
      <c r="AZ557" s="13"/>
      <c r="BA557" s="11"/>
      <c r="BB557" s="12"/>
      <c r="BC557" s="12"/>
      <c r="BD557" s="11">
        <v>876</v>
      </c>
      <c r="BE557" s="13">
        <v>24894.6</v>
      </c>
      <c r="BF557" s="11">
        <v>16</v>
      </c>
      <c r="BG557" s="11"/>
      <c r="BH557" s="13"/>
      <c r="BI557" s="11"/>
      <c r="BJ557" s="12"/>
      <c r="BK557" s="12"/>
      <c r="BL557" s="11">
        <v>69</v>
      </c>
      <c r="BM557" s="13">
        <v>1905.58</v>
      </c>
      <c r="BN557" s="11">
        <v>16</v>
      </c>
      <c r="BO557" s="11"/>
      <c r="BP557" s="13"/>
      <c r="BQ557" s="11"/>
      <c r="BR557" s="12"/>
      <c r="BS557" s="12"/>
      <c r="BT557" s="11">
        <v>254</v>
      </c>
      <c r="BU557" s="13">
        <v>7199.44</v>
      </c>
      <c r="BV557" s="11">
        <v>16</v>
      </c>
      <c r="BW557" s="11"/>
      <c r="BX557" s="13"/>
      <c r="BY557" s="11"/>
      <c r="BZ557" s="12"/>
      <c r="CA557" s="12"/>
      <c r="CB557" s="11">
        <v>510</v>
      </c>
      <c r="CC557" s="13">
        <v>12439.8</v>
      </c>
      <c r="CD557" s="11">
        <v>16</v>
      </c>
      <c r="CE557" s="11"/>
      <c r="CF557" s="13"/>
      <c r="CG557" s="11"/>
      <c r="CH557" s="12"/>
      <c r="CI557" s="12"/>
      <c r="CJ557" s="11">
        <v>2</v>
      </c>
      <c r="CK557" s="13">
        <v>85.38</v>
      </c>
      <c r="CL557" s="11">
        <v>15</v>
      </c>
      <c r="CM557" s="11"/>
      <c r="CN557" s="13"/>
      <c r="CO557" s="11"/>
      <c r="CP557" s="12"/>
      <c r="CQ557" s="12"/>
      <c r="CR557" s="11"/>
      <c r="CS557" s="13"/>
      <c r="CT557" s="11"/>
      <c r="CU557" s="11"/>
      <c r="CV557" s="13"/>
      <c r="CW557" s="11"/>
      <c r="CX557" s="12"/>
      <c r="CY557" s="12"/>
      <c r="CZ557" s="11">
        <v>6</v>
      </c>
      <c r="DA557" s="13">
        <v>160.82</v>
      </c>
      <c r="DB557" s="11">
        <v>2</v>
      </c>
      <c r="DC557" s="11"/>
      <c r="DD557" s="13"/>
      <c r="DE557" s="11"/>
      <c r="DF557" s="12"/>
      <c r="DG557" s="12"/>
      <c r="DH557" s="11"/>
      <c r="DI557" s="13"/>
      <c r="DJ557" s="11"/>
      <c r="DK557" s="11"/>
      <c r="DL557" s="13"/>
      <c r="DM557" s="11"/>
      <c r="DN557" s="12"/>
      <c r="DO557" s="12"/>
      <c r="DP557" s="11">
        <v>262</v>
      </c>
      <c r="DQ557" s="13">
        <v>6866.93</v>
      </c>
      <c r="DR557" s="11">
        <v>16</v>
      </c>
      <c r="DS557" s="11"/>
      <c r="DT557" s="13"/>
      <c r="DU557" s="11"/>
      <c r="DV557" s="12"/>
      <c r="DW557" s="12"/>
      <c r="DX557" s="11">
        <v>103</v>
      </c>
      <c r="DY557" s="13">
        <v>2003.12</v>
      </c>
      <c r="DZ557" s="11">
        <v>16</v>
      </c>
      <c r="EA557" s="11"/>
      <c r="EB557" s="13"/>
      <c r="EC557" s="11"/>
      <c r="ED557" s="12"/>
      <c r="EE557" s="12"/>
      <c r="EF557" s="11"/>
      <c r="EG557" s="13"/>
      <c r="EH557" s="11"/>
      <c r="EI557" s="11"/>
      <c r="EJ557" s="13"/>
      <c r="EK557" s="11"/>
      <c r="EL557" s="12"/>
      <c r="EM557" s="12"/>
      <c r="EN557" s="11">
        <v>6</v>
      </c>
      <c r="EO557" s="13">
        <v>315.94</v>
      </c>
      <c r="EP557" s="11">
        <v>16</v>
      </c>
      <c r="EQ557" s="11"/>
      <c r="ER557" s="13"/>
      <c r="ES557" s="11"/>
      <c r="ET557" s="12"/>
      <c r="EU557" s="12"/>
      <c r="EV557" s="11">
        <v>56</v>
      </c>
      <c r="EW557" s="13">
        <v>1495.7</v>
      </c>
      <c r="EX557" s="11">
        <v>9</v>
      </c>
      <c r="EY557" s="11"/>
      <c r="EZ557" s="13"/>
      <c r="FA557" s="11"/>
      <c r="FB557" s="12"/>
      <c r="FC557" s="12"/>
      <c r="FD557" s="11">
        <v>1</v>
      </c>
      <c r="FE557" s="13">
        <v>26.46</v>
      </c>
      <c r="FF557" s="11">
        <v>1</v>
      </c>
      <c r="FG557" s="11"/>
      <c r="FH557" s="13"/>
      <c r="FI557" s="11"/>
      <c r="FJ557" s="12"/>
      <c r="FK557" s="12"/>
      <c r="FL557" s="11">
        <v>323</v>
      </c>
      <c r="FM557" s="13">
        <v>9213.66</v>
      </c>
      <c r="FN557" s="11">
        <v>13</v>
      </c>
      <c r="FO557" s="11"/>
      <c r="FP557" s="13"/>
      <c r="FQ557" s="11"/>
      <c r="FR557" s="12"/>
      <c r="FS557" s="12"/>
      <c r="FT557" s="11"/>
      <c r="FU557" s="13"/>
      <c r="FV557" s="11"/>
      <c r="FW557" s="11"/>
      <c r="FX557" s="13"/>
      <c r="FY557" s="11"/>
      <c r="FZ557" s="12"/>
      <c r="GA557" s="12"/>
      <c r="GB557" s="11"/>
      <c r="GC557" s="13"/>
      <c r="GD557" s="11"/>
      <c r="GE557" s="11"/>
      <c r="GF557" s="13"/>
      <c r="GG557" s="11"/>
      <c r="GH557" s="12"/>
      <c r="GI557" s="12"/>
      <c r="GJ557" s="11"/>
      <c r="GK557" s="13"/>
      <c r="GL557" s="11"/>
      <c r="GM557" s="11"/>
      <c r="GN557" s="13"/>
      <c r="GO557" s="11"/>
      <c r="GP557" s="12"/>
      <c r="GQ557" s="12"/>
      <c r="GR557" s="11">
        <v>3</v>
      </c>
      <c r="GS557" s="13">
        <v>89.82</v>
      </c>
      <c r="GT557" s="11">
        <v>16</v>
      </c>
      <c r="GU557" s="11"/>
      <c r="GV557" s="13"/>
      <c r="GW557" s="11"/>
      <c r="GX557" s="12"/>
      <c r="GY557" s="12"/>
      <c r="GZ557" s="11"/>
      <c r="HA557" s="13"/>
      <c r="HB557" s="11"/>
      <c r="HC557" s="11"/>
      <c r="HD557" s="13"/>
      <c r="HE557" s="11"/>
      <c r="HF557" s="12"/>
      <c r="HG557" s="12"/>
      <c r="HH557" s="11"/>
      <c r="HI557" s="13"/>
      <c r="HJ557" s="11"/>
      <c r="HK557" s="11"/>
      <c r="HL557" s="13"/>
      <c r="HM557" s="11"/>
      <c r="HN557" s="12"/>
      <c r="HO557" s="12"/>
      <c r="HP557" s="11"/>
      <c r="HQ557" s="13"/>
      <c r="HR557" s="11"/>
      <c r="HS557" s="11"/>
      <c r="HT557" s="13"/>
      <c r="HU557" s="11"/>
      <c r="HV557" s="12"/>
      <c r="HW557" s="12"/>
      <c r="HX557" s="11"/>
      <c r="HY557" s="13"/>
      <c r="HZ557" s="11"/>
      <c r="IA557" s="11"/>
      <c r="IB557" s="13"/>
      <c r="IC557" s="11"/>
      <c r="ID557" s="12"/>
      <c r="IE557" s="12"/>
      <c r="IF557" s="11"/>
      <c r="IG557" s="13"/>
      <c r="IH557" s="11"/>
      <c r="II557" s="11"/>
      <c r="IJ557" s="13"/>
      <c r="IK557" s="11"/>
      <c r="IL557" s="12"/>
      <c r="IM557" s="12"/>
      <c r="IN557" s="11"/>
      <c r="IO557" s="13"/>
      <c r="IP557" s="11"/>
      <c r="IQ557" s="11"/>
      <c r="IR557" s="13"/>
      <c r="IS557" s="11"/>
      <c r="IT557" s="12"/>
      <c r="IU557" s="12"/>
      <c r="IV557" s="11">
        <v>6</v>
      </c>
      <c r="IW557" s="13">
        <v>161.28</v>
      </c>
      <c r="IX557" s="11">
        <v>8</v>
      </c>
      <c r="IY557" s="11"/>
      <c r="IZ557" s="13"/>
      <c r="JA557" s="11"/>
      <c r="JB557" s="12"/>
      <c r="JC557" s="12"/>
      <c r="JD557" s="11">
        <v>6</v>
      </c>
      <c r="JE557" s="13">
        <v>174.66</v>
      </c>
      <c r="JF557" s="11">
        <v>8</v>
      </c>
      <c r="JG557" s="11"/>
      <c r="JH557" s="13"/>
      <c r="JI557" s="11"/>
      <c r="JJ557" s="12"/>
      <c r="JK557" s="12"/>
      <c r="JL557" s="11"/>
      <c r="JM557" s="13"/>
      <c r="JN557" s="11"/>
      <c r="JO557" s="11"/>
      <c r="JP557" s="13"/>
      <c r="JQ557" s="11"/>
      <c r="JR557" s="12"/>
      <c r="JS557" s="12"/>
      <c r="JT557" s="11"/>
      <c r="JU557" s="13"/>
      <c r="JV557" s="11"/>
      <c r="JW557" s="11"/>
      <c r="JX557" s="13"/>
      <c r="JY557" s="11"/>
      <c r="JZ557" s="12"/>
      <c r="KA557" s="12"/>
      <c r="KB557" s="11"/>
      <c r="KC557" s="13"/>
      <c r="KD557" s="11"/>
      <c r="KE557" s="11"/>
      <c r="KF557" s="13"/>
      <c r="KG557" s="11"/>
      <c r="KH557" s="12"/>
      <c r="KI557" s="12"/>
      <c r="KJ557" s="11"/>
      <c r="KK557" s="13"/>
      <c r="KL557" s="11"/>
      <c r="KM557" s="11"/>
      <c r="KN557" s="13"/>
      <c r="KO557" s="11"/>
      <c r="KP557" s="12"/>
      <c r="KQ557" s="12"/>
      <c r="KR557" s="11"/>
      <c r="KS557" s="13"/>
      <c r="KT557" s="11"/>
      <c r="KU557" s="11"/>
      <c r="KV557" s="13"/>
      <c r="KW557" s="11"/>
      <c r="KX557" s="12"/>
      <c r="KY557" s="12"/>
      <c r="KZ557" s="11"/>
      <c r="LA557" s="13"/>
      <c r="LB557" s="11"/>
      <c r="LC557" s="11"/>
      <c r="LD557" s="13"/>
      <c r="LE557" s="11"/>
      <c r="LF557" s="12"/>
      <c r="LG557" s="12"/>
      <c r="LH557" s="11"/>
      <c r="LI557" s="13"/>
      <c r="LJ557" s="11"/>
      <c r="LK557" s="11"/>
      <c r="LL557" s="13"/>
      <c r="LM557" s="11"/>
      <c r="LN557" s="12"/>
      <c r="LO557" s="12"/>
      <c r="LP557" s="11"/>
      <c r="LQ557" s="13"/>
      <c r="LR557" s="11"/>
      <c r="LS557" s="11"/>
      <c r="LT557" s="13"/>
      <c r="LU557" s="11"/>
      <c r="LV557" s="12"/>
      <c r="LW557" s="12"/>
    </row>
    <row r="558">
      <c r="A558" s="10" t="s">
        <v>287</v>
      </c>
      <c r="B558" s="10" t="s">
        <v>116</v>
      </c>
      <c r="C558" s="10" t="s">
        <v>77</v>
      </c>
      <c r="D558" s="11">
        <v>14395</v>
      </c>
      <c r="E558" s="11">
        <f>=ROUNDDOWN({0},0)</f>
      </c>
      <c r="F558" s="11">
        <v>18285</v>
      </c>
      <c r="G558" s="12"/>
      <c r="H558" s="11"/>
      <c r="I558" s="11">
        <f>=ROUNDDOWN({0},0)</f>
      </c>
      <c r="J558" s="11"/>
      <c r="K558" s="12"/>
      <c r="L558" s="11">
        <v>8830</v>
      </c>
      <c r="M558" s="13">
        <v>231431.47</v>
      </c>
      <c r="N558" s="11">
        <v>16</v>
      </c>
      <c r="O558" s="14">
        <v>14464.47</v>
      </c>
      <c r="P558" s="11"/>
      <c r="Q558" s="13"/>
      <c r="R558" s="11"/>
      <c r="S558" s="14"/>
      <c r="T558" s="12"/>
      <c r="U558" s="12"/>
      <c r="V558" s="12"/>
      <c r="W558" s="12"/>
      <c r="X558" s="11">
        <v>2012</v>
      </c>
      <c r="Y558" s="13">
        <v>55298.41</v>
      </c>
      <c r="Z558" s="11">
        <v>15</v>
      </c>
      <c r="AA558" s="11"/>
      <c r="AB558" s="13"/>
      <c r="AC558" s="11"/>
      <c r="AD558" s="12"/>
      <c r="AE558" s="12"/>
      <c r="AF558" s="11">
        <v>238</v>
      </c>
      <c r="AG558" s="13">
        <v>5445.52</v>
      </c>
      <c r="AH558" s="11">
        <v>15</v>
      </c>
      <c r="AI558" s="11"/>
      <c r="AJ558" s="13"/>
      <c r="AK558" s="11"/>
      <c r="AL558" s="12"/>
      <c r="AM558" s="12"/>
      <c r="AN558" s="11">
        <v>2353</v>
      </c>
      <c r="AO558" s="13">
        <v>58671.52</v>
      </c>
      <c r="AP558" s="11">
        <v>16</v>
      </c>
      <c r="AQ558" s="11"/>
      <c r="AR558" s="13"/>
      <c r="AS558" s="11"/>
      <c r="AT558" s="12"/>
      <c r="AU558" s="12"/>
      <c r="AV558" s="11">
        <v>1744</v>
      </c>
      <c r="AW558" s="13">
        <v>44982.83</v>
      </c>
      <c r="AX558" s="11">
        <v>15</v>
      </c>
      <c r="AY558" s="11"/>
      <c r="AZ558" s="13"/>
      <c r="BA558" s="11"/>
      <c r="BB558" s="12"/>
      <c r="BC558" s="12"/>
      <c r="BD558" s="11">
        <v>876</v>
      </c>
      <c r="BE558" s="13">
        <v>24894.6</v>
      </c>
      <c r="BF558" s="11">
        <v>16</v>
      </c>
      <c r="BG558" s="11"/>
      <c r="BH558" s="13"/>
      <c r="BI558" s="11"/>
      <c r="BJ558" s="12"/>
      <c r="BK558" s="12"/>
      <c r="BL558" s="11">
        <v>69</v>
      </c>
      <c r="BM558" s="13">
        <v>1905.58</v>
      </c>
      <c r="BN558" s="11">
        <v>16</v>
      </c>
      <c r="BO558" s="11"/>
      <c r="BP558" s="13"/>
      <c r="BQ558" s="11"/>
      <c r="BR558" s="12"/>
      <c r="BS558" s="12"/>
      <c r="BT558" s="11">
        <v>254</v>
      </c>
      <c r="BU558" s="13">
        <v>7199.44</v>
      </c>
      <c r="BV558" s="11">
        <v>16</v>
      </c>
      <c r="BW558" s="11"/>
      <c r="BX558" s="13"/>
      <c r="BY558" s="11"/>
      <c r="BZ558" s="12"/>
      <c r="CA558" s="12"/>
      <c r="CB558" s="11">
        <v>510</v>
      </c>
      <c r="CC558" s="13">
        <v>12439.8</v>
      </c>
      <c r="CD558" s="11">
        <v>16</v>
      </c>
      <c r="CE558" s="11"/>
      <c r="CF558" s="13"/>
      <c r="CG558" s="11"/>
      <c r="CH558" s="12"/>
      <c r="CI558" s="12"/>
      <c r="CJ558" s="11">
        <v>2</v>
      </c>
      <c r="CK558" s="13">
        <v>85.38</v>
      </c>
      <c r="CL558" s="11">
        <v>15</v>
      </c>
      <c r="CM558" s="11"/>
      <c r="CN558" s="13"/>
      <c r="CO558" s="11"/>
      <c r="CP558" s="12"/>
      <c r="CQ558" s="12"/>
      <c r="CR558" s="11"/>
      <c r="CS558" s="13"/>
      <c r="CT558" s="11"/>
      <c r="CU558" s="11"/>
      <c r="CV558" s="13"/>
      <c r="CW558" s="11"/>
      <c r="CX558" s="12"/>
      <c r="CY558" s="12"/>
      <c r="CZ558" s="11">
        <v>6</v>
      </c>
      <c r="DA558" s="13">
        <v>160.82</v>
      </c>
      <c r="DB558" s="11">
        <v>2</v>
      </c>
      <c r="DC558" s="11"/>
      <c r="DD558" s="13"/>
      <c r="DE558" s="11"/>
      <c r="DF558" s="12"/>
      <c r="DG558" s="12"/>
      <c r="DH558" s="11"/>
      <c r="DI558" s="13"/>
      <c r="DJ558" s="11"/>
      <c r="DK558" s="11"/>
      <c r="DL558" s="13"/>
      <c r="DM558" s="11"/>
      <c r="DN558" s="12"/>
      <c r="DO558" s="12"/>
      <c r="DP558" s="11">
        <v>262</v>
      </c>
      <c r="DQ558" s="13">
        <v>6866.93</v>
      </c>
      <c r="DR558" s="11">
        <v>16</v>
      </c>
      <c r="DS558" s="11"/>
      <c r="DT558" s="13"/>
      <c r="DU558" s="11"/>
      <c r="DV558" s="12"/>
      <c r="DW558" s="12"/>
      <c r="DX558" s="11">
        <v>103</v>
      </c>
      <c r="DY558" s="13">
        <v>2003.12</v>
      </c>
      <c r="DZ558" s="11">
        <v>16</v>
      </c>
      <c r="EA558" s="11"/>
      <c r="EB558" s="13"/>
      <c r="EC558" s="11"/>
      <c r="ED558" s="12"/>
      <c r="EE558" s="12"/>
      <c r="EF558" s="11"/>
      <c r="EG558" s="13"/>
      <c r="EH558" s="11"/>
      <c r="EI558" s="11"/>
      <c r="EJ558" s="13"/>
      <c r="EK558" s="11"/>
      <c r="EL558" s="12"/>
      <c r="EM558" s="12"/>
      <c r="EN558" s="11">
        <v>6</v>
      </c>
      <c r="EO558" s="13">
        <v>315.94</v>
      </c>
      <c r="EP558" s="11">
        <v>16</v>
      </c>
      <c r="EQ558" s="11"/>
      <c r="ER558" s="13"/>
      <c r="ES558" s="11"/>
      <c r="ET558" s="12"/>
      <c r="EU558" s="12"/>
      <c r="EV558" s="11">
        <v>56</v>
      </c>
      <c r="EW558" s="13">
        <v>1495.7</v>
      </c>
      <c r="EX558" s="11">
        <v>9</v>
      </c>
      <c r="EY558" s="11"/>
      <c r="EZ558" s="13"/>
      <c r="FA558" s="11"/>
      <c r="FB558" s="12"/>
      <c r="FC558" s="12"/>
      <c r="FD558" s="11">
        <v>1</v>
      </c>
      <c r="FE558" s="13">
        <v>26.46</v>
      </c>
      <c r="FF558" s="11">
        <v>1</v>
      </c>
      <c r="FG558" s="11"/>
      <c r="FH558" s="13"/>
      <c r="FI558" s="11"/>
      <c r="FJ558" s="12"/>
      <c r="FK558" s="12"/>
      <c r="FL558" s="11">
        <v>323</v>
      </c>
      <c r="FM558" s="13">
        <v>9213.66</v>
      </c>
      <c r="FN558" s="11">
        <v>13</v>
      </c>
      <c r="FO558" s="11"/>
      <c r="FP558" s="13"/>
      <c r="FQ558" s="11"/>
      <c r="FR558" s="12"/>
      <c r="FS558" s="12"/>
      <c r="FT558" s="11"/>
      <c r="FU558" s="13"/>
      <c r="FV558" s="11"/>
      <c r="FW558" s="11"/>
      <c r="FX558" s="13"/>
      <c r="FY558" s="11"/>
      <c r="FZ558" s="12"/>
      <c r="GA558" s="12"/>
      <c r="GB558" s="11"/>
      <c r="GC558" s="13"/>
      <c r="GD558" s="11"/>
      <c r="GE558" s="11"/>
      <c r="GF558" s="13"/>
      <c r="GG558" s="11"/>
      <c r="GH558" s="12"/>
      <c r="GI558" s="12"/>
      <c r="GJ558" s="11"/>
      <c r="GK558" s="13"/>
      <c r="GL558" s="11"/>
      <c r="GM558" s="11"/>
      <c r="GN558" s="13"/>
      <c r="GO558" s="11"/>
      <c r="GP558" s="12"/>
      <c r="GQ558" s="12"/>
      <c r="GR558" s="11">
        <v>3</v>
      </c>
      <c r="GS558" s="13">
        <v>89.82</v>
      </c>
      <c r="GT558" s="11">
        <v>16</v>
      </c>
      <c r="GU558" s="11"/>
      <c r="GV558" s="13"/>
      <c r="GW558" s="11"/>
      <c r="GX558" s="12"/>
      <c r="GY558" s="12"/>
      <c r="GZ558" s="11"/>
      <c r="HA558" s="13"/>
      <c r="HB558" s="11"/>
      <c r="HC558" s="11"/>
      <c r="HD558" s="13"/>
      <c r="HE558" s="11"/>
      <c r="HF558" s="12"/>
      <c r="HG558" s="12"/>
      <c r="HH558" s="11"/>
      <c r="HI558" s="13"/>
      <c r="HJ558" s="11"/>
      <c r="HK558" s="11"/>
      <c r="HL558" s="13"/>
      <c r="HM558" s="11"/>
      <c r="HN558" s="12"/>
      <c r="HO558" s="12"/>
      <c r="HP558" s="11"/>
      <c r="HQ558" s="13"/>
      <c r="HR558" s="11"/>
      <c r="HS558" s="11"/>
      <c r="HT558" s="13"/>
      <c r="HU558" s="11"/>
      <c r="HV558" s="12"/>
      <c r="HW558" s="12"/>
      <c r="HX558" s="11"/>
      <c r="HY558" s="13"/>
      <c r="HZ558" s="11"/>
      <c r="IA558" s="11"/>
      <c r="IB558" s="13"/>
      <c r="IC558" s="11"/>
      <c r="ID558" s="12"/>
      <c r="IE558" s="12"/>
      <c r="IF558" s="11"/>
      <c r="IG558" s="13"/>
      <c r="IH558" s="11"/>
      <c r="II558" s="11"/>
      <c r="IJ558" s="13"/>
      <c r="IK558" s="11"/>
      <c r="IL558" s="12"/>
      <c r="IM558" s="12"/>
      <c r="IN558" s="11"/>
      <c r="IO558" s="13"/>
      <c r="IP558" s="11"/>
      <c r="IQ558" s="11"/>
      <c r="IR558" s="13"/>
      <c r="IS558" s="11"/>
      <c r="IT558" s="12"/>
      <c r="IU558" s="12"/>
      <c r="IV558" s="11">
        <v>6</v>
      </c>
      <c r="IW558" s="13">
        <v>161.28</v>
      </c>
      <c r="IX558" s="11">
        <v>8</v>
      </c>
      <c r="IY558" s="11"/>
      <c r="IZ558" s="13"/>
      <c r="JA558" s="11"/>
      <c r="JB558" s="12"/>
      <c r="JC558" s="12"/>
      <c r="JD558" s="11">
        <v>6</v>
      </c>
      <c r="JE558" s="13">
        <v>174.66</v>
      </c>
      <c r="JF558" s="11">
        <v>8</v>
      </c>
      <c r="JG558" s="11"/>
      <c r="JH558" s="13"/>
      <c r="JI558" s="11"/>
      <c r="JJ558" s="12"/>
      <c r="JK558" s="12"/>
      <c r="JL558" s="11"/>
      <c r="JM558" s="13"/>
      <c r="JN558" s="11"/>
      <c r="JO558" s="11"/>
      <c r="JP558" s="13"/>
      <c r="JQ558" s="11"/>
      <c r="JR558" s="12"/>
      <c r="JS558" s="12"/>
      <c r="JT558" s="11"/>
      <c r="JU558" s="13"/>
      <c r="JV558" s="11"/>
      <c r="JW558" s="11"/>
      <c r="JX558" s="13"/>
      <c r="JY558" s="11"/>
      <c r="JZ558" s="12"/>
      <c r="KA558" s="12"/>
      <c r="KB558" s="11"/>
      <c r="KC558" s="13"/>
      <c r="KD558" s="11"/>
      <c r="KE558" s="11"/>
      <c r="KF558" s="13"/>
      <c r="KG558" s="11"/>
      <c r="KH558" s="12"/>
      <c r="KI558" s="12"/>
      <c r="KJ558" s="11"/>
      <c r="KK558" s="13"/>
      <c r="KL558" s="11"/>
      <c r="KM558" s="11"/>
      <c r="KN558" s="13"/>
      <c r="KO558" s="11"/>
      <c r="KP558" s="12"/>
      <c r="KQ558" s="12"/>
      <c r="KR558" s="11"/>
      <c r="KS558" s="13"/>
      <c r="KT558" s="11"/>
      <c r="KU558" s="11"/>
      <c r="KV558" s="13"/>
      <c r="KW558" s="11"/>
      <c r="KX558" s="12"/>
      <c r="KY558" s="12"/>
      <c r="KZ558" s="11"/>
      <c r="LA558" s="13"/>
      <c r="LB558" s="11"/>
      <c r="LC558" s="11"/>
      <c r="LD558" s="13"/>
      <c r="LE558" s="11"/>
      <c r="LF558" s="12"/>
      <c r="LG558" s="12"/>
      <c r="LH558" s="11"/>
      <c r="LI558" s="13"/>
      <c r="LJ558" s="11"/>
      <c r="LK558" s="11"/>
      <c r="LL558" s="13"/>
      <c r="LM558" s="11"/>
      <c r="LN558" s="12"/>
      <c r="LO558" s="12"/>
      <c r="LP558" s="11"/>
      <c r="LQ558" s="13"/>
      <c r="LR558" s="11"/>
      <c r="LS558" s="11"/>
      <c r="LT558" s="13"/>
      <c r="LU558" s="11"/>
      <c r="LV558" s="12"/>
      <c r="LW558" s="12"/>
    </row>
    <row r="559">
      <c r="A559" s="10" t="s">
        <v>287</v>
      </c>
      <c r="B559" s="10" t="s">
        <v>117</v>
      </c>
      <c r="C559" s="10" t="s">
        <v>189</v>
      </c>
      <c r="D559" s="11">
        <v>7032</v>
      </c>
      <c r="E559" s="11">
        <f>=ROUNDDOWN(25.8529411764706,0)</f>
      </c>
      <c r="F559" s="11">
        <v>8368</v>
      </c>
      <c r="G559" s="12">
        <v>0.9767</v>
      </c>
      <c r="H559" s="11"/>
      <c r="I559" s="11">
        <f>=ROUNDDOWN({0},0)</f>
      </c>
      <c r="J559" s="11"/>
      <c r="K559" s="12"/>
      <c r="L559" s="11">
        <v>4472</v>
      </c>
      <c r="M559" s="13">
        <v>83074.06</v>
      </c>
      <c r="N559" s="11">
        <v>7</v>
      </c>
      <c r="O559" s="14">
        <v>11867.72</v>
      </c>
      <c r="P559" s="11"/>
      <c r="Q559" s="13"/>
      <c r="R559" s="11"/>
      <c r="S559" s="14"/>
      <c r="T559" s="12"/>
      <c r="U559" s="12"/>
      <c r="V559" s="12"/>
      <c r="W559" s="12"/>
      <c r="X559" s="11">
        <v>114</v>
      </c>
      <c r="Y559" s="13">
        <v>2315.64</v>
      </c>
      <c r="Z559" s="11">
        <v>7</v>
      </c>
      <c r="AA559" s="11"/>
      <c r="AB559" s="13"/>
      <c r="AC559" s="11"/>
      <c r="AD559" s="12"/>
      <c r="AE559" s="12"/>
      <c r="AF559" s="11">
        <v>1777</v>
      </c>
      <c r="AG559" s="13">
        <v>30735.04</v>
      </c>
      <c r="AH559" s="11">
        <v>7</v>
      </c>
      <c r="AI559" s="11"/>
      <c r="AJ559" s="13"/>
      <c r="AK559" s="11"/>
      <c r="AL559" s="12"/>
      <c r="AM559" s="12"/>
      <c r="AN559" s="11">
        <v>1501</v>
      </c>
      <c r="AO559" s="13">
        <v>28488.98</v>
      </c>
      <c r="AP559" s="11">
        <v>7</v>
      </c>
      <c r="AQ559" s="11"/>
      <c r="AR559" s="13"/>
      <c r="AS559" s="11"/>
      <c r="AT559" s="12"/>
      <c r="AU559" s="12"/>
      <c r="AV559" s="11">
        <v>222</v>
      </c>
      <c r="AW559" s="13">
        <v>4494.06</v>
      </c>
      <c r="AX559" s="11">
        <v>4</v>
      </c>
      <c r="AY559" s="11"/>
      <c r="AZ559" s="13"/>
      <c r="BA559" s="11"/>
      <c r="BB559" s="12"/>
      <c r="BC559" s="12"/>
      <c r="BD559" s="11">
        <v>258</v>
      </c>
      <c r="BE559" s="13">
        <v>5467.02</v>
      </c>
      <c r="BF559" s="11">
        <v>7</v>
      </c>
      <c r="BG559" s="11"/>
      <c r="BH559" s="13"/>
      <c r="BI559" s="11"/>
      <c r="BJ559" s="12"/>
      <c r="BK559" s="12"/>
      <c r="BL559" s="11">
        <v>11</v>
      </c>
      <c r="BM559" s="13">
        <v>215.05</v>
      </c>
      <c r="BN559" s="11">
        <v>7</v>
      </c>
      <c r="BO559" s="11"/>
      <c r="BP559" s="13"/>
      <c r="BQ559" s="11"/>
      <c r="BR559" s="12"/>
      <c r="BS559" s="12"/>
      <c r="BT559" s="11">
        <v>35</v>
      </c>
      <c r="BU559" s="13">
        <v>759.28</v>
      </c>
      <c r="BV559" s="11">
        <v>7</v>
      </c>
      <c r="BW559" s="11"/>
      <c r="BX559" s="13"/>
      <c r="BY559" s="11"/>
      <c r="BZ559" s="12"/>
      <c r="CA559" s="12"/>
      <c r="CB559" s="11">
        <v>147</v>
      </c>
      <c r="CC559" s="13">
        <v>2982.63</v>
      </c>
      <c r="CD559" s="11">
        <v>6</v>
      </c>
      <c r="CE559" s="11"/>
      <c r="CF559" s="13"/>
      <c r="CG559" s="11"/>
      <c r="CH559" s="12"/>
      <c r="CI559" s="12"/>
      <c r="CJ559" s="11"/>
      <c r="CK559" s="13"/>
      <c r="CL559" s="11">
        <v>7</v>
      </c>
      <c r="CM559" s="11"/>
      <c r="CN559" s="13"/>
      <c r="CO559" s="11"/>
      <c r="CP559" s="12"/>
      <c r="CQ559" s="12"/>
      <c r="CR559" s="11"/>
      <c r="CS559" s="13"/>
      <c r="CT559" s="11"/>
      <c r="CU559" s="11"/>
      <c r="CV559" s="13"/>
      <c r="CW559" s="11"/>
      <c r="CX559" s="12"/>
      <c r="CY559" s="12"/>
      <c r="CZ559" s="11"/>
      <c r="DA559" s="13"/>
      <c r="DB559" s="11"/>
      <c r="DC559" s="11"/>
      <c r="DD559" s="13"/>
      <c r="DE559" s="11"/>
      <c r="DF559" s="12"/>
      <c r="DG559" s="12"/>
      <c r="DH559" s="11"/>
      <c r="DI559" s="13"/>
      <c r="DJ559" s="11"/>
      <c r="DK559" s="11"/>
      <c r="DL559" s="13"/>
      <c r="DM559" s="11"/>
      <c r="DN559" s="12"/>
      <c r="DO559" s="12"/>
      <c r="DP559" s="11">
        <v>351</v>
      </c>
      <c r="DQ559" s="13">
        <v>6467.31</v>
      </c>
      <c r="DR559" s="11">
        <v>7</v>
      </c>
      <c r="DS559" s="11"/>
      <c r="DT559" s="13"/>
      <c r="DU559" s="11"/>
      <c r="DV559" s="12"/>
      <c r="DW559" s="12"/>
      <c r="DX559" s="11">
        <v>14</v>
      </c>
      <c r="DY559" s="13">
        <v>284.06</v>
      </c>
      <c r="DZ559" s="11">
        <v>6</v>
      </c>
      <c r="EA559" s="11"/>
      <c r="EB559" s="13"/>
      <c r="EC559" s="11"/>
      <c r="ED559" s="12"/>
      <c r="EE559" s="12"/>
      <c r="EF559" s="11"/>
      <c r="EG559" s="13"/>
      <c r="EH559" s="11"/>
      <c r="EI559" s="11"/>
      <c r="EJ559" s="13"/>
      <c r="EK559" s="11"/>
      <c r="EL559" s="12"/>
      <c r="EM559" s="12"/>
      <c r="EN559" s="11">
        <v>3</v>
      </c>
      <c r="EO559" s="13">
        <v>99.97</v>
      </c>
      <c r="EP559" s="11">
        <v>7</v>
      </c>
      <c r="EQ559" s="11"/>
      <c r="ER559" s="13"/>
      <c r="ES559" s="11"/>
      <c r="ET559" s="12"/>
      <c r="EU559" s="12"/>
      <c r="EV559" s="11">
        <v>17</v>
      </c>
      <c r="EW559" s="13">
        <v>323.85</v>
      </c>
      <c r="EX559" s="11">
        <v>5</v>
      </c>
      <c r="EY559" s="11"/>
      <c r="EZ559" s="13"/>
      <c r="FA559" s="11"/>
      <c r="FB559" s="12"/>
      <c r="FC559" s="12"/>
      <c r="FD559" s="11"/>
      <c r="FE559" s="13"/>
      <c r="FF559" s="11"/>
      <c r="FG559" s="11"/>
      <c r="FH559" s="13"/>
      <c r="FI559" s="11"/>
      <c r="FJ559" s="12"/>
      <c r="FK559" s="12"/>
      <c r="FL559" s="11">
        <v>7</v>
      </c>
      <c r="FM559" s="13">
        <v>146.09</v>
      </c>
      <c r="FN559" s="11">
        <v>1</v>
      </c>
      <c r="FO559" s="11"/>
      <c r="FP559" s="13"/>
      <c r="FQ559" s="11"/>
      <c r="FR559" s="12"/>
      <c r="FS559" s="12"/>
      <c r="FT559" s="11"/>
      <c r="FU559" s="13"/>
      <c r="FV559" s="11"/>
      <c r="FW559" s="11"/>
      <c r="FX559" s="13"/>
      <c r="FY559" s="11"/>
      <c r="FZ559" s="12"/>
      <c r="GA559" s="12"/>
      <c r="GB559" s="11"/>
      <c r="GC559" s="13"/>
      <c r="GD559" s="11"/>
      <c r="GE559" s="11"/>
      <c r="GF559" s="13"/>
      <c r="GG559" s="11"/>
      <c r="GH559" s="12"/>
      <c r="GI559" s="12"/>
      <c r="GJ559" s="11"/>
      <c r="GK559" s="13"/>
      <c r="GL559" s="11"/>
      <c r="GM559" s="11"/>
      <c r="GN559" s="13"/>
      <c r="GO559" s="11"/>
      <c r="GP559" s="12"/>
      <c r="GQ559" s="12"/>
      <c r="GR559" s="11"/>
      <c r="GS559" s="13"/>
      <c r="GT559" s="11">
        <v>6</v>
      </c>
      <c r="GU559" s="11"/>
      <c r="GV559" s="13"/>
      <c r="GW559" s="11"/>
      <c r="GX559" s="12"/>
      <c r="GY559" s="12"/>
      <c r="GZ559" s="11"/>
      <c r="HA559" s="13"/>
      <c r="HB559" s="11"/>
      <c r="HC559" s="11"/>
      <c r="HD559" s="13"/>
      <c r="HE559" s="11"/>
      <c r="HF559" s="12"/>
      <c r="HG559" s="12"/>
      <c r="HH559" s="11">
        <v>4</v>
      </c>
      <c r="HI559" s="13">
        <v>82.56</v>
      </c>
      <c r="HJ559" s="11"/>
      <c r="HK559" s="11"/>
      <c r="HL559" s="13"/>
      <c r="HM559" s="11"/>
      <c r="HN559" s="12"/>
      <c r="HO559" s="12"/>
      <c r="HP559" s="11"/>
      <c r="HQ559" s="13"/>
      <c r="HR559" s="11"/>
      <c r="HS559" s="11"/>
      <c r="HT559" s="13"/>
      <c r="HU559" s="11"/>
      <c r="HV559" s="12"/>
      <c r="HW559" s="12"/>
      <c r="HX559" s="11"/>
      <c r="HY559" s="13"/>
      <c r="HZ559" s="11"/>
      <c r="IA559" s="11"/>
      <c r="IB559" s="13"/>
      <c r="IC559" s="11"/>
      <c r="ID559" s="12"/>
      <c r="IE559" s="12"/>
      <c r="IF559" s="11"/>
      <c r="IG559" s="13"/>
      <c r="IH559" s="11"/>
      <c r="II559" s="11"/>
      <c r="IJ559" s="13"/>
      <c r="IK559" s="11"/>
      <c r="IL559" s="12"/>
      <c r="IM559" s="12"/>
      <c r="IN559" s="11"/>
      <c r="IO559" s="13"/>
      <c r="IP559" s="11"/>
      <c r="IQ559" s="11"/>
      <c r="IR559" s="13"/>
      <c r="IS559" s="11"/>
      <c r="IT559" s="12"/>
      <c r="IU559" s="12"/>
      <c r="IV559" s="11">
        <v>11</v>
      </c>
      <c r="IW559" s="13">
        <v>212.52</v>
      </c>
      <c r="IX559" s="11">
        <v>5</v>
      </c>
      <c r="IY559" s="11"/>
      <c r="IZ559" s="13"/>
      <c r="JA559" s="11"/>
      <c r="JB559" s="12"/>
      <c r="JC559" s="12"/>
      <c r="JD559" s="11"/>
      <c r="JE559" s="13"/>
      <c r="JF559" s="11"/>
      <c r="JG559" s="11"/>
      <c r="JH559" s="13"/>
      <c r="JI559" s="11"/>
      <c r="JJ559" s="12"/>
      <c r="JK559" s="12"/>
      <c r="JL559" s="11"/>
      <c r="JM559" s="13"/>
      <c r="JN559" s="11"/>
      <c r="JO559" s="11"/>
      <c r="JP559" s="13"/>
      <c r="JQ559" s="11"/>
      <c r="JR559" s="12"/>
      <c r="JS559" s="12"/>
      <c r="JT559" s="11"/>
      <c r="JU559" s="13"/>
      <c r="JV559" s="11">
        <v>7</v>
      </c>
      <c r="JW559" s="11"/>
      <c r="JX559" s="13"/>
      <c r="JY559" s="11"/>
      <c r="JZ559" s="12"/>
      <c r="KA559" s="12"/>
      <c r="KB559" s="11"/>
      <c r="KC559" s="13"/>
      <c r="KD559" s="11"/>
      <c r="KE559" s="11"/>
      <c r="KF559" s="13"/>
      <c r="KG559" s="11"/>
      <c r="KH559" s="12"/>
      <c r="KI559" s="12"/>
      <c r="KJ559" s="11"/>
      <c r="KK559" s="13"/>
      <c r="KL559" s="11"/>
      <c r="KM559" s="11"/>
      <c r="KN559" s="13"/>
      <c r="KO559" s="11"/>
      <c r="KP559" s="12"/>
      <c r="KQ559" s="12"/>
      <c r="KR559" s="11"/>
      <c r="KS559" s="13"/>
      <c r="KT559" s="11"/>
      <c r="KU559" s="11"/>
      <c r="KV559" s="13"/>
      <c r="KW559" s="11"/>
      <c r="KX559" s="12"/>
      <c r="KY559" s="12"/>
      <c r="KZ559" s="11"/>
      <c r="LA559" s="13"/>
      <c r="LB559" s="11"/>
      <c r="LC559" s="11"/>
      <c r="LD559" s="13"/>
      <c r="LE559" s="11"/>
      <c r="LF559" s="12"/>
      <c r="LG559" s="12"/>
      <c r="LH559" s="11"/>
      <c r="LI559" s="13"/>
      <c r="LJ559" s="11"/>
      <c r="LK559" s="11"/>
      <c r="LL559" s="13"/>
      <c r="LM559" s="11"/>
      <c r="LN559" s="12"/>
      <c r="LO559" s="12"/>
      <c r="LP559" s="11"/>
      <c r="LQ559" s="13"/>
      <c r="LR559" s="11"/>
      <c r="LS559" s="11"/>
      <c r="LT559" s="13"/>
      <c r="LU559" s="11"/>
      <c r="LV559" s="12"/>
      <c r="LW559" s="12"/>
    </row>
    <row r="560">
      <c r="A560" s="10" t="s">
        <v>287</v>
      </c>
      <c r="B560" s="10" t="s">
        <v>119</v>
      </c>
      <c r="C560" s="10" t="s">
        <v>77</v>
      </c>
      <c r="D560" s="11">
        <v>7032</v>
      </c>
      <c r="E560" s="11">
        <f>=ROUNDDOWN({0},0)</f>
      </c>
      <c r="F560" s="11">
        <v>8368</v>
      </c>
      <c r="G560" s="12"/>
      <c r="H560" s="11"/>
      <c r="I560" s="11">
        <f>=ROUNDDOWN({0},0)</f>
      </c>
      <c r="J560" s="11"/>
      <c r="K560" s="12"/>
      <c r="L560" s="11">
        <v>4472</v>
      </c>
      <c r="M560" s="13">
        <v>83074.06</v>
      </c>
      <c r="N560" s="11">
        <v>7</v>
      </c>
      <c r="O560" s="14">
        <v>11867.72</v>
      </c>
      <c r="P560" s="11"/>
      <c r="Q560" s="13"/>
      <c r="R560" s="11"/>
      <c r="S560" s="14"/>
      <c r="T560" s="12"/>
      <c r="U560" s="12"/>
      <c r="V560" s="12"/>
      <c r="W560" s="12"/>
      <c r="X560" s="11">
        <v>114</v>
      </c>
      <c r="Y560" s="13">
        <v>2315.64</v>
      </c>
      <c r="Z560" s="11">
        <v>7</v>
      </c>
      <c r="AA560" s="11"/>
      <c r="AB560" s="13"/>
      <c r="AC560" s="11"/>
      <c r="AD560" s="12"/>
      <c r="AE560" s="12"/>
      <c r="AF560" s="11">
        <v>1777</v>
      </c>
      <c r="AG560" s="13">
        <v>30735.04</v>
      </c>
      <c r="AH560" s="11">
        <v>7</v>
      </c>
      <c r="AI560" s="11"/>
      <c r="AJ560" s="13"/>
      <c r="AK560" s="11"/>
      <c r="AL560" s="12"/>
      <c r="AM560" s="12"/>
      <c r="AN560" s="11">
        <v>1501</v>
      </c>
      <c r="AO560" s="13">
        <v>28488.98</v>
      </c>
      <c r="AP560" s="11">
        <v>7</v>
      </c>
      <c r="AQ560" s="11"/>
      <c r="AR560" s="13"/>
      <c r="AS560" s="11"/>
      <c r="AT560" s="12"/>
      <c r="AU560" s="12"/>
      <c r="AV560" s="11">
        <v>222</v>
      </c>
      <c r="AW560" s="13">
        <v>4494.06</v>
      </c>
      <c r="AX560" s="11">
        <v>4</v>
      </c>
      <c r="AY560" s="11"/>
      <c r="AZ560" s="13"/>
      <c r="BA560" s="11"/>
      <c r="BB560" s="12"/>
      <c r="BC560" s="12"/>
      <c r="BD560" s="11">
        <v>258</v>
      </c>
      <c r="BE560" s="13">
        <v>5467.02</v>
      </c>
      <c r="BF560" s="11">
        <v>7</v>
      </c>
      <c r="BG560" s="11"/>
      <c r="BH560" s="13"/>
      <c r="BI560" s="11"/>
      <c r="BJ560" s="12"/>
      <c r="BK560" s="12"/>
      <c r="BL560" s="11">
        <v>11</v>
      </c>
      <c r="BM560" s="13">
        <v>215.05</v>
      </c>
      <c r="BN560" s="11">
        <v>7</v>
      </c>
      <c r="BO560" s="11"/>
      <c r="BP560" s="13"/>
      <c r="BQ560" s="11"/>
      <c r="BR560" s="12"/>
      <c r="BS560" s="12"/>
      <c r="BT560" s="11">
        <v>35</v>
      </c>
      <c r="BU560" s="13">
        <v>759.28</v>
      </c>
      <c r="BV560" s="11">
        <v>7</v>
      </c>
      <c r="BW560" s="11"/>
      <c r="BX560" s="13"/>
      <c r="BY560" s="11"/>
      <c r="BZ560" s="12"/>
      <c r="CA560" s="12"/>
      <c r="CB560" s="11">
        <v>147</v>
      </c>
      <c r="CC560" s="13">
        <v>2982.63</v>
      </c>
      <c r="CD560" s="11">
        <v>6</v>
      </c>
      <c r="CE560" s="11"/>
      <c r="CF560" s="13"/>
      <c r="CG560" s="11"/>
      <c r="CH560" s="12"/>
      <c r="CI560" s="12"/>
      <c r="CJ560" s="11"/>
      <c r="CK560" s="13"/>
      <c r="CL560" s="11">
        <v>7</v>
      </c>
      <c r="CM560" s="11"/>
      <c r="CN560" s="13"/>
      <c r="CO560" s="11"/>
      <c r="CP560" s="12"/>
      <c r="CQ560" s="12"/>
      <c r="CR560" s="11"/>
      <c r="CS560" s="13"/>
      <c r="CT560" s="11"/>
      <c r="CU560" s="11"/>
      <c r="CV560" s="13"/>
      <c r="CW560" s="11"/>
      <c r="CX560" s="12"/>
      <c r="CY560" s="12"/>
      <c r="CZ560" s="11"/>
      <c r="DA560" s="13"/>
      <c r="DB560" s="11"/>
      <c r="DC560" s="11"/>
      <c r="DD560" s="13"/>
      <c r="DE560" s="11"/>
      <c r="DF560" s="12"/>
      <c r="DG560" s="12"/>
      <c r="DH560" s="11"/>
      <c r="DI560" s="13"/>
      <c r="DJ560" s="11"/>
      <c r="DK560" s="11"/>
      <c r="DL560" s="13"/>
      <c r="DM560" s="11"/>
      <c r="DN560" s="12"/>
      <c r="DO560" s="12"/>
      <c r="DP560" s="11">
        <v>351</v>
      </c>
      <c r="DQ560" s="13">
        <v>6467.31</v>
      </c>
      <c r="DR560" s="11">
        <v>7</v>
      </c>
      <c r="DS560" s="11"/>
      <c r="DT560" s="13"/>
      <c r="DU560" s="11"/>
      <c r="DV560" s="12"/>
      <c r="DW560" s="12"/>
      <c r="DX560" s="11">
        <v>14</v>
      </c>
      <c r="DY560" s="13">
        <v>284.06</v>
      </c>
      <c r="DZ560" s="11">
        <v>6</v>
      </c>
      <c r="EA560" s="11"/>
      <c r="EB560" s="13"/>
      <c r="EC560" s="11"/>
      <c r="ED560" s="12"/>
      <c r="EE560" s="12"/>
      <c r="EF560" s="11"/>
      <c r="EG560" s="13"/>
      <c r="EH560" s="11"/>
      <c r="EI560" s="11"/>
      <c r="EJ560" s="13"/>
      <c r="EK560" s="11"/>
      <c r="EL560" s="12"/>
      <c r="EM560" s="12"/>
      <c r="EN560" s="11">
        <v>3</v>
      </c>
      <c r="EO560" s="13">
        <v>99.97</v>
      </c>
      <c r="EP560" s="11">
        <v>7</v>
      </c>
      <c r="EQ560" s="11"/>
      <c r="ER560" s="13"/>
      <c r="ES560" s="11"/>
      <c r="ET560" s="12"/>
      <c r="EU560" s="12"/>
      <c r="EV560" s="11">
        <v>17</v>
      </c>
      <c r="EW560" s="13">
        <v>323.85</v>
      </c>
      <c r="EX560" s="11">
        <v>5</v>
      </c>
      <c r="EY560" s="11"/>
      <c r="EZ560" s="13"/>
      <c r="FA560" s="11"/>
      <c r="FB560" s="12"/>
      <c r="FC560" s="12"/>
      <c r="FD560" s="11"/>
      <c r="FE560" s="13"/>
      <c r="FF560" s="11"/>
      <c r="FG560" s="11"/>
      <c r="FH560" s="13"/>
      <c r="FI560" s="11"/>
      <c r="FJ560" s="12"/>
      <c r="FK560" s="12"/>
      <c r="FL560" s="11">
        <v>7</v>
      </c>
      <c r="FM560" s="13">
        <v>146.09</v>
      </c>
      <c r="FN560" s="11">
        <v>1</v>
      </c>
      <c r="FO560" s="11"/>
      <c r="FP560" s="13"/>
      <c r="FQ560" s="11"/>
      <c r="FR560" s="12"/>
      <c r="FS560" s="12"/>
      <c r="FT560" s="11"/>
      <c r="FU560" s="13"/>
      <c r="FV560" s="11"/>
      <c r="FW560" s="11"/>
      <c r="FX560" s="13"/>
      <c r="FY560" s="11"/>
      <c r="FZ560" s="12"/>
      <c r="GA560" s="12"/>
      <c r="GB560" s="11"/>
      <c r="GC560" s="13"/>
      <c r="GD560" s="11"/>
      <c r="GE560" s="11"/>
      <c r="GF560" s="13"/>
      <c r="GG560" s="11"/>
      <c r="GH560" s="12"/>
      <c r="GI560" s="12"/>
      <c r="GJ560" s="11"/>
      <c r="GK560" s="13"/>
      <c r="GL560" s="11"/>
      <c r="GM560" s="11"/>
      <c r="GN560" s="13"/>
      <c r="GO560" s="11"/>
      <c r="GP560" s="12"/>
      <c r="GQ560" s="12"/>
      <c r="GR560" s="11"/>
      <c r="GS560" s="13"/>
      <c r="GT560" s="11">
        <v>6</v>
      </c>
      <c r="GU560" s="11"/>
      <c r="GV560" s="13"/>
      <c r="GW560" s="11"/>
      <c r="GX560" s="12"/>
      <c r="GY560" s="12"/>
      <c r="GZ560" s="11"/>
      <c r="HA560" s="13"/>
      <c r="HB560" s="11"/>
      <c r="HC560" s="11"/>
      <c r="HD560" s="13"/>
      <c r="HE560" s="11"/>
      <c r="HF560" s="12"/>
      <c r="HG560" s="12"/>
      <c r="HH560" s="11">
        <v>4</v>
      </c>
      <c r="HI560" s="13">
        <v>82.56</v>
      </c>
      <c r="HJ560" s="11"/>
      <c r="HK560" s="11"/>
      <c r="HL560" s="13"/>
      <c r="HM560" s="11"/>
      <c r="HN560" s="12"/>
      <c r="HO560" s="12"/>
      <c r="HP560" s="11"/>
      <c r="HQ560" s="13"/>
      <c r="HR560" s="11"/>
      <c r="HS560" s="11"/>
      <c r="HT560" s="13"/>
      <c r="HU560" s="11"/>
      <c r="HV560" s="12"/>
      <c r="HW560" s="12"/>
      <c r="HX560" s="11"/>
      <c r="HY560" s="13"/>
      <c r="HZ560" s="11"/>
      <c r="IA560" s="11"/>
      <c r="IB560" s="13"/>
      <c r="IC560" s="11"/>
      <c r="ID560" s="12"/>
      <c r="IE560" s="12"/>
      <c r="IF560" s="11"/>
      <c r="IG560" s="13"/>
      <c r="IH560" s="11"/>
      <c r="II560" s="11"/>
      <c r="IJ560" s="13"/>
      <c r="IK560" s="11"/>
      <c r="IL560" s="12"/>
      <c r="IM560" s="12"/>
      <c r="IN560" s="11"/>
      <c r="IO560" s="13"/>
      <c r="IP560" s="11"/>
      <c r="IQ560" s="11"/>
      <c r="IR560" s="13"/>
      <c r="IS560" s="11"/>
      <c r="IT560" s="12"/>
      <c r="IU560" s="12"/>
      <c r="IV560" s="11">
        <v>11</v>
      </c>
      <c r="IW560" s="13">
        <v>212.52</v>
      </c>
      <c r="IX560" s="11">
        <v>5</v>
      </c>
      <c r="IY560" s="11"/>
      <c r="IZ560" s="13"/>
      <c r="JA560" s="11"/>
      <c r="JB560" s="12"/>
      <c r="JC560" s="12"/>
      <c r="JD560" s="11"/>
      <c r="JE560" s="13"/>
      <c r="JF560" s="11"/>
      <c r="JG560" s="11"/>
      <c r="JH560" s="13"/>
      <c r="JI560" s="11"/>
      <c r="JJ560" s="12"/>
      <c r="JK560" s="12"/>
      <c r="JL560" s="11"/>
      <c r="JM560" s="13"/>
      <c r="JN560" s="11"/>
      <c r="JO560" s="11"/>
      <c r="JP560" s="13"/>
      <c r="JQ560" s="11"/>
      <c r="JR560" s="12"/>
      <c r="JS560" s="12"/>
      <c r="JT560" s="11"/>
      <c r="JU560" s="13"/>
      <c r="JV560" s="11">
        <v>7</v>
      </c>
      <c r="JW560" s="11"/>
      <c r="JX560" s="13"/>
      <c r="JY560" s="11"/>
      <c r="JZ560" s="12"/>
      <c r="KA560" s="12"/>
      <c r="KB560" s="11"/>
      <c r="KC560" s="13"/>
      <c r="KD560" s="11"/>
      <c r="KE560" s="11"/>
      <c r="KF560" s="13"/>
      <c r="KG560" s="11"/>
      <c r="KH560" s="12"/>
      <c r="KI560" s="12"/>
      <c r="KJ560" s="11"/>
      <c r="KK560" s="13"/>
      <c r="KL560" s="11"/>
      <c r="KM560" s="11"/>
      <c r="KN560" s="13"/>
      <c r="KO560" s="11"/>
      <c r="KP560" s="12"/>
      <c r="KQ560" s="12"/>
      <c r="KR560" s="11"/>
      <c r="KS560" s="13"/>
      <c r="KT560" s="11"/>
      <c r="KU560" s="11"/>
      <c r="KV560" s="13"/>
      <c r="KW560" s="11"/>
      <c r="KX560" s="12"/>
      <c r="KY560" s="12"/>
      <c r="KZ560" s="11"/>
      <c r="LA560" s="13"/>
      <c r="LB560" s="11"/>
      <c r="LC560" s="11"/>
      <c r="LD560" s="13"/>
      <c r="LE560" s="11"/>
      <c r="LF560" s="12"/>
      <c r="LG560" s="12"/>
      <c r="LH560" s="11"/>
      <c r="LI560" s="13"/>
      <c r="LJ560" s="11"/>
      <c r="LK560" s="11"/>
      <c r="LL560" s="13"/>
      <c r="LM560" s="11"/>
      <c r="LN560" s="12"/>
      <c r="LO560" s="12"/>
      <c r="LP560" s="11"/>
      <c r="LQ560" s="13"/>
      <c r="LR560" s="11"/>
      <c r="LS560" s="11"/>
      <c r="LT560" s="13"/>
      <c r="LU560" s="11"/>
      <c r="LV560" s="12"/>
      <c r="LW560" s="12"/>
    </row>
    <row r="561">
      <c r="A561" s="10" t="s">
        <v>287</v>
      </c>
      <c r="B561" s="10" t="s">
        <v>122</v>
      </c>
      <c r="C561" s="10" t="s">
        <v>189</v>
      </c>
      <c r="D561" s="11">
        <v>65239</v>
      </c>
      <c r="E561" s="11">
        <f>=ROUNDDOWN(30.5254538648699,0)</f>
      </c>
      <c r="F561" s="11">
        <v>32966</v>
      </c>
      <c r="G561" s="12">
        <v>0.9688</v>
      </c>
      <c r="H561" s="11"/>
      <c r="I561" s="11">
        <f>=ROUNDDOWN({0},0)</f>
      </c>
      <c r="J561" s="11"/>
      <c r="K561" s="12"/>
      <c r="L561" s="11">
        <v>25455</v>
      </c>
      <c r="M561" s="13">
        <v>930901.74</v>
      </c>
      <c r="N561" s="11">
        <v>63</v>
      </c>
      <c r="O561" s="14">
        <v>14776.22</v>
      </c>
      <c r="P561" s="11"/>
      <c r="Q561" s="13"/>
      <c r="R561" s="11"/>
      <c r="S561" s="14"/>
      <c r="T561" s="12"/>
      <c r="U561" s="12"/>
      <c r="V561" s="12"/>
      <c r="W561" s="12"/>
      <c r="X561" s="11">
        <v>7956</v>
      </c>
      <c r="Y561" s="13">
        <v>294653.27</v>
      </c>
      <c r="Z561" s="11">
        <v>63</v>
      </c>
      <c r="AA561" s="11"/>
      <c r="AB561" s="13"/>
      <c r="AC561" s="11"/>
      <c r="AD561" s="12"/>
      <c r="AE561" s="12"/>
      <c r="AF561" s="11">
        <v>1258</v>
      </c>
      <c r="AG561" s="13">
        <v>40602.63</v>
      </c>
      <c r="AH561" s="11">
        <v>62</v>
      </c>
      <c r="AI561" s="11"/>
      <c r="AJ561" s="13"/>
      <c r="AK561" s="11"/>
      <c r="AL561" s="12"/>
      <c r="AM561" s="12"/>
      <c r="AN561" s="11">
        <v>3156</v>
      </c>
      <c r="AO561" s="13">
        <v>110728.68</v>
      </c>
      <c r="AP561" s="11">
        <v>63</v>
      </c>
      <c r="AQ561" s="11"/>
      <c r="AR561" s="13"/>
      <c r="AS561" s="11"/>
      <c r="AT561" s="12"/>
      <c r="AU561" s="12"/>
      <c r="AV561" s="11">
        <v>3216</v>
      </c>
      <c r="AW561" s="13">
        <v>116907.97</v>
      </c>
      <c r="AX561" s="11">
        <v>23</v>
      </c>
      <c r="AY561" s="11"/>
      <c r="AZ561" s="13"/>
      <c r="BA561" s="11"/>
      <c r="BB561" s="12"/>
      <c r="BC561" s="12"/>
      <c r="BD561" s="11">
        <v>4437</v>
      </c>
      <c r="BE561" s="13">
        <v>172832.97</v>
      </c>
      <c r="BF561" s="11">
        <v>63</v>
      </c>
      <c r="BG561" s="11"/>
      <c r="BH561" s="13"/>
      <c r="BI561" s="11"/>
      <c r="BJ561" s="12"/>
      <c r="BK561" s="12"/>
      <c r="BL561" s="11">
        <v>833</v>
      </c>
      <c r="BM561" s="13">
        <v>31415.49</v>
      </c>
      <c r="BN561" s="11">
        <v>63</v>
      </c>
      <c r="BO561" s="11"/>
      <c r="BP561" s="13"/>
      <c r="BQ561" s="11"/>
      <c r="BR561" s="12"/>
      <c r="BS561" s="12"/>
      <c r="BT561" s="11">
        <v>775</v>
      </c>
      <c r="BU561" s="13">
        <v>31860.73</v>
      </c>
      <c r="BV561" s="11">
        <v>63</v>
      </c>
      <c r="BW561" s="11"/>
      <c r="BX561" s="13"/>
      <c r="BY561" s="11"/>
      <c r="BZ561" s="12"/>
      <c r="CA561" s="12"/>
      <c r="CB561" s="11">
        <v>1905</v>
      </c>
      <c r="CC561" s="13">
        <v>61150.01</v>
      </c>
      <c r="CD561" s="11">
        <v>51</v>
      </c>
      <c r="CE561" s="11"/>
      <c r="CF561" s="13"/>
      <c r="CG561" s="11"/>
      <c r="CH561" s="12"/>
      <c r="CI561" s="12"/>
      <c r="CJ561" s="11">
        <v>8</v>
      </c>
      <c r="CK561" s="13">
        <v>449.92</v>
      </c>
      <c r="CL561" s="11">
        <v>63</v>
      </c>
      <c r="CM561" s="11"/>
      <c r="CN561" s="13"/>
      <c r="CO561" s="11"/>
      <c r="CP561" s="12"/>
      <c r="CQ561" s="12"/>
      <c r="CR561" s="11"/>
      <c r="CS561" s="13"/>
      <c r="CT561" s="11"/>
      <c r="CU561" s="11"/>
      <c r="CV561" s="13"/>
      <c r="CW561" s="11"/>
      <c r="CX561" s="12"/>
      <c r="CY561" s="12"/>
      <c r="CZ561" s="11">
        <v>9</v>
      </c>
      <c r="DA561" s="13">
        <v>481.76</v>
      </c>
      <c r="DB561" s="11">
        <v>9</v>
      </c>
      <c r="DC561" s="11"/>
      <c r="DD561" s="13"/>
      <c r="DE561" s="11"/>
      <c r="DF561" s="12"/>
      <c r="DG561" s="12"/>
      <c r="DH561" s="11"/>
      <c r="DI561" s="13"/>
      <c r="DJ561" s="11"/>
      <c r="DK561" s="11"/>
      <c r="DL561" s="13"/>
      <c r="DM561" s="11"/>
      <c r="DN561" s="12"/>
      <c r="DO561" s="12"/>
      <c r="DP561" s="11">
        <v>703</v>
      </c>
      <c r="DQ561" s="13">
        <v>25065.28</v>
      </c>
      <c r="DR561" s="11">
        <v>59</v>
      </c>
      <c r="DS561" s="11"/>
      <c r="DT561" s="13"/>
      <c r="DU561" s="11"/>
      <c r="DV561" s="12"/>
      <c r="DW561" s="12"/>
      <c r="DX561" s="11">
        <v>262</v>
      </c>
      <c r="DY561" s="13">
        <v>9355.21</v>
      </c>
      <c r="DZ561" s="11">
        <v>51</v>
      </c>
      <c r="EA561" s="11"/>
      <c r="EB561" s="13"/>
      <c r="EC561" s="11"/>
      <c r="ED561" s="12"/>
      <c r="EE561" s="12"/>
      <c r="EF561" s="11"/>
      <c r="EG561" s="13"/>
      <c r="EH561" s="11"/>
      <c r="EI561" s="11"/>
      <c r="EJ561" s="13"/>
      <c r="EK561" s="11"/>
      <c r="EL561" s="12"/>
      <c r="EM561" s="12"/>
      <c r="EN561" s="11">
        <v>17</v>
      </c>
      <c r="EO561" s="13">
        <v>745.87</v>
      </c>
      <c r="EP561" s="11">
        <v>63</v>
      </c>
      <c r="EQ561" s="11"/>
      <c r="ER561" s="13"/>
      <c r="ES561" s="11"/>
      <c r="ET561" s="12"/>
      <c r="EU561" s="12"/>
      <c r="EV561" s="11">
        <v>33</v>
      </c>
      <c r="EW561" s="13">
        <v>1212.5</v>
      </c>
      <c r="EX561" s="11">
        <v>8</v>
      </c>
      <c r="EY561" s="11"/>
      <c r="EZ561" s="13"/>
      <c r="FA561" s="11"/>
      <c r="FB561" s="12"/>
      <c r="FC561" s="12"/>
      <c r="FD561" s="11">
        <v>90</v>
      </c>
      <c r="FE561" s="13">
        <v>3158.22</v>
      </c>
      <c r="FF561" s="11">
        <v>38</v>
      </c>
      <c r="FG561" s="11"/>
      <c r="FH561" s="13"/>
      <c r="FI561" s="11"/>
      <c r="FJ561" s="12"/>
      <c r="FK561" s="12"/>
      <c r="FL561" s="11">
        <v>663</v>
      </c>
      <c r="FM561" s="13">
        <v>25439.51</v>
      </c>
      <c r="FN561" s="11">
        <v>55</v>
      </c>
      <c r="FO561" s="11"/>
      <c r="FP561" s="13"/>
      <c r="FQ561" s="11"/>
      <c r="FR561" s="12"/>
      <c r="FS561" s="12"/>
      <c r="FT561" s="11"/>
      <c r="FU561" s="13"/>
      <c r="FV561" s="11"/>
      <c r="FW561" s="11"/>
      <c r="FX561" s="13"/>
      <c r="FY561" s="11"/>
      <c r="FZ561" s="12"/>
      <c r="GA561" s="12"/>
      <c r="GB561" s="11"/>
      <c r="GC561" s="13"/>
      <c r="GD561" s="11"/>
      <c r="GE561" s="11"/>
      <c r="GF561" s="13"/>
      <c r="GG561" s="11"/>
      <c r="GH561" s="12"/>
      <c r="GI561" s="12"/>
      <c r="GJ561" s="11"/>
      <c r="GK561" s="13"/>
      <c r="GL561" s="11"/>
      <c r="GM561" s="11"/>
      <c r="GN561" s="13"/>
      <c r="GO561" s="11"/>
      <c r="GP561" s="12"/>
      <c r="GQ561" s="12"/>
      <c r="GR561" s="11">
        <v>9</v>
      </c>
      <c r="GS561" s="13">
        <v>337.37</v>
      </c>
      <c r="GT561" s="11">
        <v>51</v>
      </c>
      <c r="GU561" s="11"/>
      <c r="GV561" s="13"/>
      <c r="GW561" s="11"/>
      <c r="GX561" s="12"/>
      <c r="GY561" s="12"/>
      <c r="GZ561" s="11"/>
      <c r="HA561" s="13"/>
      <c r="HB561" s="11"/>
      <c r="HC561" s="11"/>
      <c r="HD561" s="13"/>
      <c r="HE561" s="11"/>
      <c r="HF561" s="12"/>
      <c r="HG561" s="12"/>
      <c r="HH561" s="11"/>
      <c r="HI561" s="13"/>
      <c r="HJ561" s="11"/>
      <c r="HK561" s="11"/>
      <c r="HL561" s="13"/>
      <c r="HM561" s="11"/>
      <c r="HN561" s="12"/>
      <c r="HO561" s="12"/>
      <c r="HP561" s="11"/>
      <c r="HQ561" s="13"/>
      <c r="HR561" s="11"/>
      <c r="HS561" s="11"/>
      <c r="HT561" s="13"/>
      <c r="HU561" s="11"/>
      <c r="HV561" s="12"/>
      <c r="HW561" s="12"/>
      <c r="HX561" s="11">
        <v>91</v>
      </c>
      <c r="HY561" s="13">
        <v>3257.31</v>
      </c>
      <c r="HZ561" s="11">
        <v>28</v>
      </c>
      <c r="IA561" s="11"/>
      <c r="IB561" s="13"/>
      <c r="IC561" s="11"/>
      <c r="ID561" s="12"/>
      <c r="IE561" s="12"/>
      <c r="IF561" s="11"/>
      <c r="IG561" s="13"/>
      <c r="IH561" s="11"/>
      <c r="II561" s="11"/>
      <c r="IJ561" s="13"/>
      <c r="IK561" s="11"/>
      <c r="IL561" s="12"/>
      <c r="IM561" s="12"/>
      <c r="IN561" s="11"/>
      <c r="IO561" s="13"/>
      <c r="IP561" s="11"/>
      <c r="IQ561" s="11"/>
      <c r="IR561" s="13"/>
      <c r="IS561" s="11"/>
      <c r="IT561" s="12"/>
      <c r="IU561" s="12"/>
      <c r="IV561" s="11"/>
      <c r="IW561" s="13"/>
      <c r="IX561" s="11">
        <v>5</v>
      </c>
      <c r="IY561" s="11"/>
      <c r="IZ561" s="13"/>
      <c r="JA561" s="11"/>
      <c r="JB561" s="12"/>
      <c r="JC561" s="12"/>
      <c r="JD561" s="11">
        <v>34</v>
      </c>
      <c r="JE561" s="13">
        <v>1247.04</v>
      </c>
      <c r="JF561" s="11">
        <v>41</v>
      </c>
      <c r="JG561" s="11"/>
      <c r="JH561" s="13"/>
      <c r="JI561" s="11"/>
      <c r="JJ561" s="12"/>
      <c r="JK561" s="12"/>
      <c r="JL561" s="11"/>
      <c r="JM561" s="13"/>
      <c r="JN561" s="11"/>
      <c r="JO561" s="11"/>
      <c r="JP561" s="13"/>
      <c r="JQ561" s="11"/>
      <c r="JR561" s="12"/>
      <c r="JS561" s="12"/>
      <c r="JT561" s="11"/>
      <c r="JU561" s="13"/>
      <c r="JV561" s="11">
        <v>52</v>
      </c>
      <c r="JW561" s="11"/>
      <c r="JX561" s="13"/>
      <c r="JY561" s="11"/>
      <c r="JZ561" s="12"/>
      <c r="KA561" s="12"/>
      <c r="KB561" s="11"/>
      <c r="KC561" s="13"/>
      <c r="KD561" s="11"/>
      <c r="KE561" s="11"/>
      <c r="KF561" s="13"/>
      <c r="KG561" s="11"/>
      <c r="KH561" s="12"/>
      <c r="KI561" s="12"/>
      <c r="KJ561" s="11"/>
      <c r="KK561" s="13"/>
      <c r="KL561" s="11"/>
      <c r="KM561" s="11"/>
      <c r="KN561" s="13"/>
      <c r="KO561" s="11"/>
      <c r="KP561" s="12"/>
      <c r="KQ561" s="12"/>
      <c r="KR561" s="11"/>
      <c r="KS561" s="13"/>
      <c r="KT561" s="11"/>
      <c r="KU561" s="11"/>
      <c r="KV561" s="13"/>
      <c r="KW561" s="11"/>
      <c r="KX561" s="12"/>
      <c r="KY561" s="12"/>
      <c r="KZ561" s="11"/>
      <c r="LA561" s="13"/>
      <c r="LB561" s="11"/>
      <c r="LC561" s="11"/>
      <c r="LD561" s="13"/>
      <c r="LE561" s="11"/>
      <c r="LF561" s="12"/>
      <c r="LG561" s="12"/>
      <c r="LH561" s="11"/>
      <c r="LI561" s="13"/>
      <c r="LJ561" s="11"/>
      <c r="LK561" s="11"/>
      <c r="LL561" s="13"/>
      <c r="LM561" s="11"/>
      <c r="LN561" s="12"/>
      <c r="LO561" s="12"/>
      <c r="LP561" s="11"/>
      <c r="LQ561" s="13"/>
      <c r="LR561" s="11"/>
      <c r="LS561" s="11"/>
      <c r="LT561" s="13"/>
      <c r="LU561" s="11"/>
      <c r="LV561" s="12"/>
      <c r="LW561" s="12"/>
    </row>
    <row r="562">
      <c r="A562" s="10" t="s">
        <v>287</v>
      </c>
      <c r="B562" s="10" t="s">
        <v>123</v>
      </c>
      <c r="C562" s="10" t="s">
        <v>77</v>
      </c>
      <c r="D562" s="11">
        <v>65239</v>
      </c>
      <c r="E562" s="11">
        <f>=ROUNDDOWN({0},0)</f>
      </c>
      <c r="F562" s="11">
        <v>32966</v>
      </c>
      <c r="G562" s="12"/>
      <c r="H562" s="11"/>
      <c r="I562" s="11">
        <f>=ROUNDDOWN({0},0)</f>
      </c>
      <c r="J562" s="11"/>
      <c r="K562" s="12"/>
      <c r="L562" s="11">
        <v>25455</v>
      </c>
      <c r="M562" s="13">
        <v>930901.74</v>
      </c>
      <c r="N562" s="11">
        <v>63</v>
      </c>
      <c r="O562" s="14">
        <v>14776.22</v>
      </c>
      <c r="P562" s="11"/>
      <c r="Q562" s="13"/>
      <c r="R562" s="11"/>
      <c r="S562" s="14"/>
      <c r="T562" s="12"/>
      <c r="U562" s="12"/>
      <c r="V562" s="12"/>
      <c r="W562" s="12"/>
      <c r="X562" s="11">
        <v>7956</v>
      </c>
      <c r="Y562" s="13">
        <v>294653.27</v>
      </c>
      <c r="Z562" s="11">
        <v>63</v>
      </c>
      <c r="AA562" s="11"/>
      <c r="AB562" s="13"/>
      <c r="AC562" s="11"/>
      <c r="AD562" s="12"/>
      <c r="AE562" s="12"/>
      <c r="AF562" s="11">
        <v>1258</v>
      </c>
      <c r="AG562" s="13">
        <v>40602.63</v>
      </c>
      <c r="AH562" s="11">
        <v>62</v>
      </c>
      <c r="AI562" s="11"/>
      <c r="AJ562" s="13"/>
      <c r="AK562" s="11"/>
      <c r="AL562" s="12"/>
      <c r="AM562" s="12"/>
      <c r="AN562" s="11">
        <v>3156</v>
      </c>
      <c r="AO562" s="13">
        <v>110728.68</v>
      </c>
      <c r="AP562" s="11">
        <v>63</v>
      </c>
      <c r="AQ562" s="11"/>
      <c r="AR562" s="13"/>
      <c r="AS562" s="11"/>
      <c r="AT562" s="12"/>
      <c r="AU562" s="12"/>
      <c r="AV562" s="11">
        <v>3216</v>
      </c>
      <c r="AW562" s="13">
        <v>116907.97</v>
      </c>
      <c r="AX562" s="11">
        <v>23</v>
      </c>
      <c r="AY562" s="11"/>
      <c r="AZ562" s="13"/>
      <c r="BA562" s="11"/>
      <c r="BB562" s="12"/>
      <c r="BC562" s="12"/>
      <c r="BD562" s="11">
        <v>4437</v>
      </c>
      <c r="BE562" s="13">
        <v>172832.97</v>
      </c>
      <c r="BF562" s="11">
        <v>63</v>
      </c>
      <c r="BG562" s="11"/>
      <c r="BH562" s="13"/>
      <c r="BI562" s="11"/>
      <c r="BJ562" s="12"/>
      <c r="BK562" s="12"/>
      <c r="BL562" s="11">
        <v>833</v>
      </c>
      <c r="BM562" s="13">
        <v>31415.49</v>
      </c>
      <c r="BN562" s="11">
        <v>63</v>
      </c>
      <c r="BO562" s="11"/>
      <c r="BP562" s="13"/>
      <c r="BQ562" s="11"/>
      <c r="BR562" s="12"/>
      <c r="BS562" s="12"/>
      <c r="BT562" s="11">
        <v>775</v>
      </c>
      <c r="BU562" s="13">
        <v>31860.73</v>
      </c>
      <c r="BV562" s="11">
        <v>63</v>
      </c>
      <c r="BW562" s="11"/>
      <c r="BX562" s="13"/>
      <c r="BY562" s="11"/>
      <c r="BZ562" s="12"/>
      <c r="CA562" s="12"/>
      <c r="CB562" s="11">
        <v>1905</v>
      </c>
      <c r="CC562" s="13">
        <v>61150.01</v>
      </c>
      <c r="CD562" s="11">
        <v>51</v>
      </c>
      <c r="CE562" s="11"/>
      <c r="CF562" s="13"/>
      <c r="CG562" s="11"/>
      <c r="CH562" s="12"/>
      <c r="CI562" s="12"/>
      <c r="CJ562" s="11">
        <v>8</v>
      </c>
      <c r="CK562" s="13">
        <v>449.92</v>
      </c>
      <c r="CL562" s="11">
        <v>63</v>
      </c>
      <c r="CM562" s="11"/>
      <c r="CN562" s="13"/>
      <c r="CO562" s="11"/>
      <c r="CP562" s="12"/>
      <c r="CQ562" s="12"/>
      <c r="CR562" s="11"/>
      <c r="CS562" s="13"/>
      <c r="CT562" s="11"/>
      <c r="CU562" s="11"/>
      <c r="CV562" s="13"/>
      <c r="CW562" s="11"/>
      <c r="CX562" s="12"/>
      <c r="CY562" s="12"/>
      <c r="CZ562" s="11">
        <v>9</v>
      </c>
      <c r="DA562" s="13">
        <v>481.76</v>
      </c>
      <c r="DB562" s="11">
        <v>9</v>
      </c>
      <c r="DC562" s="11"/>
      <c r="DD562" s="13"/>
      <c r="DE562" s="11"/>
      <c r="DF562" s="12"/>
      <c r="DG562" s="12"/>
      <c r="DH562" s="11"/>
      <c r="DI562" s="13"/>
      <c r="DJ562" s="11"/>
      <c r="DK562" s="11"/>
      <c r="DL562" s="13"/>
      <c r="DM562" s="11"/>
      <c r="DN562" s="12"/>
      <c r="DO562" s="12"/>
      <c r="DP562" s="11">
        <v>703</v>
      </c>
      <c r="DQ562" s="13">
        <v>25065.28</v>
      </c>
      <c r="DR562" s="11">
        <v>59</v>
      </c>
      <c r="DS562" s="11"/>
      <c r="DT562" s="13"/>
      <c r="DU562" s="11"/>
      <c r="DV562" s="12"/>
      <c r="DW562" s="12"/>
      <c r="DX562" s="11">
        <v>262</v>
      </c>
      <c r="DY562" s="13">
        <v>9355.21</v>
      </c>
      <c r="DZ562" s="11">
        <v>51</v>
      </c>
      <c r="EA562" s="11"/>
      <c r="EB562" s="13"/>
      <c r="EC562" s="11"/>
      <c r="ED562" s="12"/>
      <c r="EE562" s="12"/>
      <c r="EF562" s="11"/>
      <c r="EG562" s="13"/>
      <c r="EH562" s="11"/>
      <c r="EI562" s="11"/>
      <c r="EJ562" s="13"/>
      <c r="EK562" s="11"/>
      <c r="EL562" s="12"/>
      <c r="EM562" s="12"/>
      <c r="EN562" s="11">
        <v>17</v>
      </c>
      <c r="EO562" s="13">
        <v>745.87</v>
      </c>
      <c r="EP562" s="11">
        <v>63</v>
      </c>
      <c r="EQ562" s="11"/>
      <c r="ER562" s="13"/>
      <c r="ES562" s="11"/>
      <c r="ET562" s="12"/>
      <c r="EU562" s="12"/>
      <c r="EV562" s="11">
        <v>33</v>
      </c>
      <c r="EW562" s="13">
        <v>1212.5</v>
      </c>
      <c r="EX562" s="11">
        <v>8</v>
      </c>
      <c r="EY562" s="11"/>
      <c r="EZ562" s="13"/>
      <c r="FA562" s="11"/>
      <c r="FB562" s="12"/>
      <c r="FC562" s="12"/>
      <c r="FD562" s="11">
        <v>90</v>
      </c>
      <c r="FE562" s="13">
        <v>3158.22</v>
      </c>
      <c r="FF562" s="11">
        <v>38</v>
      </c>
      <c r="FG562" s="11"/>
      <c r="FH562" s="13"/>
      <c r="FI562" s="11"/>
      <c r="FJ562" s="12"/>
      <c r="FK562" s="12"/>
      <c r="FL562" s="11">
        <v>663</v>
      </c>
      <c r="FM562" s="13">
        <v>25439.51</v>
      </c>
      <c r="FN562" s="11">
        <v>55</v>
      </c>
      <c r="FO562" s="11"/>
      <c r="FP562" s="13"/>
      <c r="FQ562" s="11"/>
      <c r="FR562" s="12"/>
      <c r="FS562" s="12"/>
      <c r="FT562" s="11"/>
      <c r="FU562" s="13"/>
      <c r="FV562" s="11"/>
      <c r="FW562" s="11"/>
      <c r="FX562" s="13"/>
      <c r="FY562" s="11"/>
      <c r="FZ562" s="12"/>
      <c r="GA562" s="12"/>
      <c r="GB562" s="11"/>
      <c r="GC562" s="13"/>
      <c r="GD562" s="11"/>
      <c r="GE562" s="11"/>
      <c r="GF562" s="13"/>
      <c r="GG562" s="11"/>
      <c r="GH562" s="12"/>
      <c r="GI562" s="12"/>
      <c r="GJ562" s="11"/>
      <c r="GK562" s="13"/>
      <c r="GL562" s="11"/>
      <c r="GM562" s="11"/>
      <c r="GN562" s="13"/>
      <c r="GO562" s="11"/>
      <c r="GP562" s="12"/>
      <c r="GQ562" s="12"/>
      <c r="GR562" s="11">
        <v>9</v>
      </c>
      <c r="GS562" s="13">
        <v>337.37</v>
      </c>
      <c r="GT562" s="11">
        <v>51</v>
      </c>
      <c r="GU562" s="11"/>
      <c r="GV562" s="13"/>
      <c r="GW562" s="11"/>
      <c r="GX562" s="12"/>
      <c r="GY562" s="12"/>
      <c r="GZ562" s="11"/>
      <c r="HA562" s="13"/>
      <c r="HB562" s="11"/>
      <c r="HC562" s="11"/>
      <c r="HD562" s="13"/>
      <c r="HE562" s="11"/>
      <c r="HF562" s="12"/>
      <c r="HG562" s="12"/>
      <c r="HH562" s="11"/>
      <c r="HI562" s="13"/>
      <c r="HJ562" s="11"/>
      <c r="HK562" s="11"/>
      <c r="HL562" s="13"/>
      <c r="HM562" s="11"/>
      <c r="HN562" s="12"/>
      <c r="HO562" s="12"/>
      <c r="HP562" s="11"/>
      <c r="HQ562" s="13"/>
      <c r="HR562" s="11"/>
      <c r="HS562" s="11"/>
      <c r="HT562" s="13"/>
      <c r="HU562" s="11"/>
      <c r="HV562" s="12"/>
      <c r="HW562" s="12"/>
      <c r="HX562" s="11">
        <v>91</v>
      </c>
      <c r="HY562" s="13">
        <v>3257.31</v>
      </c>
      <c r="HZ562" s="11">
        <v>28</v>
      </c>
      <c r="IA562" s="11"/>
      <c r="IB562" s="13"/>
      <c r="IC562" s="11"/>
      <c r="ID562" s="12"/>
      <c r="IE562" s="12"/>
      <c r="IF562" s="11"/>
      <c r="IG562" s="13"/>
      <c r="IH562" s="11"/>
      <c r="II562" s="11"/>
      <c r="IJ562" s="13"/>
      <c r="IK562" s="11"/>
      <c r="IL562" s="12"/>
      <c r="IM562" s="12"/>
      <c r="IN562" s="11"/>
      <c r="IO562" s="13"/>
      <c r="IP562" s="11"/>
      <c r="IQ562" s="11"/>
      <c r="IR562" s="13"/>
      <c r="IS562" s="11"/>
      <c r="IT562" s="12"/>
      <c r="IU562" s="12"/>
      <c r="IV562" s="11"/>
      <c r="IW562" s="13"/>
      <c r="IX562" s="11">
        <v>5</v>
      </c>
      <c r="IY562" s="11"/>
      <c r="IZ562" s="13"/>
      <c r="JA562" s="11"/>
      <c r="JB562" s="12"/>
      <c r="JC562" s="12"/>
      <c r="JD562" s="11">
        <v>34</v>
      </c>
      <c r="JE562" s="13">
        <v>1247.04</v>
      </c>
      <c r="JF562" s="11">
        <v>41</v>
      </c>
      <c r="JG562" s="11"/>
      <c r="JH562" s="13"/>
      <c r="JI562" s="11"/>
      <c r="JJ562" s="12"/>
      <c r="JK562" s="12"/>
      <c r="JL562" s="11"/>
      <c r="JM562" s="13"/>
      <c r="JN562" s="11"/>
      <c r="JO562" s="11"/>
      <c r="JP562" s="13"/>
      <c r="JQ562" s="11"/>
      <c r="JR562" s="12"/>
      <c r="JS562" s="12"/>
      <c r="JT562" s="11"/>
      <c r="JU562" s="13"/>
      <c r="JV562" s="11">
        <v>52</v>
      </c>
      <c r="JW562" s="11"/>
      <c r="JX562" s="13"/>
      <c r="JY562" s="11"/>
      <c r="JZ562" s="12"/>
      <c r="KA562" s="12"/>
      <c r="KB562" s="11"/>
      <c r="KC562" s="13"/>
      <c r="KD562" s="11"/>
      <c r="KE562" s="11"/>
      <c r="KF562" s="13"/>
      <c r="KG562" s="11"/>
      <c r="KH562" s="12"/>
      <c r="KI562" s="12"/>
      <c r="KJ562" s="11"/>
      <c r="KK562" s="13"/>
      <c r="KL562" s="11"/>
      <c r="KM562" s="11"/>
      <c r="KN562" s="13"/>
      <c r="KO562" s="11"/>
      <c r="KP562" s="12"/>
      <c r="KQ562" s="12"/>
      <c r="KR562" s="11"/>
      <c r="KS562" s="13"/>
      <c r="KT562" s="11"/>
      <c r="KU562" s="11"/>
      <c r="KV562" s="13"/>
      <c r="KW562" s="11"/>
      <c r="KX562" s="12"/>
      <c r="KY562" s="12"/>
      <c r="KZ562" s="11"/>
      <c r="LA562" s="13"/>
      <c r="LB562" s="11"/>
      <c r="LC562" s="11"/>
      <c r="LD562" s="13"/>
      <c r="LE562" s="11"/>
      <c r="LF562" s="12"/>
      <c r="LG562" s="12"/>
      <c r="LH562" s="11"/>
      <c r="LI562" s="13"/>
      <c r="LJ562" s="11"/>
      <c r="LK562" s="11"/>
      <c r="LL562" s="13"/>
      <c r="LM562" s="11"/>
      <c r="LN562" s="12"/>
      <c r="LO562" s="12"/>
      <c r="LP562" s="11"/>
      <c r="LQ562" s="13"/>
      <c r="LR562" s="11"/>
      <c r="LS562" s="11"/>
      <c r="LT562" s="13"/>
      <c r="LU562" s="11"/>
      <c r="LV562" s="12"/>
      <c r="LW562" s="12"/>
    </row>
    <row r="563">
      <c r="A563" s="10" t="s">
        <v>287</v>
      </c>
      <c r="B563" s="10" t="s">
        <v>134</v>
      </c>
      <c r="C563" s="10" t="s">
        <v>189</v>
      </c>
      <c r="D563" s="11">
        <v>38905</v>
      </c>
      <c r="E563" s="11">
        <f>=ROUNDDOWN(45.9869976359338,0)</f>
      </c>
      <c r="F563" s="11">
        <v>2000</v>
      </c>
      <c r="G563" s="12">
        <v>0.7901</v>
      </c>
      <c r="H563" s="11"/>
      <c r="I563" s="11">
        <f>=ROUNDDOWN({0},0)</f>
      </c>
      <c r="J563" s="11"/>
      <c r="K563" s="12"/>
      <c r="L563" s="11">
        <v>65</v>
      </c>
      <c r="M563" s="13">
        <v>1545</v>
      </c>
      <c r="N563" s="11">
        <v>31</v>
      </c>
      <c r="O563" s="14">
        <v>49.84</v>
      </c>
      <c r="P563" s="11"/>
      <c r="Q563" s="13"/>
      <c r="R563" s="11"/>
      <c r="S563" s="14"/>
      <c r="T563" s="12"/>
      <c r="U563" s="12"/>
      <c r="V563" s="12"/>
      <c r="W563" s="12"/>
      <c r="X563" s="11">
        <v>64</v>
      </c>
      <c r="Y563" s="13">
        <v>1520</v>
      </c>
      <c r="Z563" s="11">
        <v>17</v>
      </c>
      <c r="AA563" s="11"/>
      <c r="AB563" s="13"/>
      <c r="AC563" s="11"/>
      <c r="AD563" s="12"/>
      <c r="AE563" s="12"/>
      <c r="AF563" s="11"/>
      <c r="AG563" s="13"/>
      <c r="AH563" s="11">
        <v>31</v>
      </c>
      <c r="AI563" s="11"/>
      <c r="AJ563" s="13"/>
      <c r="AK563" s="11"/>
      <c r="AL563" s="12"/>
      <c r="AM563" s="12"/>
      <c r="AN563" s="11"/>
      <c r="AO563" s="13"/>
      <c r="AP563" s="11">
        <v>31</v>
      </c>
      <c r="AQ563" s="11"/>
      <c r="AR563" s="13"/>
      <c r="AS563" s="11"/>
      <c r="AT563" s="12"/>
      <c r="AU563" s="12"/>
      <c r="AV563" s="11"/>
      <c r="AW563" s="13"/>
      <c r="AX563" s="11"/>
      <c r="AY563" s="11"/>
      <c r="AZ563" s="13"/>
      <c r="BA563" s="11"/>
      <c r="BB563" s="12"/>
      <c r="BC563" s="12"/>
      <c r="BD563" s="11"/>
      <c r="BE563" s="13"/>
      <c r="BF563" s="11">
        <v>17</v>
      </c>
      <c r="BG563" s="11"/>
      <c r="BH563" s="13"/>
      <c r="BI563" s="11"/>
      <c r="BJ563" s="12"/>
      <c r="BK563" s="12"/>
      <c r="BL563" s="11"/>
      <c r="BM563" s="13"/>
      <c r="BN563" s="11">
        <v>17</v>
      </c>
      <c r="BO563" s="11"/>
      <c r="BP563" s="13"/>
      <c r="BQ563" s="11"/>
      <c r="BR563" s="12"/>
      <c r="BS563" s="12"/>
      <c r="BT563" s="11"/>
      <c r="BU563" s="13"/>
      <c r="BV563" s="11"/>
      <c r="BW563" s="11"/>
      <c r="BX563" s="13"/>
      <c r="BY563" s="11"/>
      <c r="BZ563" s="12"/>
      <c r="CA563" s="12"/>
      <c r="CB563" s="11"/>
      <c r="CC563" s="13"/>
      <c r="CD563" s="11"/>
      <c r="CE563" s="11"/>
      <c r="CF563" s="13"/>
      <c r="CG563" s="11"/>
      <c r="CH563" s="12"/>
      <c r="CI563" s="12"/>
      <c r="CJ563" s="11"/>
      <c r="CK563" s="13"/>
      <c r="CL563" s="11">
        <v>31</v>
      </c>
      <c r="CM563" s="11"/>
      <c r="CN563" s="13"/>
      <c r="CO563" s="11"/>
      <c r="CP563" s="12"/>
      <c r="CQ563" s="12"/>
      <c r="CR563" s="11"/>
      <c r="CS563" s="13"/>
      <c r="CT563" s="11"/>
      <c r="CU563" s="11"/>
      <c r="CV563" s="13"/>
      <c r="CW563" s="11"/>
      <c r="CX563" s="12"/>
      <c r="CY563" s="12"/>
      <c r="CZ563" s="11"/>
      <c r="DA563" s="13"/>
      <c r="DB563" s="11"/>
      <c r="DC563" s="11"/>
      <c r="DD563" s="13"/>
      <c r="DE563" s="11"/>
      <c r="DF563" s="12"/>
      <c r="DG563" s="12"/>
      <c r="DH563" s="11"/>
      <c r="DI563" s="13"/>
      <c r="DJ563" s="11"/>
      <c r="DK563" s="11"/>
      <c r="DL563" s="13"/>
      <c r="DM563" s="11"/>
      <c r="DN563" s="12"/>
      <c r="DO563" s="12"/>
      <c r="DP563" s="11"/>
      <c r="DQ563" s="13"/>
      <c r="DR563" s="11">
        <v>17</v>
      </c>
      <c r="DS563" s="11"/>
      <c r="DT563" s="13"/>
      <c r="DU563" s="11"/>
      <c r="DV563" s="12"/>
      <c r="DW563" s="12"/>
      <c r="DX563" s="11"/>
      <c r="DY563" s="13"/>
      <c r="DZ563" s="11">
        <v>23</v>
      </c>
      <c r="EA563" s="11"/>
      <c r="EB563" s="13"/>
      <c r="EC563" s="11"/>
      <c r="ED563" s="12"/>
      <c r="EE563" s="12"/>
      <c r="EF563" s="11"/>
      <c r="EG563" s="13"/>
      <c r="EH563" s="11"/>
      <c r="EI563" s="11"/>
      <c r="EJ563" s="13"/>
      <c r="EK563" s="11"/>
      <c r="EL563" s="12"/>
      <c r="EM563" s="12"/>
      <c r="EN563" s="11">
        <v>1</v>
      </c>
      <c r="EO563" s="13">
        <v>25</v>
      </c>
      <c r="EP563" s="11">
        <v>31</v>
      </c>
      <c r="EQ563" s="11"/>
      <c r="ER563" s="13"/>
      <c r="ES563" s="11"/>
      <c r="ET563" s="12"/>
      <c r="EU563" s="12"/>
      <c r="EV563" s="11"/>
      <c r="EW563" s="13"/>
      <c r="EX563" s="11"/>
      <c r="EY563" s="11"/>
      <c r="EZ563" s="13"/>
      <c r="FA563" s="11"/>
      <c r="FB563" s="12"/>
      <c r="FC563" s="12"/>
      <c r="FD563" s="11"/>
      <c r="FE563" s="13"/>
      <c r="FF563" s="11"/>
      <c r="FG563" s="11"/>
      <c r="FH563" s="13"/>
      <c r="FI563" s="11"/>
      <c r="FJ563" s="12"/>
      <c r="FK563" s="12"/>
      <c r="FL563" s="11"/>
      <c r="FM563" s="13"/>
      <c r="FN563" s="11"/>
      <c r="FO563" s="11"/>
      <c r="FP563" s="13"/>
      <c r="FQ563" s="11"/>
      <c r="FR563" s="12"/>
      <c r="FS563" s="12"/>
      <c r="FT563" s="11"/>
      <c r="FU563" s="13"/>
      <c r="FV563" s="11"/>
      <c r="FW563" s="11"/>
      <c r="FX563" s="13"/>
      <c r="FY563" s="11"/>
      <c r="FZ563" s="12"/>
      <c r="GA563" s="12"/>
      <c r="GB563" s="11"/>
      <c r="GC563" s="13"/>
      <c r="GD563" s="11"/>
      <c r="GE563" s="11"/>
      <c r="GF563" s="13"/>
      <c r="GG563" s="11"/>
      <c r="GH563" s="12"/>
      <c r="GI563" s="12"/>
      <c r="GJ563" s="11"/>
      <c r="GK563" s="13"/>
      <c r="GL563" s="11"/>
      <c r="GM563" s="11"/>
      <c r="GN563" s="13"/>
      <c r="GO563" s="11"/>
      <c r="GP563" s="12"/>
      <c r="GQ563" s="12"/>
      <c r="GR563" s="11"/>
      <c r="GS563" s="13"/>
      <c r="GT563" s="11"/>
      <c r="GU563" s="11"/>
      <c r="GV563" s="13"/>
      <c r="GW563" s="11"/>
      <c r="GX563" s="12"/>
      <c r="GY563" s="12"/>
      <c r="GZ563" s="11"/>
      <c r="HA563" s="13"/>
      <c r="HB563" s="11"/>
      <c r="HC563" s="11"/>
      <c r="HD563" s="13"/>
      <c r="HE563" s="11"/>
      <c r="HF563" s="12"/>
      <c r="HG563" s="12"/>
      <c r="HH563" s="11"/>
      <c r="HI563" s="13"/>
      <c r="HJ563" s="11"/>
      <c r="HK563" s="11"/>
      <c r="HL563" s="13"/>
      <c r="HM563" s="11"/>
      <c r="HN563" s="12"/>
      <c r="HO563" s="12"/>
      <c r="HP563" s="11"/>
      <c r="HQ563" s="13"/>
      <c r="HR563" s="11"/>
      <c r="HS563" s="11"/>
      <c r="HT563" s="13"/>
      <c r="HU563" s="11"/>
      <c r="HV563" s="12"/>
      <c r="HW563" s="12"/>
      <c r="HX563" s="11"/>
      <c r="HY563" s="13"/>
      <c r="HZ563" s="11"/>
      <c r="IA563" s="11"/>
      <c r="IB563" s="13"/>
      <c r="IC563" s="11"/>
      <c r="ID563" s="12"/>
      <c r="IE563" s="12"/>
      <c r="IF563" s="11"/>
      <c r="IG563" s="13"/>
      <c r="IH563" s="11"/>
      <c r="II563" s="11"/>
      <c r="IJ563" s="13"/>
      <c r="IK563" s="11"/>
      <c r="IL563" s="12"/>
      <c r="IM563" s="12"/>
      <c r="IN563" s="11"/>
      <c r="IO563" s="13"/>
      <c r="IP563" s="11"/>
      <c r="IQ563" s="11"/>
      <c r="IR563" s="13"/>
      <c r="IS563" s="11"/>
      <c r="IT563" s="12"/>
      <c r="IU563" s="12"/>
      <c r="IV563" s="11"/>
      <c r="IW563" s="13"/>
      <c r="IX563" s="11"/>
      <c r="IY563" s="11"/>
      <c r="IZ563" s="13"/>
      <c r="JA563" s="11"/>
      <c r="JB563" s="12"/>
      <c r="JC563" s="12"/>
      <c r="JD563" s="11"/>
      <c r="JE563" s="13"/>
      <c r="JF563" s="11"/>
      <c r="JG563" s="11"/>
      <c r="JH563" s="13"/>
      <c r="JI563" s="11"/>
      <c r="JJ563" s="12"/>
      <c r="JK563" s="12"/>
      <c r="JL563" s="11"/>
      <c r="JM563" s="13"/>
      <c r="JN563" s="11"/>
      <c r="JO563" s="11"/>
      <c r="JP563" s="13"/>
      <c r="JQ563" s="11"/>
      <c r="JR563" s="12"/>
      <c r="JS563" s="12"/>
      <c r="JT563" s="11"/>
      <c r="JU563" s="13"/>
      <c r="JV563" s="11"/>
      <c r="JW563" s="11"/>
      <c r="JX563" s="13"/>
      <c r="JY563" s="11"/>
      <c r="JZ563" s="12"/>
      <c r="KA563" s="12"/>
      <c r="KB563" s="11"/>
      <c r="KC563" s="13"/>
      <c r="KD563" s="11"/>
      <c r="KE563" s="11"/>
      <c r="KF563" s="13"/>
      <c r="KG563" s="11"/>
      <c r="KH563" s="12"/>
      <c r="KI563" s="12"/>
      <c r="KJ563" s="11"/>
      <c r="KK563" s="13"/>
      <c r="KL563" s="11"/>
      <c r="KM563" s="11"/>
      <c r="KN563" s="13"/>
      <c r="KO563" s="11"/>
      <c r="KP563" s="12"/>
      <c r="KQ563" s="12"/>
      <c r="KR563" s="11"/>
      <c r="KS563" s="13"/>
      <c r="KT563" s="11"/>
      <c r="KU563" s="11"/>
      <c r="KV563" s="13"/>
      <c r="KW563" s="11"/>
      <c r="KX563" s="12"/>
      <c r="KY563" s="12"/>
      <c r="KZ563" s="11"/>
      <c r="LA563" s="13"/>
      <c r="LB563" s="11"/>
      <c r="LC563" s="11"/>
      <c r="LD563" s="13"/>
      <c r="LE563" s="11"/>
      <c r="LF563" s="12"/>
      <c r="LG563" s="12"/>
      <c r="LH563" s="11"/>
      <c r="LI563" s="13"/>
      <c r="LJ563" s="11"/>
      <c r="LK563" s="11"/>
      <c r="LL563" s="13"/>
      <c r="LM563" s="11"/>
      <c r="LN563" s="12"/>
      <c r="LO563" s="12"/>
      <c r="LP563" s="11"/>
      <c r="LQ563" s="13"/>
      <c r="LR563" s="11"/>
      <c r="LS563" s="11"/>
      <c r="LT563" s="13"/>
      <c r="LU563" s="11"/>
      <c r="LV563" s="12"/>
      <c r="LW563" s="12"/>
    </row>
    <row r="564">
      <c r="A564" s="10" t="s">
        <v>287</v>
      </c>
      <c r="B564" s="10" t="s">
        <v>135</v>
      </c>
      <c r="C564" s="10" t="s">
        <v>77</v>
      </c>
      <c r="D564" s="11">
        <v>38905</v>
      </c>
      <c r="E564" s="11">
        <f>=ROUNDDOWN({0},0)</f>
      </c>
      <c r="F564" s="11">
        <v>2000</v>
      </c>
      <c r="G564" s="12"/>
      <c r="H564" s="11"/>
      <c r="I564" s="11">
        <f>=ROUNDDOWN({0},0)</f>
      </c>
      <c r="J564" s="11"/>
      <c r="K564" s="12"/>
      <c r="L564" s="11">
        <v>65</v>
      </c>
      <c r="M564" s="13">
        <v>1545</v>
      </c>
      <c r="N564" s="11">
        <v>31</v>
      </c>
      <c r="O564" s="14">
        <v>49.84</v>
      </c>
      <c r="P564" s="11"/>
      <c r="Q564" s="13"/>
      <c r="R564" s="11"/>
      <c r="S564" s="14"/>
      <c r="T564" s="12"/>
      <c r="U564" s="12"/>
      <c r="V564" s="12"/>
      <c r="W564" s="12"/>
      <c r="X564" s="11">
        <v>64</v>
      </c>
      <c r="Y564" s="13">
        <v>1520</v>
      </c>
      <c r="Z564" s="11">
        <v>17</v>
      </c>
      <c r="AA564" s="11"/>
      <c r="AB564" s="13"/>
      <c r="AC564" s="11"/>
      <c r="AD564" s="12"/>
      <c r="AE564" s="12"/>
      <c r="AF564" s="11"/>
      <c r="AG564" s="13"/>
      <c r="AH564" s="11">
        <v>31</v>
      </c>
      <c r="AI564" s="11"/>
      <c r="AJ564" s="13"/>
      <c r="AK564" s="11"/>
      <c r="AL564" s="12"/>
      <c r="AM564" s="12"/>
      <c r="AN564" s="11"/>
      <c r="AO564" s="13"/>
      <c r="AP564" s="11">
        <v>31</v>
      </c>
      <c r="AQ564" s="11"/>
      <c r="AR564" s="13"/>
      <c r="AS564" s="11"/>
      <c r="AT564" s="12"/>
      <c r="AU564" s="12"/>
      <c r="AV564" s="11"/>
      <c r="AW564" s="13"/>
      <c r="AX564" s="11"/>
      <c r="AY564" s="11"/>
      <c r="AZ564" s="13"/>
      <c r="BA564" s="11"/>
      <c r="BB564" s="12"/>
      <c r="BC564" s="12"/>
      <c r="BD564" s="11"/>
      <c r="BE564" s="13"/>
      <c r="BF564" s="11">
        <v>17</v>
      </c>
      <c r="BG564" s="11"/>
      <c r="BH564" s="13"/>
      <c r="BI564" s="11"/>
      <c r="BJ564" s="12"/>
      <c r="BK564" s="12"/>
      <c r="BL564" s="11"/>
      <c r="BM564" s="13"/>
      <c r="BN564" s="11">
        <v>17</v>
      </c>
      <c r="BO564" s="11"/>
      <c r="BP564" s="13"/>
      <c r="BQ564" s="11"/>
      <c r="BR564" s="12"/>
      <c r="BS564" s="12"/>
      <c r="BT564" s="11"/>
      <c r="BU564" s="13"/>
      <c r="BV564" s="11"/>
      <c r="BW564" s="11"/>
      <c r="BX564" s="13"/>
      <c r="BY564" s="11"/>
      <c r="BZ564" s="12"/>
      <c r="CA564" s="12"/>
      <c r="CB564" s="11"/>
      <c r="CC564" s="13"/>
      <c r="CD564" s="11"/>
      <c r="CE564" s="11"/>
      <c r="CF564" s="13"/>
      <c r="CG564" s="11"/>
      <c r="CH564" s="12"/>
      <c r="CI564" s="12"/>
      <c r="CJ564" s="11"/>
      <c r="CK564" s="13"/>
      <c r="CL564" s="11">
        <v>31</v>
      </c>
      <c r="CM564" s="11"/>
      <c r="CN564" s="13"/>
      <c r="CO564" s="11"/>
      <c r="CP564" s="12"/>
      <c r="CQ564" s="12"/>
      <c r="CR564" s="11"/>
      <c r="CS564" s="13"/>
      <c r="CT564" s="11"/>
      <c r="CU564" s="11"/>
      <c r="CV564" s="13"/>
      <c r="CW564" s="11"/>
      <c r="CX564" s="12"/>
      <c r="CY564" s="12"/>
      <c r="CZ564" s="11"/>
      <c r="DA564" s="13"/>
      <c r="DB564" s="11"/>
      <c r="DC564" s="11"/>
      <c r="DD564" s="13"/>
      <c r="DE564" s="11"/>
      <c r="DF564" s="12"/>
      <c r="DG564" s="12"/>
      <c r="DH564" s="11"/>
      <c r="DI564" s="13"/>
      <c r="DJ564" s="11"/>
      <c r="DK564" s="11"/>
      <c r="DL564" s="13"/>
      <c r="DM564" s="11"/>
      <c r="DN564" s="12"/>
      <c r="DO564" s="12"/>
      <c r="DP564" s="11"/>
      <c r="DQ564" s="13"/>
      <c r="DR564" s="11">
        <v>17</v>
      </c>
      <c r="DS564" s="11"/>
      <c r="DT564" s="13"/>
      <c r="DU564" s="11"/>
      <c r="DV564" s="12"/>
      <c r="DW564" s="12"/>
      <c r="DX564" s="11"/>
      <c r="DY564" s="13"/>
      <c r="DZ564" s="11">
        <v>23</v>
      </c>
      <c r="EA564" s="11"/>
      <c r="EB564" s="13"/>
      <c r="EC564" s="11"/>
      <c r="ED564" s="12"/>
      <c r="EE564" s="12"/>
      <c r="EF564" s="11"/>
      <c r="EG564" s="13"/>
      <c r="EH564" s="11"/>
      <c r="EI564" s="11"/>
      <c r="EJ564" s="13"/>
      <c r="EK564" s="11"/>
      <c r="EL564" s="12"/>
      <c r="EM564" s="12"/>
      <c r="EN564" s="11">
        <v>1</v>
      </c>
      <c r="EO564" s="13">
        <v>25</v>
      </c>
      <c r="EP564" s="11">
        <v>31</v>
      </c>
      <c r="EQ564" s="11"/>
      <c r="ER564" s="13"/>
      <c r="ES564" s="11"/>
      <c r="ET564" s="12"/>
      <c r="EU564" s="12"/>
      <c r="EV564" s="11"/>
      <c r="EW564" s="13"/>
      <c r="EX564" s="11"/>
      <c r="EY564" s="11"/>
      <c r="EZ564" s="13"/>
      <c r="FA564" s="11"/>
      <c r="FB564" s="12"/>
      <c r="FC564" s="12"/>
      <c r="FD564" s="11"/>
      <c r="FE564" s="13"/>
      <c r="FF564" s="11"/>
      <c r="FG564" s="11"/>
      <c r="FH564" s="13"/>
      <c r="FI564" s="11"/>
      <c r="FJ564" s="12"/>
      <c r="FK564" s="12"/>
      <c r="FL564" s="11"/>
      <c r="FM564" s="13"/>
      <c r="FN564" s="11"/>
      <c r="FO564" s="11"/>
      <c r="FP564" s="13"/>
      <c r="FQ564" s="11"/>
      <c r="FR564" s="12"/>
      <c r="FS564" s="12"/>
      <c r="FT564" s="11"/>
      <c r="FU564" s="13"/>
      <c r="FV564" s="11"/>
      <c r="FW564" s="11"/>
      <c r="FX564" s="13"/>
      <c r="FY564" s="11"/>
      <c r="FZ564" s="12"/>
      <c r="GA564" s="12"/>
      <c r="GB564" s="11"/>
      <c r="GC564" s="13"/>
      <c r="GD564" s="11"/>
      <c r="GE564" s="11"/>
      <c r="GF564" s="13"/>
      <c r="GG564" s="11"/>
      <c r="GH564" s="12"/>
      <c r="GI564" s="12"/>
      <c r="GJ564" s="11"/>
      <c r="GK564" s="13"/>
      <c r="GL564" s="11"/>
      <c r="GM564" s="11"/>
      <c r="GN564" s="13"/>
      <c r="GO564" s="11"/>
      <c r="GP564" s="12"/>
      <c r="GQ564" s="12"/>
      <c r="GR564" s="11"/>
      <c r="GS564" s="13"/>
      <c r="GT564" s="11"/>
      <c r="GU564" s="11"/>
      <c r="GV564" s="13"/>
      <c r="GW564" s="11"/>
      <c r="GX564" s="12"/>
      <c r="GY564" s="12"/>
      <c r="GZ564" s="11"/>
      <c r="HA564" s="13"/>
      <c r="HB564" s="11"/>
      <c r="HC564" s="11"/>
      <c r="HD564" s="13"/>
      <c r="HE564" s="11"/>
      <c r="HF564" s="12"/>
      <c r="HG564" s="12"/>
      <c r="HH564" s="11"/>
      <c r="HI564" s="13"/>
      <c r="HJ564" s="11"/>
      <c r="HK564" s="11"/>
      <c r="HL564" s="13"/>
      <c r="HM564" s="11"/>
      <c r="HN564" s="12"/>
      <c r="HO564" s="12"/>
      <c r="HP564" s="11"/>
      <c r="HQ564" s="13"/>
      <c r="HR564" s="11"/>
      <c r="HS564" s="11"/>
      <c r="HT564" s="13"/>
      <c r="HU564" s="11"/>
      <c r="HV564" s="12"/>
      <c r="HW564" s="12"/>
      <c r="HX564" s="11"/>
      <c r="HY564" s="13"/>
      <c r="HZ564" s="11"/>
      <c r="IA564" s="11"/>
      <c r="IB564" s="13"/>
      <c r="IC564" s="11"/>
      <c r="ID564" s="12"/>
      <c r="IE564" s="12"/>
      <c r="IF564" s="11"/>
      <c r="IG564" s="13"/>
      <c r="IH564" s="11"/>
      <c r="II564" s="11"/>
      <c r="IJ564" s="13"/>
      <c r="IK564" s="11"/>
      <c r="IL564" s="12"/>
      <c r="IM564" s="12"/>
      <c r="IN564" s="11"/>
      <c r="IO564" s="13"/>
      <c r="IP564" s="11"/>
      <c r="IQ564" s="11"/>
      <c r="IR564" s="13"/>
      <c r="IS564" s="11"/>
      <c r="IT564" s="12"/>
      <c r="IU564" s="12"/>
      <c r="IV564" s="11"/>
      <c r="IW564" s="13"/>
      <c r="IX564" s="11"/>
      <c r="IY564" s="11"/>
      <c r="IZ564" s="13"/>
      <c r="JA564" s="11"/>
      <c r="JB564" s="12"/>
      <c r="JC564" s="12"/>
      <c r="JD564" s="11"/>
      <c r="JE564" s="13"/>
      <c r="JF564" s="11"/>
      <c r="JG564" s="11"/>
      <c r="JH564" s="13"/>
      <c r="JI564" s="11"/>
      <c r="JJ564" s="12"/>
      <c r="JK564" s="12"/>
      <c r="JL564" s="11"/>
      <c r="JM564" s="13"/>
      <c r="JN564" s="11"/>
      <c r="JO564" s="11"/>
      <c r="JP564" s="13"/>
      <c r="JQ564" s="11"/>
      <c r="JR564" s="12"/>
      <c r="JS564" s="12"/>
      <c r="JT564" s="11"/>
      <c r="JU564" s="13"/>
      <c r="JV564" s="11"/>
      <c r="JW564" s="11"/>
      <c r="JX564" s="13"/>
      <c r="JY564" s="11"/>
      <c r="JZ564" s="12"/>
      <c r="KA564" s="12"/>
      <c r="KB564" s="11"/>
      <c r="KC564" s="13"/>
      <c r="KD564" s="11"/>
      <c r="KE564" s="11"/>
      <c r="KF564" s="13"/>
      <c r="KG564" s="11"/>
      <c r="KH564" s="12"/>
      <c r="KI564" s="12"/>
      <c r="KJ564" s="11"/>
      <c r="KK564" s="13"/>
      <c r="KL564" s="11"/>
      <c r="KM564" s="11"/>
      <c r="KN564" s="13"/>
      <c r="KO564" s="11"/>
      <c r="KP564" s="12"/>
      <c r="KQ564" s="12"/>
      <c r="KR564" s="11"/>
      <c r="KS564" s="13"/>
      <c r="KT564" s="11"/>
      <c r="KU564" s="11"/>
      <c r="KV564" s="13"/>
      <c r="KW564" s="11"/>
      <c r="KX564" s="12"/>
      <c r="KY564" s="12"/>
      <c r="KZ564" s="11"/>
      <c r="LA564" s="13"/>
      <c r="LB564" s="11"/>
      <c r="LC564" s="11"/>
      <c r="LD564" s="13"/>
      <c r="LE564" s="11"/>
      <c r="LF564" s="12"/>
      <c r="LG564" s="12"/>
      <c r="LH564" s="11"/>
      <c r="LI564" s="13"/>
      <c r="LJ564" s="11"/>
      <c r="LK564" s="11"/>
      <c r="LL564" s="13"/>
      <c r="LM564" s="11"/>
      <c r="LN564" s="12"/>
      <c r="LO564" s="12"/>
      <c r="LP564" s="11"/>
      <c r="LQ564" s="13"/>
      <c r="LR564" s="11"/>
      <c r="LS564" s="11"/>
      <c r="LT564" s="13"/>
      <c r="LU564" s="11"/>
      <c r="LV564" s="12"/>
      <c r="LW564" s="12"/>
    </row>
    <row r="565">
      <c r="A565" s="10" t="s">
        <v>288</v>
      </c>
      <c r="B565" s="10" t="s">
        <v>77</v>
      </c>
      <c r="C565" s="10" t="s">
        <v>77</v>
      </c>
      <c r="D565" s="11">
        <v>149819</v>
      </c>
      <c r="E565" s="11">
        <f>=ROUNDDOWN({0},0)</f>
      </c>
      <c r="F565" s="11">
        <v>64478</v>
      </c>
      <c r="G565" s="12"/>
      <c r="H565" s="11"/>
      <c r="I565" s="11">
        <f>=ROUNDDOWN({0},0)</f>
      </c>
      <c r="J565" s="11"/>
      <c r="K565" s="12"/>
      <c r="L565" s="11">
        <v>45009</v>
      </c>
      <c r="M565" s="13">
        <v>1417510.72</v>
      </c>
      <c r="N565" s="11">
        <v>163</v>
      </c>
      <c r="O565" s="14">
        <v>8696.38</v>
      </c>
      <c r="P565" s="11"/>
      <c r="Q565" s="13"/>
      <c r="R565" s="11"/>
      <c r="S565" s="14"/>
      <c r="T565" s="12"/>
      <c r="U565" s="12"/>
      <c r="V565" s="12"/>
      <c r="W565" s="12"/>
      <c r="X565" s="11">
        <v>10771</v>
      </c>
      <c r="Y565" s="13">
        <v>368894.46</v>
      </c>
      <c r="Z565" s="11">
        <v>129</v>
      </c>
      <c r="AA565" s="11"/>
      <c r="AB565" s="13"/>
      <c r="AC565" s="11"/>
      <c r="AD565" s="12"/>
      <c r="AE565" s="12"/>
      <c r="AF565" s="11">
        <v>3381</v>
      </c>
      <c r="AG565" s="13">
        <v>79768.89</v>
      </c>
      <c r="AH565" s="11">
        <v>158</v>
      </c>
      <c r="AI565" s="11"/>
      <c r="AJ565" s="13"/>
      <c r="AK565" s="11"/>
      <c r="AL565" s="12"/>
      <c r="AM565" s="12"/>
      <c r="AN565" s="11">
        <v>8223</v>
      </c>
      <c r="AO565" s="13">
        <v>230582.58</v>
      </c>
      <c r="AP565" s="11">
        <v>160</v>
      </c>
      <c r="AQ565" s="11"/>
      <c r="AR565" s="13"/>
      <c r="AS565" s="11"/>
      <c r="AT565" s="12"/>
      <c r="AU565" s="12"/>
      <c r="AV565" s="11">
        <v>5683</v>
      </c>
      <c r="AW565" s="13">
        <v>182475.62</v>
      </c>
      <c r="AX565" s="11">
        <v>70</v>
      </c>
      <c r="AY565" s="11"/>
      <c r="AZ565" s="13"/>
      <c r="BA565" s="11"/>
      <c r="BB565" s="12"/>
      <c r="BC565" s="12"/>
      <c r="BD565" s="11">
        <v>6405</v>
      </c>
      <c r="BE565" s="13">
        <v>226797.25</v>
      </c>
      <c r="BF565" s="11">
        <v>146</v>
      </c>
      <c r="BG565" s="11"/>
      <c r="BH565" s="13"/>
      <c r="BI565" s="11"/>
      <c r="BJ565" s="12"/>
      <c r="BK565" s="12"/>
      <c r="BL565" s="11">
        <v>1006</v>
      </c>
      <c r="BM565" s="13">
        <v>36137.3</v>
      </c>
      <c r="BN565" s="11">
        <v>145</v>
      </c>
      <c r="BO565" s="11"/>
      <c r="BP565" s="13"/>
      <c r="BQ565" s="11"/>
      <c r="BR565" s="12"/>
      <c r="BS565" s="12"/>
      <c r="BT565" s="11">
        <v>1439</v>
      </c>
      <c r="BU565" s="13">
        <v>50958.34</v>
      </c>
      <c r="BV565" s="11">
        <v>129</v>
      </c>
      <c r="BW565" s="11"/>
      <c r="BX565" s="13"/>
      <c r="BY565" s="11"/>
      <c r="BZ565" s="12"/>
      <c r="CA565" s="12"/>
      <c r="CB565" s="11">
        <v>3512</v>
      </c>
      <c r="CC565" s="13">
        <v>102152.74</v>
      </c>
      <c r="CD565" s="11">
        <v>114</v>
      </c>
      <c r="CE565" s="11"/>
      <c r="CF565" s="13"/>
      <c r="CG565" s="11"/>
      <c r="CH565" s="12"/>
      <c r="CI565" s="12"/>
      <c r="CJ565" s="11">
        <v>15</v>
      </c>
      <c r="CK565" s="13">
        <v>935.25</v>
      </c>
      <c r="CL565" s="11">
        <v>143</v>
      </c>
      <c r="CM565" s="11"/>
      <c r="CN565" s="13"/>
      <c r="CO565" s="11"/>
      <c r="CP565" s="12"/>
      <c r="CQ565" s="12"/>
      <c r="CR565" s="11"/>
      <c r="CS565" s="13"/>
      <c r="CT565" s="11"/>
      <c r="CU565" s="11"/>
      <c r="CV565" s="13"/>
      <c r="CW565" s="11"/>
      <c r="CX565" s="12"/>
      <c r="CY565" s="12"/>
      <c r="CZ565" s="11">
        <v>46</v>
      </c>
      <c r="DA565" s="13">
        <v>1404.03</v>
      </c>
      <c r="DB565" s="11">
        <v>16</v>
      </c>
      <c r="DC565" s="11"/>
      <c r="DD565" s="13"/>
      <c r="DE565" s="11"/>
      <c r="DF565" s="12"/>
      <c r="DG565" s="12"/>
      <c r="DH565" s="11"/>
      <c r="DI565" s="13"/>
      <c r="DJ565" s="11"/>
      <c r="DK565" s="11"/>
      <c r="DL565" s="13"/>
      <c r="DM565" s="11"/>
      <c r="DN565" s="12"/>
      <c r="DO565" s="12"/>
      <c r="DP565" s="11">
        <v>1654</v>
      </c>
      <c r="DQ565" s="13">
        <v>47839.77</v>
      </c>
      <c r="DR565" s="11">
        <v>142</v>
      </c>
      <c r="DS565" s="11"/>
      <c r="DT565" s="13"/>
      <c r="DU565" s="11"/>
      <c r="DV565" s="12"/>
      <c r="DW565" s="12"/>
      <c r="DX565" s="11">
        <v>407</v>
      </c>
      <c r="DY565" s="13">
        <v>12452.47</v>
      </c>
      <c r="DZ565" s="11">
        <v>123</v>
      </c>
      <c r="EA565" s="11"/>
      <c r="EB565" s="13"/>
      <c r="EC565" s="11"/>
      <c r="ED565" s="12"/>
      <c r="EE565" s="12"/>
      <c r="EF565" s="11"/>
      <c r="EG565" s="13"/>
      <c r="EH565" s="11"/>
      <c r="EI565" s="11"/>
      <c r="EJ565" s="13"/>
      <c r="EK565" s="11"/>
      <c r="EL565" s="12"/>
      <c r="EM565" s="12"/>
      <c r="EN565" s="11">
        <v>35</v>
      </c>
      <c r="EO565" s="13">
        <v>1381.7</v>
      </c>
      <c r="EP565" s="11">
        <v>160</v>
      </c>
      <c r="EQ565" s="11"/>
      <c r="ER565" s="13"/>
      <c r="ES565" s="11"/>
      <c r="ET565" s="12"/>
      <c r="EU565" s="12"/>
      <c r="EV565" s="11">
        <v>121</v>
      </c>
      <c r="EW565" s="13">
        <v>3465.25</v>
      </c>
      <c r="EX565" s="11">
        <v>28</v>
      </c>
      <c r="EY565" s="11"/>
      <c r="EZ565" s="13"/>
      <c r="FA565" s="11"/>
      <c r="FB565" s="12"/>
      <c r="FC565" s="12"/>
      <c r="FD565" s="11">
        <v>579</v>
      </c>
      <c r="FE565" s="13">
        <v>15766.35</v>
      </c>
      <c r="FF565" s="11">
        <v>50</v>
      </c>
      <c r="FG565" s="11"/>
      <c r="FH565" s="13"/>
      <c r="FI565" s="11"/>
      <c r="FJ565" s="12"/>
      <c r="FK565" s="12"/>
      <c r="FL565" s="11">
        <v>1437</v>
      </c>
      <c r="FM565" s="13">
        <v>47275.96</v>
      </c>
      <c r="FN565" s="11">
        <v>91</v>
      </c>
      <c r="FO565" s="11"/>
      <c r="FP565" s="13"/>
      <c r="FQ565" s="11"/>
      <c r="FR565" s="12"/>
      <c r="FS565" s="12"/>
      <c r="FT565" s="11"/>
      <c r="FU565" s="13"/>
      <c r="FV565" s="11"/>
      <c r="FW565" s="11"/>
      <c r="FX565" s="13"/>
      <c r="FY565" s="11"/>
      <c r="FZ565" s="12"/>
      <c r="GA565" s="12"/>
      <c r="GB565" s="11"/>
      <c r="GC565" s="13"/>
      <c r="GD565" s="11"/>
      <c r="GE565" s="11"/>
      <c r="GF565" s="13"/>
      <c r="GG565" s="11"/>
      <c r="GH565" s="12"/>
      <c r="GI565" s="12"/>
      <c r="GJ565" s="11"/>
      <c r="GK565" s="13"/>
      <c r="GL565" s="11"/>
      <c r="GM565" s="11"/>
      <c r="GN565" s="13"/>
      <c r="GO565" s="11"/>
      <c r="GP565" s="12"/>
      <c r="GQ565" s="12"/>
      <c r="GR565" s="11">
        <v>12</v>
      </c>
      <c r="GS565" s="13">
        <v>427.19</v>
      </c>
      <c r="GT565" s="11">
        <v>108</v>
      </c>
      <c r="GU565" s="11"/>
      <c r="GV565" s="13"/>
      <c r="GW565" s="11"/>
      <c r="GX565" s="12"/>
      <c r="GY565" s="12"/>
      <c r="GZ565" s="11"/>
      <c r="HA565" s="13"/>
      <c r="HB565" s="11"/>
      <c r="HC565" s="11"/>
      <c r="HD565" s="13"/>
      <c r="HE565" s="11"/>
      <c r="HF565" s="12"/>
      <c r="HG565" s="12"/>
      <c r="HH565" s="11">
        <v>27</v>
      </c>
      <c r="HI565" s="13">
        <v>703.59</v>
      </c>
      <c r="HJ565" s="11"/>
      <c r="HK565" s="11"/>
      <c r="HL565" s="13"/>
      <c r="HM565" s="11"/>
      <c r="HN565" s="12"/>
      <c r="HO565" s="12"/>
      <c r="HP565" s="11">
        <v>9</v>
      </c>
      <c r="HQ565" s="13">
        <v>359.1</v>
      </c>
      <c r="HR565" s="11">
        <v>5</v>
      </c>
      <c r="HS565" s="11"/>
      <c r="HT565" s="13"/>
      <c r="HU565" s="11"/>
      <c r="HV565" s="12"/>
      <c r="HW565" s="12"/>
      <c r="HX565" s="11">
        <v>167</v>
      </c>
      <c r="HY565" s="13">
        <v>5388.39</v>
      </c>
      <c r="HZ565" s="11">
        <v>37</v>
      </c>
      <c r="IA565" s="11"/>
      <c r="IB565" s="13"/>
      <c r="IC565" s="11"/>
      <c r="ID565" s="12"/>
      <c r="IE565" s="12"/>
      <c r="IF565" s="11"/>
      <c r="IG565" s="13"/>
      <c r="IH565" s="11"/>
      <c r="II565" s="11"/>
      <c r="IJ565" s="13"/>
      <c r="IK565" s="11"/>
      <c r="IL565" s="12"/>
      <c r="IM565" s="12"/>
      <c r="IN565" s="11">
        <v>20</v>
      </c>
      <c r="IO565" s="13">
        <v>463.05</v>
      </c>
      <c r="IP565" s="11">
        <v>10</v>
      </c>
      <c r="IQ565" s="11"/>
      <c r="IR565" s="13"/>
      <c r="IS565" s="11"/>
      <c r="IT565" s="12"/>
      <c r="IU565" s="12"/>
      <c r="IV565" s="11">
        <v>18</v>
      </c>
      <c r="IW565" s="13">
        <v>401.52</v>
      </c>
      <c r="IX565" s="11">
        <v>26</v>
      </c>
      <c r="IY565" s="11"/>
      <c r="IZ565" s="13"/>
      <c r="JA565" s="11"/>
      <c r="JB565" s="12"/>
      <c r="JC565" s="12"/>
      <c r="JD565" s="11">
        <v>42</v>
      </c>
      <c r="JE565" s="13">
        <v>1479.92</v>
      </c>
      <c r="JF565" s="11">
        <v>55</v>
      </c>
      <c r="JG565" s="11"/>
      <c r="JH565" s="13"/>
      <c r="JI565" s="11"/>
      <c r="JJ565" s="12"/>
      <c r="JK565" s="12"/>
      <c r="JL565" s="11"/>
      <c r="JM565" s="13"/>
      <c r="JN565" s="11"/>
      <c r="JO565" s="11"/>
      <c r="JP565" s="13"/>
      <c r="JQ565" s="11"/>
      <c r="JR565" s="12"/>
      <c r="JS565" s="12"/>
      <c r="JT565" s="11"/>
      <c r="JU565" s="13"/>
      <c r="JV565" s="11">
        <v>82</v>
      </c>
      <c r="JW565" s="11"/>
      <c r="JX565" s="13"/>
      <c r="JY565" s="11"/>
      <c r="JZ565" s="12"/>
      <c r="KA565" s="12"/>
      <c r="KB565" s="11"/>
      <c r="KC565" s="13"/>
      <c r="KD565" s="11"/>
      <c r="KE565" s="11"/>
      <c r="KF565" s="13"/>
      <c r="KG565" s="11"/>
      <c r="KH565" s="12"/>
      <c r="KI565" s="12"/>
      <c r="KJ565" s="11"/>
      <c r="KK565" s="13"/>
      <c r="KL565" s="11"/>
      <c r="KM565" s="11"/>
      <c r="KN565" s="13"/>
      <c r="KO565" s="11"/>
      <c r="KP565" s="12"/>
      <c r="KQ565" s="12"/>
      <c r="KR565" s="11"/>
      <c r="KS565" s="13"/>
      <c r="KT565" s="11"/>
      <c r="KU565" s="11"/>
      <c r="KV565" s="13"/>
      <c r="KW565" s="11"/>
      <c r="KX565" s="12"/>
      <c r="KY565" s="12"/>
      <c r="KZ565" s="11"/>
      <c r="LA565" s="13"/>
      <c r="LB565" s="11"/>
      <c r="LC565" s="11"/>
      <c r="LD565" s="13"/>
      <c r="LE565" s="11"/>
      <c r="LF565" s="12"/>
      <c r="LG565" s="12"/>
      <c r="LH565" s="11"/>
      <c r="LI565" s="13"/>
      <c r="LJ565" s="11"/>
      <c r="LK565" s="11"/>
      <c r="LL565" s="13"/>
      <c r="LM565" s="11"/>
      <c r="LN565" s="12"/>
      <c r="LO565" s="12"/>
      <c r="LP565" s="11"/>
      <c r="LQ565" s="13"/>
      <c r="LR565" s="11"/>
      <c r="LS565" s="11"/>
      <c r="LT565" s="13"/>
      <c r="LU565" s="11"/>
      <c r="LV565" s="12"/>
      <c r="LW565" s="12"/>
    </row>
    <row r="566">
      <c r="A566" s="10" t="s">
        <v>289</v>
      </c>
      <c r="B566" s="10" t="s">
        <v>73</v>
      </c>
      <c r="C566" s="10" t="s">
        <v>259</v>
      </c>
      <c r="D566" s="11">
        <v>1100</v>
      </c>
      <c r="E566" s="11">
        <f>=ROUNDDOWN(22.9166666666667,0)</f>
      </c>
      <c r="F566" s="11"/>
      <c r="G566" s="12"/>
      <c r="H566" s="11"/>
      <c r="I566" s="11">
        <f>=ROUNDDOWN({0},0)</f>
      </c>
      <c r="J566" s="11"/>
      <c r="K566" s="12"/>
      <c r="L566" s="11">
        <v>4</v>
      </c>
      <c r="M566" s="13">
        <v>155.39</v>
      </c>
      <c r="N566" s="11">
        <v>8</v>
      </c>
      <c r="O566" s="14">
        <v>19.42</v>
      </c>
      <c r="P566" s="11"/>
      <c r="Q566" s="13"/>
      <c r="R566" s="11"/>
      <c r="S566" s="14"/>
      <c r="T566" s="12"/>
      <c r="U566" s="12"/>
      <c r="V566" s="12"/>
      <c r="W566" s="12"/>
      <c r="X566" s="11"/>
      <c r="Y566" s="13"/>
      <c r="Z566" s="11">
        <v>8</v>
      </c>
      <c r="AA566" s="11"/>
      <c r="AB566" s="13"/>
      <c r="AC566" s="11"/>
      <c r="AD566" s="12"/>
      <c r="AE566" s="12"/>
      <c r="AF566" s="11">
        <v>3</v>
      </c>
      <c r="AG566" s="13">
        <v>137.63</v>
      </c>
      <c r="AH566" s="11">
        <v>8</v>
      </c>
      <c r="AI566" s="11"/>
      <c r="AJ566" s="13"/>
      <c r="AK566" s="11"/>
      <c r="AL566" s="12"/>
      <c r="AM566" s="12"/>
      <c r="AN566" s="11">
        <v>1</v>
      </c>
      <c r="AO566" s="13">
        <v>17.76</v>
      </c>
      <c r="AP566" s="11">
        <v>8</v>
      </c>
      <c r="AQ566" s="11"/>
      <c r="AR566" s="13"/>
      <c r="AS566" s="11"/>
      <c r="AT566" s="12"/>
      <c r="AU566" s="12"/>
      <c r="AV566" s="11"/>
      <c r="AW566" s="13"/>
      <c r="AX566" s="11"/>
      <c r="AY566" s="11"/>
      <c r="AZ566" s="13"/>
      <c r="BA566" s="11"/>
      <c r="BB566" s="12"/>
      <c r="BC566" s="12"/>
      <c r="BD566" s="11"/>
      <c r="BE566" s="13"/>
      <c r="BF566" s="11"/>
      <c r="BG566" s="11"/>
      <c r="BH566" s="13"/>
      <c r="BI566" s="11"/>
      <c r="BJ566" s="12"/>
      <c r="BK566" s="12"/>
      <c r="BL566" s="11"/>
      <c r="BM566" s="13"/>
      <c r="BN566" s="11">
        <v>8</v>
      </c>
      <c r="BO566" s="11"/>
      <c r="BP566" s="13"/>
      <c r="BQ566" s="11"/>
      <c r="BR566" s="12"/>
      <c r="BS566" s="12"/>
      <c r="BT566" s="11"/>
      <c r="BU566" s="13"/>
      <c r="BV566" s="11"/>
      <c r="BW566" s="11"/>
      <c r="BX566" s="13"/>
      <c r="BY566" s="11"/>
      <c r="BZ566" s="12"/>
      <c r="CA566" s="12"/>
      <c r="CB566" s="11"/>
      <c r="CC566" s="13"/>
      <c r="CD566" s="11"/>
      <c r="CE566" s="11"/>
      <c r="CF566" s="13"/>
      <c r="CG566" s="11"/>
      <c r="CH566" s="12"/>
      <c r="CI566" s="12"/>
      <c r="CJ566" s="11"/>
      <c r="CK566" s="13"/>
      <c r="CL566" s="11">
        <v>8</v>
      </c>
      <c r="CM566" s="11"/>
      <c r="CN566" s="13"/>
      <c r="CO566" s="11"/>
      <c r="CP566" s="12"/>
      <c r="CQ566" s="12"/>
      <c r="CR566" s="11"/>
      <c r="CS566" s="13"/>
      <c r="CT566" s="11"/>
      <c r="CU566" s="11"/>
      <c r="CV566" s="13"/>
      <c r="CW566" s="11"/>
      <c r="CX566" s="12"/>
      <c r="CY566" s="12"/>
      <c r="CZ566" s="11"/>
      <c r="DA566" s="13"/>
      <c r="DB566" s="11"/>
      <c r="DC566" s="11"/>
      <c r="DD566" s="13"/>
      <c r="DE566" s="11"/>
      <c r="DF566" s="12"/>
      <c r="DG566" s="12"/>
      <c r="DH566" s="11"/>
      <c r="DI566" s="13"/>
      <c r="DJ566" s="11"/>
      <c r="DK566" s="11"/>
      <c r="DL566" s="13"/>
      <c r="DM566" s="11"/>
      <c r="DN566" s="12"/>
      <c r="DO566" s="12"/>
      <c r="DP566" s="11"/>
      <c r="DQ566" s="13"/>
      <c r="DR566" s="11"/>
      <c r="DS566" s="11"/>
      <c r="DT566" s="13"/>
      <c r="DU566" s="11"/>
      <c r="DV566" s="12"/>
      <c r="DW566" s="12"/>
      <c r="DX566" s="11"/>
      <c r="DY566" s="13"/>
      <c r="DZ566" s="11">
        <v>8</v>
      </c>
      <c r="EA566" s="11"/>
      <c r="EB566" s="13"/>
      <c r="EC566" s="11"/>
      <c r="ED566" s="12"/>
      <c r="EE566" s="12"/>
      <c r="EF566" s="11"/>
      <c r="EG566" s="13"/>
      <c r="EH566" s="11"/>
      <c r="EI566" s="11"/>
      <c r="EJ566" s="13"/>
      <c r="EK566" s="11"/>
      <c r="EL566" s="12"/>
      <c r="EM566" s="12"/>
      <c r="EN566" s="11"/>
      <c r="EO566" s="13"/>
      <c r="EP566" s="11">
        <v>8</v>
      </c>
      <c r="EQ566" s="11"/>
      <c r="ER566" s="13"/>
      <c r="ES566" s="11"/>
      <c r="ET566" s="12"/>
      <c r="EU566" s="12"/>
      <c r="EV566" s="11"/>
      <c r="EW566" s="13"/>
      <c r="EX566" s="11"/>
      <c r="EY566" s="11"/>
      <c r="EZ566" s="13"/>
      <c r="FA566" s="11"/>
      <c r="FB566" s="12"/>
      <c r="FC566" s="12"/>
      <c r="FD566" s="11"/>
      <c r="FE566" s="13"/>
      <c r="FF566" s="11"/>
      <c r="FG566" s="11"/>
      <c r="FH566" s="13"/>
      <c r="FI566" s="11"/>
      <c r="FJ566" s="12"/>
      <c r="FK566" s="12"/>
      <c r="FL566" s="11"/>
      <c r="FM566" s="13"/>
      <c r="FN566" s="11"/>
      <c r="FO566" s="11"/>
      <c r="FP566" s="13"/>
      <c r="FQ566" s="11"/>
      <c r="FR566" s="12"/>
      <c r="FS566" s="12"/>
      <c r="FT566" s="11"/>
      <c r="FU566" s="13"/>
      <c r="FV566" s="11"/>
      <c r="FW566" s="11"/>
      <c r="FX566" s="13"/>
      <c r="FY566" s="11"/>
      <c r="FZ566" s="12"/>
      <c r="GA566" s="12"/>
      <c r="GB566" s="11"/>
      <c r="GC566" s="13"/>
      <c r="GD566" s="11"/>
      <c r="GE566" s="11"/>
      <c r="GF566" s="13"/>
      <c r="GG566" s="11"/>
      <c r="GH566" s="12"/>
      <c r="GI566" s="12"/>
      <c r="GJ566" s="11"/>
      <c r="GK566" s="13"/>
      <c r="GL566" s="11"/>
      <c r="GM566" s="11"/>
      <c r="GN566" s="13"/>
      <c r="GO566" s="11"/>
      <c r="GP566" s="12"/>
      <c r="GQ566" s="12"/>
      <c r="GR566" s="11"/>
      <c r="GS566" s="13"/>
      <c r="GT566" s="11"/>
      <c r="GU566" s="11"/>
      <c r="GV566" s="13"/>
      <c r="GW566" s="11"/>
      <c r="GX566" s="12"/>
      <c r="GY566" s="12"/>
      <c r="GZ566" s="11"/>
      <c r="HA566" s="13"/>
      <c r="HB566" s="11"/>
      <c r="HC566" s="11"/>
      <c r="HD566" s="13"/>
      <c r="HE566" s="11"/>
      <c r="HF566" s="12"/>
      <c r="HG566" s="12"/>
      <c r="HH566" s="11"/>
      <c r="HI566" s="13"/>
      <c r="HJ566" s="11"/>
      <c r="HK566" s="11"/>
      <c r="HL566" s="13"/>
      <c r="HM566" s="11"/>
      <c r="HN566" s="12"/>
      <c r="HO566" s="12"/>
      <c r="HP566" s="11"/>
      <c r="HQ566" s="13"/>
      <c r="HR566" s="11"/>
      <c r="HS566" s="11"/>
      <c r="HT566" s="13"/>
      <c r="HU566" s="11"/>
      <c r="HV566" s="12"/>
      <c r="HW566" s="12"/>
      <c r="HX566" s="11"/>
      <c r="HY566" s="13"/>
      <c r="HZ566" s="11"/>
      <c r="IA566" s="11"/>
      <c r="IB566" s="13"/>
      <c r="IC566" s="11"/>
      <c r="ID566" s="12"/>
      <c r="IE566" s="12"/>
      <c r="IF566" s="11"/>
      <c r="IG566" s="13"/>
      <c r="IH566" s="11"/>
      <c r="II566" s="11"/>
      <c r="IJ566" s="13"/>
      <c r="IK566" s="11"/>
      <c r="IL566" s="12"/>
      <c r="IM566" s="12"/>
      <c r="IN566" s="11"/>
      <c r="IO566" s="13"/>
      <c r="IP566" s="11"/>
      <c r="IQ566" s="11"/>
      <c r="IR566" s="13"/>
      <c r="IS566" s="11"/>
      <c r="IT566" s="12"/>
      <c r="IU566" s="12"/>
      <c r="IV566" s="11"/>
      <c r="IW566" s="13"/>
      <c r="IX566" s="11"/>
      <c r="IY566" s="11"/>
      <c r="IZ566" s="13"/>
      <c r="JA566" s="11"/>
      <c r="JB566" s="12"/>
      <c r="JC566" s="12"/>
      <c r="JD566" s="11"/>
      <c r="JE566" s="13"/>
      <c r="JF566" s="11"/>
      <c r="JG566" s="11"/>
      <c r="JH566" s="13"/>
      <c r="JI566" s="11"/>
      <c r="JJ566" s="12"/>
      <c r="JK566" s="12"/>
      <c r="JL566" s="11"/>
      <c r="JM566" s="13"/>
      <c r="JN566" s="11"/>
      <c r="JO566" s="11"/>
      <c r="JP566" s="13"/>
      <c r="JQ566" s="11"/>
      <c r="JR566" s="12"/>
      <c r="JS566" s="12"/>
      <c r="JT566" s="11"/>
      <c r="JU566" s="13"/>
      <c r="JV566" s="11"/>
      <c r="JW566" s="11"/>
      <c r="JX566" s="13"/>
      <c r="JY566" s="11"/>
      <c r="JZ566" s="12"/>
      <c r="KA566" s="12"/>
      <c r="KB566" s="11"/>
      <c r="KC566" s="13"/>
      <c r="KD566" s="11"/>
      <c r="KE566" s="11"/>
      <c r="KF566" s="13"/>
      <c r="KG566" s="11"/>
      <c r="KH566" s="12"/>
      <c r="KI566" s="12"/>
      <c r="KJ566" s="11"/>
      <c r="KK566" s="13"/>
      <c r="KL566" s="11"/>
      <c r="KM566" s="11"/>
      <c r="KN566" s="13"/>
      <c r="KO566" s="11"/>
      <c r="KP566" s="12"/>
      <c r="KQ566" s="12"/>
      <c r="KR566" s="11"/>
      <c r="KS566" s="13"/>
      <c r="KT566" s="11"/>
      <c r="KU566" s="11"/>
      <c r="KV566" s="13"/>
      <c r="KW566" s="11"/>
      <c r="KX566" s="12"/>
      <c r="KY566" s="12"/>
      <c r="KZ566" s="11"/>
      <c r="LA566" s="13"/>
      <c r="LB566" s="11"/>
      <c r="LC566" s="11"/>
      <c r="LD566" s="13"/>
      <c r="LE566" s="11"/>
      <c r="LF566" s="12"/>
      <c r="LG566" s="12"/>
      <c r="LH566" s="11"/>
      <c r="LI566" s="13"/>
      <c r="LJ566" s="11"/>
      <c r="LK566" s="11"/>
      <c r="LL566" s="13"/>
      <c r="LM566" s="11"/>
      <c r="LN566" s="12"/>
      <c r="LO566" s="12"/>
      <c r="LP566" s="11"/>
      <c r="LQ566" s="13"/>
      <c r="LR566" s="11"/>
      <c r="LS566" s="11"/>
      <c r="LT566" s="13"/>
      <c r="LU566" s="11"/>
      <c r="LV566" s="12"/>
      <c r="LW566" s="12"/>
    </row>
    <row r="567">
      <c r="A567" s="10" t="s">
        <v>289</v>
      </c>
      <c r="B567" s="10" t="s">
        <v>73</v>
      </c>
      <c r="C567" s="10" t="s">
        <v>101</v>
      </c>
      <c r="D567" s="11">
        <v>3239</v>
      </c>
      <c r="E567" s="11">
        <f>=ROUNDDOWN(29.5259799453054,0)</f>
      </c>
      <c r="F567" s="11">
        <v>1512</v>
      </c>
      <c r="G567" s="12">
        <v>1</v>
      </c>
      <c r="H567" s="11"/>
      <c r="I567" s="11">
        <f>=ROUNDDOWN({0},0)</f>
      </c>
      <c r="J567" s="11"/>
      <c r="K567" s="12"/>
      <c r="L567" s="11">
        <v>785</v>
      </c>
      <c r="M567" s="13">
        <v>16548.96</v>
      </c>
      <c r="N567" s="11">
        <v>18</v>
      </c>
      <c r="O567" s="14">
        <v>919.39</v>
      </c>
      <c r="P567" s="11"/>
      <c r="Q567" s="13"/>
      <c r="R567" s="11"/>
      <c r="S567" s="14"/>
      <c r="T567" s="12"/>
      <c r="U567" s="12"/>
      <c r="V567" s="12"/>
      <c r="W567" s="12"/>
      <c r="X567" s="11"/>
      <c r="Y567" s="13"/>
      <c r="Z567" s="11"/>
      <c r="AA567" s="11"/>
      <c r="AB567" s="13"/>
      <c r="AC567" s="11"/>
      <c r="AD567" s="12"/>
      <c r="AE567" s="12"/>
      <c r="AF567" s="11">
        <v>65</v>
      </c>
      <c r="AG567" s="13">
        <v>1153.77</v>
      </c>
      <c r="AH567" s="11">
        <v>18</v>
      </c>
      <c r="AI567" s="11"/>
      <c r="AJ567" s="13"/>
      <c r="AK567" s="11"/>
      <c r="AL567" s="12"/>
      <c r="AM567" s="12"/>
      <c r="AN567" s="11">
        <v>135</v>
      </c>
      <c r="AO567" s="13">
        <v>2664.51</v>
      </c>
      <c r="AP567" s="11">
        <v>18</v>
      </c>
      <c r="AQ567" s="11"/>
      <c r="AR567" s="13"/>
      <c r="AS567" s="11"/>
      <c r="AT567" s="12"/>
      <c r="AU567" s="12"/>
      <c r="AV567" s="11">
        <v>366</v>
      </c>
      <c r="AW567" s="13">
        <v>7917.11</v>
      </c>
      <c r="AX567" s="11">
        <v>12</v>
      </c>
      <c r="AY567" s="11"/>
      <c r="AZ567" s="13"/>
      <c r="BA567" s="11"/>
      <c r="BB567" s="12"/>
      <c r="BC567" s="12"/>
      <c r="BD567" s="11"/>
      <c r="BE567" s="13"/>
      <c r="BF567" s="11"/>
      <c r="BG567" s="11"/>
      <c r="BH567" s="13"/>
      <c r="BI567" s="11"/>
      <c r="BJ567" s="12"/>
      <c r="BK567" s="12"/>
      <c r="BL567" s="11">
        <v>4</v>
      </c>
      <c r="BM567" s="13">
        <v>80.28</v>
      </c>
      <c r="BN567" s="11">
        <v>12</v>
      </c>
      <c r="BO567" s="11"/>
      <c r="BP567" s="13"/>
      <c r="BQ567" s="11"/>
      <c r="BR567" s="12"/>
      <c r="BS567" s="12"/>
      <c r="BT567" s="11">
        <v>50</v>
      </c>
      <c r="BU567" s="13">
        <v>1228.3</v>
      </c>
      <c r="BV567" s="11">
        <v>18</v>
      </c>
      <c r="BW567" s="11"/>
      <c r="BX567" s="13"/>
      <c r="BY567" s="11"/>
      <c r="BZ567" s="12"/>
      <c r="CA567" s="12"/>
      <c r="CB567" s="11">
        <v>101</v>
      </c>
      <c r="CC567" s="13">
        <v>2014.51</v>
      </c>
      <c r="CD567" s="11">
        <v>18</v>
      </c>
      <c r="CE567" s="11"/>
      <c r="CF567" s="13"/>
      <c r="CG567" s="11"/>
      <c r="CH567" s="12"/>
      <c r="CI567" s="12"/>
      <c r="CJ567" s="11">
        <v>2</v>
      </c>
      <c r="CK567" s="13">
        <v>63.18</v>
      </c>
      <c r="CL567" s="11">
        <v>18</v>
      </c>
      <c r="CM567" s="11"/>
      <c r="CN567" s="13"/>
      <c r="CO567" s="11"/>
      <c r="CP567" s="12"/>
      <c r="CQ567" s="12"/>
      <c r="CR567" s="11"/>
      <c r="CS567" s="13"/>
      <c r="CT567" s="11"/>
      <c r="CU567" s="11"/>
      <c r="CV567" s="13"/>
      <c r="CW567" s="11"/>
      <c r="CX567" s="12"/>
      <c r="CY567" s="12"/>
      <c r="CZ567" s="11">
        <v>14</v>
      </c>
      <c r="DA567" s="13">
        <v>298.13</v>
      </c>
      <c r="DB567" s="11">
        <v>2</v>
      </c>
      <c r="DC567" s="11"/>
      <c r="DD567" s="13"/>
      <c r="DE567" s="11"/>
      <c r="DF567" s="12"/>
      <c r="DG567" s="12"/>
      <c r="DH567" s="11">
        <v>16</v>
      </c>
      <c r="DI567" s="13">
        <v>293.95</v>
      </c>
      <c r="DJ567" s="11">
        <v>15</v>
      </c>
      <c r="DK567" s="11"/>
      <c r="DL567" s="13"/>
      <c r="DM567" s="11"/>
      <c r="DN567" s="12"/>
      <c r="DO567" s="12"/>
      <c r="DP567" s="11">
        <v>5</v>
      </c>
      <c r="DQ567" s="13">
        <v>101.1</v>
      </c>
      <c r="DR567" s="11">
        <v>14</v>
      </c>
      <c r="DS567" s="11"/>
      <c r="DT567" s="13"/>
      <c r="DU567" s="11"/>
      <c r="DV567" s="12"/>
      <c r="DW567" s="12"/>
      <c r="DX567" s="11">
        <v>20</v>
      </c>
      <c r="DY567" s="13">
        <v>447.36</v>
      </c>
      <c r="DZ567" s="11">
        <v>13</v>
      </c>
      <c r="EA567" s="11"/>
      <c r="EB567" s="13"/>
      <c r="EC567" s="11"/>
      <c r="ED567" s="12"/>
      <c r="EE567" s="12"/>
      <c r="EF567" s="11"/>
      <c r="EG567" s="13"/>
      <c r="EH567" s="11"/>
      <c r="EI567" s="11"/>
      <c r="EJ567" s="13"/>
      <c r="EK567" s="11"/>
      <c r="EL567" s="12"/>
      <c r="EM567" s="12"/>
      <c r="EN567" s="11">
        <v>3</v>
      </c>
      <c r="EO567" s="13">
        <v>211.16</v>
      </c>
      <c r="EP567" s="11">
        <v>18</v>
      </c>
      <c r="EQ567" s="11"/>
      <c r="ER567" s="13"/>
      <c r="ES567" s="11"/>
      <c r="ET567" s="12"/>
      <c r="EU567" s="12"/>
      <c r="EV567" s="11">
        <v>4</v>
      </c>
      <c r="EW567" s="13">
        <v>75.6</v>
      </c>
      <c r="EX567" s="11">
        <v>12</v>
      </c>
      <c r="EY567" s="11"/>
      <c r="EZ567" s="13"/>
      <c r="FA567" s="11"/>
      <c r="FB567" s="12"/>
      <c r="FC567" s="12"/>
      <c r="FD567" s="11"/>
      <c r="FE567" s="13"/>
      <c r="FF567" s="11"/>
      <c r="FG567" s="11"/>
      <c r="FH567" s="13"/>
      <c r="FI567" s="11"/>
      <c r="FJ567" s="12"/>
      <c r="FK567" s="12"/>
      <c r="FL567" s="11"/>
      <c r="FM567" s="13"/>
      <c r="FN567" s="11"/>
      <c r="FO567" s="11"/>
      <c r="FP567" s="13"/>
      <c r="FQ567" s="11"/>
      <c r="FR567" s="12"/>
      <c r="FS567" s="12"/>
      <c r="FT567" s="11"/>
      <c r="FU567" s="13"/>
      <c r="FV567" s="11"/>
      <c r="FW567" s="11"/>
      <c r="FX567" s="13"/>
      <c r="FY567" s="11"/>
      <c r="FZ567" s="12"/>
      <c r="GA567" s="12"/>
      <c r="GB567" s="11"/>
      <c r="GC567" s="13"/>
      <c r="GD567" s="11"/>
      <c r="GE567" s="11"/>
      <c r="GF567" s="13"/>
      <c r="GG567" s="11"/>
      <c r="GH567" s="12"/>
      <c r="GI567" s="12"/>
      <c r="GJ567" s="11"/>
      <c r="GK567" s="13"/>
      <c r="GL567" s="11"/>
      <c r="GM567" s="11"/>
      <c r="GN567" s="13"/>
      <c r="GO567" s="11"/>
      <c r="GP567" s="12"/>
      <c r="GQ567" s="12"/>
      <c r="GR567" s="11"/>
      <c r="GS567" s="13"/>
      <c r="GT567" s="11">
        <v>12</v>
      </c>
      <c r="GU567" s="11"/>
      <c r="GV567" s="13"/>
      <c r="GW567" s="11"/>
      <c r="GX567" s="12"/>
      <c r="GY567" s="12"/>
      <c r="GZ567" s="11"/>
      <c r="HA567" s="13"/>
      <c r="HB567" s="11"/>
      <c r="HC567" s="11"/>
      <c r="HD567" s="13"/>
      <c r="HE567" s="11"/>
      <c r="HF567" s="12"/>
      <c r="HG567" s="12"/>
      <c r="HH567" s="11"/>
      <c r="HI567" s="13"/>
      <c r="HJ567" s="11"/>
      <c r="HK567" s="11"/>
      <c r="HL567" s="13"/>
      <c r="HM567" s="11"/>
      <c r="HN567" s="12"/>
      <c r="HO567" s="12"/>
      <c r="HP567" s="11"/>
      <c r="HQ567" s="13"/>
      <c r="HR567" s="11"/>
      <c r="HS567" s="11"/>
      <c r="HT567" s="13"/>
      <c r="HU567" s="11"/>
      <c r="HV567" s="12"/>
      <c r="HW567" s="12"/>
      <c r="HX567" s="11"/>
      <c r="HY567" s="13"/>
      <c r="HZ567" s="11"/>
      <c r="IA567" s="11"/>
      <c r="IB567" s="13"/>
      <c r="IC567" s="11"/>
      <c r="ID567" s="12"/>
      <c r="IE567" s="12"/>
      <c r="IF567" s="11"/>
      <c r="IG567" s="13"/>
      <c r="IH567" s="11"/>
      <c r="II567" s="11"/>
      <c r="IJ567" s="13"/>
      <c r="IK567" s="11"/>
      <c r="IL567" s="12"/>
      <c r="IM567" s="12"/>
      <c r="IN567" s="11"/>
      <c r="IO567" s="13"/>
      <c r="IP567" s="11"/>
      <c r="IQ567" s="11"/>
      <c r="IR567" s="13"/>
      <c r="IS567" s="11"/>
      <c r="IT567" s="12"/>
      <c r="IU567" s="12"/>
      <c r="IV567" s="11"/>
      <c r="IW567" s="13"/>
      <c r="IX567" s="11"/>
      <c r="IY567" s="11"/>
      <c r="IZ567" s="13"/>
      <c r="JA567" s="11"/>
      <c r="JB567" s="12"/>
      <c r="JC567" s="12"/>
      <c r="JD567" s="11"/>
      <c r="JE567" s="13"/>
      <c r="JF567" s="11"/>
      <c r="JG567" s="11"/>
      <c r="JH567" s="13"/>
      <c r="JI567" s="11"/>
      <c r="JJ567" s="12"/>
      <c r="JK567" s="12"/>
      <c r="JL567" s="11"/>
      <c r="JM567" s="13"/>
      <c r="JN567" s="11"/>
      <c r="JO567" s="11"/>
      <c r="JP567" s="13"/>
      <c r="JQ567" s="11"/>
      <c r="JR567" s="12"/>
      <c r="JS567" s="12"/>
      <c r="JT567" s="11"/>
      <c r="JU567" s="13"/>
      <c r="JV567" s="11"/>
      <c r="JW567" s="11"/>
      <c r="JX567" s="13"/>
      <c r="JY567" s="11"/>
      <c r="JZ567" s="12"/>
      <c r="KA567" s="12"/>
      <c r="KB567" s="11"/>
      <c r="KC567" s="13"/>
      <c r="KD567" s="11"/>
      <c r="KE567" s="11"/>
      <c r="KF567" s="13"/>
      <c r="KG567" s="11"/>
      <c r="KH567" s="12"/>
      <c r="KI567" s="12"/>
      <c r="KJ567" s="11"/>
      <c r="KK567" s="13"/>
      <c r="KL567" s="11"/>
      <c r="KM567" s="11"/>
      <c r="KN567" s="13"/>
      <c r="KO567" s="11"/>
      <c r="KP567" s="12"/>
      <c r="KQ567" s="12"/>
      <c r="KR567" s="11"/>
      <c r="KS567" s="13"/>
      <c r="KT567" s="11"/>
      <c r="KU567" s="11"/>
      <c r="KV567" s="13"/>
      <c r="KW567" s="11"/>
      <c r="KX567" s="12"/>
      <c r="KY567" s="12"/>
      <c r="KZ567" s="11"/>
      <c r="LA567" s="13"/>
      <c r="LB567" s="11"/>
      <c r="LC567" s="11"/>
      <c r="LD567" s="13"/>
      <c r="LE567" s="11"/>
      <c r="LF567" s="12"/>
      <c r="LG567" s="12"/>
      <c r="LH567" s="11"/>
      <c r="LI567" s="13"/>
      <c r="LJ567" s="11"/>
      <c r="LK567" s="11"/>
      <c r="LL567" s="13"/>
      <c r="LM567" s="11"/>
      <c r="LN567" s="12"/>
      <c r="LO567" s="12"/>
      <c r="LP567" s="11"/>
      <c r="LQ567" s="13"/>
      <c r="LR567" s="11"/>
      <c r="LS567" s="11"/>
      <c r="LT567" s="13"/>
      <c r="LU567" s="11"/>
      <c r="LV567" s="12"/>
      <c r="LW567" s="12"/>
    </row>
    <row r="568">
      <c r="A568" s="10" t="s">
        <v>289</v>
      </c>
      <c r="B568" s="10" t="s">
        <v>76</v>
      </c>
      <c r="C568" s="10" t="s">
        <v>77</v>
      </c>
      <c r="D568" s="11">
        <v>4339</v>
      </c>
      <c r="E568" s="11">
        <f>=ROUNDDOWN({0},0)</f>
      </c>
      <c r="F568" s="11">
        <v>1512</v>
      </c>
      <c r="G568" s="12"/>
      <c r="H568" s="11"/>
      <c r="I568" s="11">
        <f>=ROUNDDOWN({0},0)</f>
      </c>
      <c r="J568" s="11"/>
      <c r="K568" s="12"/>
      <c r="L568" s="11">
        <v>789</v>
      </c>
      <c r="M568" s="13">
        <v>16704.35</v>
      </c>
      <c r="N568" s="11">
        <v>26</v>
      </c>
      <c r="O568" s="14">
        <v>642.48</v>
      </c>
      <c r="P568" s="11"/>
      <c r="Q568" s="13"/>
      <c r="R568" s="11"/>
      <c r="S568" s="14"/>
      <c r="T568" s="12"/>
      <c r="U568" s="12"/>
      <c r="V568" s="12"/>
      <c r="W568" s="12"/>
      <c r="X568" s="11"/>
      <c r="Y568" s="13"/>
      <c r="Z568" s="11">
        <v>8</v>
      </c>
      <c r="AA568" s="11"/>
      <c r="AB568" s="13"/>
      <c r="AC568" s="11"/>
      <c r="AD568" s="12"/>
      <c r="AE568" s="12"/>
      <c r="AF568" s="11">
        <v>68</v>
      </c>
      <c r="AG568" s="13">
        <v>1291.4</v>
      </c>
      <c r="AH568" s="11">
        <v>26</v>
      </c>
      <c r="AI568" s="11"/>
      <c r="AJ568" s="13"/>
      <c r="AK568" s="11"/>
      <c r="AL568" s="12"/>
      <c r="AM568" s="12"/>
      <c r="AN568" s="11">
        <v>136</v>
      </c>
      <c r="AO568" s="13">
        <v>2682.27</v>
      </c>
      <c r="AP568" s="11">
        <v>26</v>
      </c>
      <c r="AQ568" s="11"/>
      <c r="AR568" s="13"/>
      <c r="AS568" s="11"/>
      <c r="AT568" s="12"/>
      <c r="AU568" s="12"/>
      <c r="AV568" s="11">
        <v>366</v>
      </c>
      <c r="AW568" s="13">
        <v>7917.11</v>
      </c>
      <c r="AX568" s="11">
        <v>12</v>
      </c>
      <c r="AY568" s="11"/>
      <c r="AZ568" s="13"/>
      <c r="BA568" s="11"/>
      <c r="BB568" s="12"/>
      <c r="BC568" s="12"/>
      <c r="BD568" s="11"/>
      <c r="BE568" s="13"/>
      <c r="BF568" s="11"/>
      <c r="BG568" s="11"/>
      <c r="BH568" s="13"/>
      <c r="BI568" s="11"/>
      <c r="BJ568" s="12"/>
      <c r="BK568" s="12"/>
      <c r="BL568" s="11">
        <v>4</v>
      </c>
      <c r="BM568" s="13">
        <v>80.28</v>
      </c>
      <c r="BN568" s="11">
        <v>20</v>
      </c>
      <c r="BO568" s="11"/>
      <c r="BP568" s="13"/>
      <c r="BQ568" s="11"/>
      <c r="BR568" s="12"/>
      <c r="BS568" s="12"/>
      <c r="BT568" s="11">
        <v>50</v>
      </c>
      <c r="BU568" s="13">
        <v>1228.3</v>
      </c>
      <c r="BV568" s="11">
        <v>18</v>
      </c>
      <c r="BW568" s="11"/>
      <c r="BX568" s="13"/>
      <c r="BY568" s="11"/>
      <c r="BZ568" s="12"/>
      <c r="CA568" s="12"/>
      <c r="CB568" s="11">
        <v>101</v>
      </c>
      <c r="CC568" s="13">
        <v>2014.51</v>
      </c>
      <c r="CD568" s="11">
        <v>18</v>
      </c>
      <c r="CE568" s="11"/>
      <c r="CF568" s="13"/>
      <c r="CG568" s="11"/>
      <c r="CH568" s="12"/>
      <c r="CI568" s="12"/>
      <c r="CJ568" s="11">
        <v>2</v>
      </c>
      <c r="CK568" s="13">
        <v>63.18</v>
      </c>
      <c r="CL568" s="11">
        <v>26</v>
      </c>
      <c r="CM568" s="11"/>
      <c r="CN568" s="13"/>
      <c r="CO568" s="11"/>
      <c r="CP568" s="12"/>
      <c r="CQ568" s="12"/>
      <c r="CR568" s="11"/>
      <c r="CS568" s="13"/>
      <c r="CT568" s="11"/>
      <c r="CU568" s="11"/>
      <c r="CV568" s="13"/>
      <c r="CW568" s="11"/>
      <c r="CX568" s="12"/>
      <c r="CY568" s="12"/>
      <c r="CZ568" s="11">
        <v>14</v>
      </c>
      <c r="DA568" s="13">
        <v>298.13</v>
      </c>
      <c r="DB568" s="11">
        <v>2</v>
      </c>
      <c r="DC568" s="11"/>
      <c r="DD568" s="13"/>
      <c r="DE568" s="11"/>
      <c r="DF568" s="12"/>
      <c r="DG568" s="12"/>
      <c r="DH568" s="11">
        <v>16</v>
      </c>
      <c r="DI568" s="13">
        <v>293.95</v>
      </c>
      <c r="DJ568" s="11">
        <v>15</v>
      </c>
      <c r="DK568" s="11"/>
      <c r="DL568" s="13"/>
      <c r="DM568" s="11"/>
      <c r="DN568" s="12"/>
      <c r="DO568" s="12"/>
      <c r="DP568" s="11">
        <v>5</v>
      </c>
      <c r="DQ568" s="13">
        <v>101.1</v>
      </c>
      <c r="DR568" s="11">
        <v>14</v>
      </c>
      <c r="DS568" s="11"/>
      <c r="DT568" s="13"/>
      <c r="DU568" s="11"/>
      <c r="DV568" s="12"/>
      <c r="DW568" s="12"/>
      <c r="DX568" s="11">
        <v>20</v>
      </c>
      <c r="DY568" s="13">
        <v>447.36</v>
      </c>
      <c r="DZ568" s="11">
        <v>21</v>
      </c>
      <c r="EA568" s="11"/>
      <c r="EB568" s="13"/>
      <c r="EC568" s="11"/>
      <c r="ED568" s="12"/>
      <c r="EE568" s="12"/>
      <c r="EF568" s="11"/>
      <c r="EG568" s="13"/>
      <c r="EH568" s="11"/>
      <c r="EI568" s="11"/>
      <c r="EJ568" s="13"/>
      <c r="EK568" s="11"/>
      <c r="EL568" s="12"/>
      <c r="EM568" s="12"/>
      <c r="EN568" s="11">
        <v>3</v>
      </c>
      <c r="EO568" s="13">
        <v>211.16</v>
      </c>
      <c r="EP568" s="11">
        <v>26</v>
      </c>
      <c r="EQ568" s="11"/>
      <c r="ER568" s="13"/>
      <c r="ES568" s="11"/>
      <c r="ET568" s="12"/>
      <c r="EU568" s="12"/>
      <c r="EV568" s="11">
        <v>4</v>
      </c>
      <c r="EW568" s="13">
        <v>75.6</v>
      </c>
      <c r="EX568" s="11">
        <v>12</v>
      </c>
      <c r="EY568" s="11"/>
      <c r="EZ568" s="13"/>
      <c r="FA568" s="11"/>
      <c r="FB568" s="12"/>
      <c r="FC568" s="12"/>
      <c r="FD568" s="11"/>
      <c r="FE568" s="13"/>
      <c r="FF568" s="11"/>
      <c r="FG568" s="11"/>
      <c r="FH568" s="13"/>
      <c r="FI568" s="11"/>
      <c r="FJ568" s="12"/>
      <c r="FK568" s="12"/>
      <c r="FL568" s="11"/>
      <c r="FM568" s="13"/>
      <c r="FN568" s="11"/>
      <c r="FO568" s="11"/>
      <c r="FP568" s="13"/>
      <c r="FQ568" s="11"/>
      <c r="FR568" s="12"/>
      <c r="FS568" s="12"/>
      <c r="FT568" s="11"/>
      <c r="FU568" s="13"/>
      <c r="FV568" s="11"/>
      <c r="FW568" s="11"/>
      <c r="FX568" s="13"/>
      <c r="FY568" s="11"/>
      <c r="FZ568" s="12"/>
      <c r="GA568" s="12"/>
      <c r="GB568" s="11"/>
      <c r="GC568" s="13"/>
      <c r="GD568" s="11"/>
      <c r="GE568" s="11"/>
      <c r="GF568" s="13"/>
      <c r="GG568" s="11"/>
      <c r="GH568" s="12"/>
      <c r="GI568" s="12"/>
      <c r="GJ568" s="11"/>
      <c r="GK568" s="13"/>
      <c r="GL568" s="11"/>
      <c r="GM568" s="11"/>
      <c r="GN568" s="13"/>
      <c r="GO568" s="11"/>
      <c r="GP568" s="12"/>
      <c r="GQ568" s="12"/>
      <c r="GR568" s="11"/>
      <c r="GS568" s="13"/>
      <c r="GT568" s="11">
        <v>12</v>
      </c>
      <c r="GU568" s="11"/>
      <c r="GV568" s="13"/>
      <c r="GW568" s="11"/>
      <c r="GX568" s="12"/>
      <c r="GY568" s="12"/>
      <c r="GZ568" s="11"/>
      <c r="HA568" s="13"/>
      <c r="HB568" s="11"/>
      <c r="HC568" s="11"/>
      <c r="HD568" s="13"/>
      <c r="HE568" s="11"/>
      <c r="HF568" s="12"/>
      <c r="HG568" s="12"/>
      <c r="HH568" s="11"/>
      <c r="HI568" s="13"/>
      <c r="HJ568" s="11"/>
      <c r="HK568" s="11"/>
      <c r="HL568" s="13"/>
      <c r="HM568" s="11"/>
      <c r="HN568" s="12"/>
      <c r="HO568" s="12"/>
      <c r="HP568" s="11"/>
      <c r="HQ568" s="13"/>
      <c r="HR568" s="11"/>
      <c r="HS568" s="11"/>
      <c r="HT568" s="13"/>
      <c r="HU568" s="11"/>
      <c r="HV568" s="12"/>
      <c r="HW568" s="12"/>
      <c r="HX568" s="11"/>
      <c r="HY568" s="13"/>
      <c r="HZ568" s="11"/>
      <c r="IA568" s="11"/>
      <c r="IB568" s="13"/>
      <c r="IC568" s="11"/>
      <c r="ID568" s="12"/>
      <c r="IE568" s="12"/>
      <c r="IF568" s="11"/>
      <c r="IG568" s="13"/>
      <c r="IH568" s="11"/>
      <c r="II568" s="11"/>
      <c r="IJ568" s="13"/>
      <c r="IK568" s="11"/>
      <c r="IL568" s="12"/>
      <c r="IM568" s="12"/>
      <c r="IN568" s="11"/>
      <c r="IO568" s="13"/>
      <c r="IP568" s="11"/>
      <c r="IQ568" s="11"/>
      <c r="IR568" s="13"/>
      <c r="IS568" s="11"/>
      <c r="IT568" s="12"/>
      <c r="IU568" s="12"/>
      <c r="IV568" s="11"/>
      <c r="IW568" s="13"/>
      <c r="IX568" s="11"/>
      <c r="IY568" s="11"/>
      <c r="IZ568" s="13"/>
      <c r="JA568" s="11"/>
      <c r="JB568" s="12"/>
      <c r="JC568" s="12"/>
      <c r="JD568" s="11"/>
      <c r="JE568" s="13"/>
      <c r="JF568" s="11"/>
      <c r="JG568" s="11"/>
      <c r="JH568" s="13"/>
      <c r="JI568" s="11"/>
      <c r="JJ568" s="12"/>
      <c r="JK568" s="12"/>
      <c r="JL568" s="11"/>
      <c r="JM568" s="13"/>
      <c r="JN568" s="11"/>
      <c r="JO568" s="11"/>
      <c r="JP568" s="13"/>
      <c r="JQ568" s="11"/>
      <c r="JR568" s="12"/>
      <c r="JS568" s="12"/>
      <c r="JT568" s="11"/>
      <c r="JU568" s="13"/>
      <c r="JV568" s="11"/>
      <c r="JW568" s="11"/>
      <c r="JX568" s="13"/>
      <c r="JY568" s="11"/>
      <c r="JZ568" s="12"/>
      <c r="KA568" s="12"/>
      <c r="KB568" s="11"/>
      <c r="KC568" s="13"/>
      <c r="KD568" s="11"/>
      <c r="KE568" s="11"/>
      <c r="KF568" s="13"/>
      <c r="KG568" s="11"/>
      <c r="KH568" s="12"/>
      <c r="KI568" s="12"/>
      <c r="KJ568" s="11"/>
      <c r="KK568" s="13"/>
      <c r="KL568" s="11"/>
      <c r="KM568" s="11"/>
      <c r="KN568" s="13"/>
      <c r="KO568" s="11"/>
      <c r="KP568" s="12"/>
      <c r="KQ568" s="12"/>
      <c r="KR568" s="11"/>
      <c r="KS568" s="13"/>
      <c r="KT568" s="11"/>
      <c r="KU568" s="11"/>
      <c r="KV568" s="13"/>
      <c r="KW568" s="11"/>
      <c r="KX568" s="12"/>
      <c r="KY568" s="12"/>
      <c r="KZ568" s="11"/>
      <c r="LA568" s="13"/>
      <c r="LB568" s="11"/>
      <c r="LC568" s="11"/>
      <c r="LD568" s="13"/>
      <c r="LE568" s="11"/>
      <c r="LF568" s="12"/>
      <c r="LG568" s="12"/>
      <c r="LH568" s="11"/>
      <c r="LI568" s="13"/>
      <c r="LJ568" s="11"/>
      <c r="LK568" s="11"/>
      <c r="LL568" s="13"/>
      <c r="LM568" s="11"/>
      <c r="LN568" s="12"/>
      <c r="LO568" s="12"/>
      <c r="LP568" s="11"/>
      <c r="LQ568" s="13"/>
      <c r="LR568" s="11"/>
      <c r="LS568" s="11"/>
      <c r="LT568" s="13"/>
      <c r="LU568" s="11"/>
      <c r="LV568" s="12"/>
      <c r="LW568" s="12"/>
    </row>
    <row r="569">
      <c r="A569" s="10" t="s">
        <v>289</v>
      </c>
      <c r="B569" s="10" t="s">
        <v>82</v>
      </c>
      <c r="C569" s="10" t="s">
        <v>101</v>
      </c>
      <c r="D569" s="11">
        <v>753</v>
      </c>
      <c r="E569" s="11">
        <f>=ROUNDDOWN(53.7857142857143,0)</f>
      </c>
      <c r="F569" s="11"/>
      <c r="G569" s="12">
        <v>0.4167</v>
      </c>
      <c r="H569" s="11"/>
      <c r="I569" s="11">
        <f>=ROUNDDOWN({0},0)</f>
      </c>
      <c r="J569" s="11"/>
      <c r="K569" s="12"/>
      <c r="L569" s="11">
        <v>546</v>
      </c>
      <c r="M569" s="13">
        <v>16415.25</v>
      </c>
      <c r="N569" s="11"/>
      <c r="O569" s="14"/>
      <c r="P569" s="11"/>
      <c r="Q569" s="13"/>
      <c r="R569" s="11"/>
      <c r="S569" s="14"/>
      <c r="T569" s="12"/>
      <c r="U569" s="12"/>
      <c r="V569" s="12"/>
      <c r="W569" s="12"/>
      <c r="X569" s="11"/>
      <c r="Y569" s="13"/>
      <c r="Z569" s="11"/>
      <c r="AA569" s="11"/>
      <c r="AB569" s="13"/>
      <c r="AC569" s="11"/>
      <c r="AD569" s="12"/>
      <c r="AE569" s="12"/>
      <c r="AF569" s="11"/>
      <c r="AG569" s="13"/>
      <c r="AH569" s="11"/>
      <c r="AI569" s="11"/>
      <c r="AJ569" s="13"/>
      <c r="AK569" s="11"/>
      <c r="AL569" s="12"/>
      <c r="AM569" s="12"/>
      <c r="AN569" s="11"/>
      <c r="AO569" s="13"/>
      <c r="AP569" s="11"/>
      <c r="AQ569" s="11"/>
      <c r="AR569" s="13"/>
      <c r="AS569" s="11"/>
      <c r="AT569" s="12"/>
      <c r="AU569" s="12"/>
      <c r="AV569" s="11"/>
      <c r="AW569" s="13"/>
      <c r="AX569" s="11"/>
      <c r="AY569" s="11"/>
      <c r="AZ569" s="13"/>
      <c r="BA569" s="11"/>
      <c r="BB569" s="12"/>
      <c r="BC569" s="12"/>
      <c r="BD569" s="11"/>
      <c r="BE569" s="13"/>
      <c r="BF569" s="11"/>
      <c r="BG569" s="11"/>
      <c r="BH569" s="13"/>
      <c r="BI569" s="11"/>
      <c r="BJ569" s="12"/>
      <c r="BK569" s="12"/>
      <c r="BL569" s="11"/>
      <c r="BM569" s="13"/>
      <c r="BN569" s="11"/>
      <c r="BO569" s="11"/>
      <c r="BP569" s="13"/>
      <c r="BQ569" s="11"/>
      <c r="BR569" s="12"/>
      <c r="BS569" s="12"/>
      <c r="BT569" s="11"/>
      <c r="BU569" s="13"/>
      <c r="BV569" s="11"/>
      <c r="BW569" s="11"/>
      <c r="BX569" s="13"/>
      <c r="BY569" s="11"/>
      <c r="BZ569" s="12"/>
      <c r="CA569" s="12"/>
      <c r="CB569" s="11"/>
      <c r="CC569" s="13"/>
      <c r="CD569" s="11"/>
      <c r="CE569" s="11"/>
      <c r="CF569" s="13"/>
      <c r="CG569" s="11"/>
      <c r="CH569" s="12"/>
      <c r="CI569" s="12"/>
      <c r="CJ569" s="11"/>
      <c r="CK569" s="13"/>
      <c r="CL569" s="11"/>
      <c r="CM569" s="11"/>
      <c r="CN569" s="13"/>
      <c r="CO569" s="11"/>
      <c r="CP569" s="12"/>
      <c r="CQ569" s="12"/>
      <c r="CR569" s="11"/>
      <c r="CS569" s="13"/>
      <c r="CT569" s="11"/>
      <c r="CU569" s="11"/>
      <c r="CV569" s="13"/>
      <c r="CW569" s="11"/>
      <c r="CX569" s="12"/>
      <c r="CY569" s="12"/>
      <c r="CZ569" s="11"/>
      <c r="DA569" s="13"/>
      <c r="DB569" s="11"/>
      <c r="DC569" s="11"/>
      <c r="DD569" s="13"/>
      <c r="DE569" s="11"/>
      <c r="DF569" s="12"/>
      <c r="DG569" s="12"/>
      <c r="DH569" s="11"/>
      <c r="DI569" s="13"/>
      <c r="DJ569" s="11"/>
      <c r="DK569" s="11"/>
      <c r="DL569" s="13"/>
      <c r="DM569" s="11"/>
      <c r="DN569" s="12"/>
      <c r="DO569" s="12"/>
      <c r="DP569" s="11"/>
      <c r="DQ569" s="13"/>
      <c r="DR569" s="11"/>
      <c r="DS569" s="11"/>
      <c r="DT569" s="13"/>
      <c r="DU569" s="11"/>
      <c r="DV569" s="12"/>
      <c r="DW569" s="12"/>
      <c r="DX569" s="11"/>
      <c r="DY569" s="13"/>
      <c r="DZ569" s="11"/>
      <c r="EA569" s="11"/>
      <c r="EB569" s="13"/>
      <c r="EC569" s="11"/>
      <c r="ED569" s="12"/>
      <c r="EE569" s="12"/>
      <c r="EF569" s="11">
        <v>546</v>
      </c>
      <c r="EG569" s="13">
        <v>16415.25</v>
      </c>
      <c r="EH569" s="11"/>
      <c r="EI569" s="11"/>
      <c r="EJ569" s="13"/>
      <c r="EK569" s="11"/>
      <c r="EL569" s="12"/>
      <c r="EM569" s="12"/>
      <c r="EN569" s="11"/>
      <c r="EO569" s="13"/>
      <c r="EP569" s="11"/>
      <c r="EQ569" s="11"/>
      <c r="ER569" s="13"/>
      <c r="ES569" s="11"/>
      <c r="ET569" s="12"/>
      <c r="EU569" s="12"/>
      <c r="EV569" s="11"/>
      <c r="EW569" s="13"/>
      <c r="EX569" s="11"/>
      <c r="EY569" s="11"/>
      <c r="EZ569" s="13"/>
      <c r="FA569" s="11"/>
      <c r="FB569" s="12"/>
      <c r="FC569" s="12"/>
      <c r="FD569" s="11"/>
      <c r="FE569" s="13"/>
      <c r="FF569" s="11"/>
      <c r="FG569" s="11"/>
      <c r="FH569" s="13"/>
      <c r="FI569" s="11"/>
      <c r="FJ569" s="12"/>
      <c r="FK569" s="12"/>
      <c r="FL569" s="11"/>
      <c r="FM569" s="13"/>
      <c r="FN569" s="11"/>
      <c r="FO569" s="11"/>
      <c r="FP569" s="13"/>
      <c r="FQ569" s="11"/>
      <c r="FR569" s="12"/>
      <c r="FS569" s="12"/>
      <c r="FT569" s="11"/>
      <c r="FU569" s="13"/>
      <c r="FV569" s="11"/>
      <c r="FW569" s="11"/>
      <c r="FX569" s="13"/>
      <c r="FY569" s="11"/>
      <c r="FZ569" s="12"/>
      <c r="GA569" s="12"/>
      <c r="GB569" s="11"/>
      <c r="GC569" s="13"/>
      <c r="GD569" s="11"/>
      <c r="GE569" s="11"/>
      <c r="GF569" s="13"/>
      <c r="GG569" s="11"/>
      <c r="GH569" s="12"/>
      <c r="GI569" s="12"/>
      <c r="GJ569" s="11"/>
      <c r="GK569" s="13"/>
      <c r="GL569" s="11"/>
      <c r="GM569" s="11"/>
      <c r="GN569" s="13"/>
      <c r="GO569" s="11"/>
      <c r="GP569" s="12"/>
      <c r="GQ569" s="12"/>
      <c r="GR569" s="11"/>
      <c r="GS569" s="13"/>
      <c r="GT569" s="11"/>
      <c r="GU569" s="11"/>
      <c r="GV569" s="13"/>
      <c r="GW569" s="11"/>
      <c r="GX569" s="12"/>
      <c r="GY569" s="12"/>
      <c r="GZ569" s="11"/>
      <c r="HA569" s="13"/>
      <c r="HB569" s="11"/>
      <c r="HC569" s="11"/>
      <c r="HD569" s="13"/>
      <c r="HE569" s="11"/>
      <c r="HF569" s="12"/>
      <c r="HG569" s="12"/>
      <c r="HH569" s="11"/>
      <c r="HI569" s="13"/>
      <c r="HJ569" s="11"/>
      <c r="HK569" s="11"/>
      <c r="HL569" s="13"/>
      <c r="HM569" s="11"/>
      <c r="HN569" s="12"/>
      <c r="HO569" s="12"/>
      <c r="HP569" s="11"/>
      <c r="HQ569" s="13"/>
      <c r="HR569" s="11"/>
      <c r="HS569" s="11"/>
      <c r="HT569" s="13"/>
      <c r="HU569" s="11"/>
      <c r="HV569" s="12"/>
      <c r="HW569" s="12"/>
      <c r="HX569" s="11"/>
      <c r="HY569" s="13"/>
      <c r="HZ569" s="11"/>
      <c r="IA569" s="11"/>
      <c r="IB569" s="13"/>
      <c r="IC569" s="11"/>
      <c r="ID569" s="12"/>
      <c r="IE569" s="12"/>
      <c r="IF569" s="11"/>
      <c r="IG569" s="13"/>
      <c r="IH569" s="11"/>
      <c r="II569" s="11"/>
      <c r="IJ569" s="13"/>
      <c r="IK569" s="11"/>
      <c r="IL569" s="12"/>
      <c r="IM569" s="12"/>
      <c r="IN569" s="11"/>
      <c r="IO569" s="13"/>
      <c r="IP569" s="11"/>
      <c r="IQ569" s="11"/>
      <c r="IR569" s="13"/>
      <c r="IS569" s="11"/>
      <c r="IT569" s="12"/>
      <c r="IU569" s="12"/>
      <c r="IV569" s="11"/>
      <c r="IW569" s="13"/>
      <c r="IX569" s="11"/>
      <c r="IY569" s="11"/>
      <c r="IZ569" s="13"/>
      <c r="JA569" s="11"/>
      <c r="JB569" s="12"/>
      <c r="JC569" s="12"/>
      <c r="JD569" s="11"/>
      <c r="JE569" s="13"/>
      <c r="JF569" s="11"/>
      <c r="JG569" s="11"/>
      <c r="JH569" s="13"/>
      <c r="JI569" s="11"/>
      <c r="JJ569" s="12"/>
      <c r="JK569" s="12"/>
      <c r="JL569" s="11"/>
      <c r="JM569" s="13"/>
      <c r="JN569" s="11"/>
      <c r="JO569" s="11"/>
      <c r="JP569" s="13"/>
      <c r="JQ569" s="11"/>
      <c r="JR569" s="12"/>
      <c r="JS569" s="12"/>
      <c r="JT569" s="11"/>
      <c r="JU569" s="13"/>
      <c r="JV569" s="11"/>
      <c r="JW569" s="11"/>
      <c r="JX569" s="13"/>
      <c r="JY569" s="11"/>
      <c r="JZ569" s="12"/>
      <c r="KA569" s="12"/>
      <c r="KB569" s="11"/>
      <c r="KC569" s="13"/>
      <c r="KD569" s="11"/>
      <c r="KE569" s="11"/>
      <c r="KF569" s="13"/>
      <c r="KG569" s="11"/>
      <c r="KH569" s="12"/>
      <c r="KI569" s="12"/>
      <c r="KJ569" s="11"/>
      <c r="KK569" s="13"/>
      <c r="KL569" s="11"/>
      <c r="KM569" s="11"/>
      <c r="KN569" s="13"/>
      <c r="KO569" s="11"/>
      <c r="KP569" s="12"/>
      <c r="KQ569" s="12"/>
      <c r="KR569" s="11"/>
      <c r="KS569" s="13"/>
      <c r="KT569" s="11"/>
      <c r="KU569" s="11"/>
      <c r="KV569" s="13"/>
      <c r="KW569" s="11"/>
      <c r="KX569" s="12"/>
      <c r="KY569" s="12"/>
      <c r="KZ569" s="11"/>
      <c r="LA569" s="13"/>
      <c r="LB569" s="11"/>
      <c r="LC569" s="11"/>
      <c r="LD569" s="13"/>
      <c r="LE569" s="11"/>
      <c r="LF569" s="12"/>
      <c r="LG569" s="12"/>
      <c r="LH569" s="11"/>
      <c r="LI569" s="13"/>
      <c r="LJ569" s="11"/>
      <c r="LK569" s="11"/>
      <c r="LL569" s="13"/>
      <c r="LM569" s="11"/>
      <c r="LN569" s="12"/>
      <c r="LO569" s="12"/>
      <c r="LP569" s="11"/>
      <c r="LQ569" s="13"/>
      <c r="LR569" s="11"/>
      <c r="LS569" s="11"/>
      <c r="LT569" s="13"/>
      <c r="LU569" s="11"/>
      <c r="LV569" s="12"/>
      <c r="LW569" s="12"/>
    </row>
    <row r="570">
      <c r="A570" s="10" t="s">
        <v>289</v>
      </c>
      <c r="B570" s="10" t="s">
        <v>84</v>
      </c>
      <c r="C570" s="10" t="s">
        <v>77</v>
      </c>
      <c r="D570" s="11">
        <v>753</v>
      </c>
      <c r="E570" s="11">
        <f>=ROUNDDOWN({0},0)</f>
      </c>
      <c r="F570" s="11"/>
      <c r="G570" s="12"/>
      <c r="H570" s="11"/>
      <c r="I570" s="11">
        <f>=ROUNDDOWN({0},0)</f>
      </c>
      <c r="J570" s="11"/>
      <c r="K570" s="12"/>
      <c r="L570" s="11">
        <v>546</v>
      </c>
      <c r="M570" s="13">
        <v>16415.25</v>
      </c>
      <c r="N570" s="11"/>
      <c r="O570" s="14"/>
      <c r="P570" s="11"/>
      <c r="Q570" s="13"/>
      <c r="R570" s="11"/>
      <c r="S570" s="14"/>
      <c r="T570" s="12"/>
      <c r="U570" s="12"/>
      <c r="V570" s="12"/>
      <c r="W570" s="12"/>
      <c r="X570" s="11"/>
      <c r="Y570" s="13"/>
      <c r="Z570" s="11"/>
      <c r="AA570" s="11"/>
      <c r="AB570" s="13"/>
      <c r="AC570" s="11"/>
      <c r="AD570" s="12"/>
      <c r="AE570" s="12"/>
      <c r="AF570" s="11"/>
      <c r="AG570" s="13"/>
      <c r="AH570" s="11"/>
      <c r="AI570" s="11"/>
      <c r="AJ570" s="13"/>
      <c r="AK570" s="11"/>
      <c r="AL570" s="12"/>
      <c r="AM570" s="12"/>
      <c r="AN570" s="11"/>
      <c r="AO570" s="13"/>
      <c r="AP570" s="11"/>
      <c r="AQ570" s="11"/>
      <c r="AR570" s="13"/>
      <c r="AS570" s="11"/>
      <c r="AT570" s="12"/>
      <c r="AU570" s="12"/>
      <c r="AV570" s="11"/>
      <c r="AW570" s="13"/>
      <c r="AX570" s="11"/>
      <c r="AY570" s="11"/>
      <c r="AZ570" s="13"/>
      <c r="BA570" s="11"/>
      <c r="BB570" s="12"/>
      <c r="BC570" s="12"/>
      <c r="BD570" s="11"/>
      <c r="BE570" s="13"/>
      <c r="BF570" s="11"/>
      <c r="BG570" s="11"/>
      <c r="BH570" s="13"/>
      <c r="BI570" s="11"/>
      <c r="BJ570" s="12"/>
      <c r="BK570" s="12"/>
      <c r="BL570" s="11"/>
      <c r="BM570" s="13"/>
      <c r="BN570" s="11"/>
      <c r="BO570" s="11"/>
      <c r="BP570" s="13"/>
      <c r="BQ570" s="11"/>
      <c r="BR570" s="12"/>
      <c r="BS570" s="12"/>
      <c r="BT570" s="11"/>
      <c r="BU570" s="13"/>
      <c r="BV570" s="11"/>
      <c r="BW570" s="11"/>
      <c r="BX570" s="13"/>
      <c r="BY570" s="11"/>
      <c r="BZ570" s="12"/>
      <c r="CA570" s="12"/>
      <c r="CB570" s="11"/>
      <c r="CC570" s="13"/>
      <c r="CD570" s="11"/>
      <c r="CE570" s="11"/>
      <c r="CF570" s="13"/>
      <c r="CG570" s="11"/>
      <c r="CH570" s="12"/>
      <c r="CI570" s="12"/>
      <c r="CJ570" s="11"/>
      <c r="CK570" s="13"/>
      <c r="CL570" s="11"/>
      <c r="CM570" s="11"/>
      <c r="CN570" s="13"/>
      <c r="CO570" s="11"/>
      <c r="CP570" s="12"/>
      <c r="CQ570" s="12"/>
      <c r="CR570" s="11"/>
      <c r="CS570" s="13"/>
      <c r="CT570" s="11"/>
      <c r="CU570" s="11"/>
      <c r="CV570" s="13"/>
      <c r="CW570" s="11"/>
      <c r="CX570" s="12"/>
      <c r="CY570" s="12"/>
      <c r="CZ570" s="11"/>
      <c r="DA570" s="13"/>
      <c r="DB570" s="11"/>
      <c r="DC570" s="11"/>
      <c r="DD570" s="13"/>
      <c r="DE570" s="11"/>
      <c r="DF570" s="12"/>
      <c r="DG570" s="12"/>
      <c r="DH570" s="11"/>
      <c r="DI570" s="13"/>
      <c r="DJ570" s="11"/>
      <c r="DK570" s="11"/>
      <c r="DL570" s="13"/>
      <c r="DM570" s="11"/>
      <c r="DN570" s="12"/>
      <c r="DO570" s="12"/>
      <c r="DP570" s="11"/>
      <c r="DQ570" s="13"/>
      <c r="DR570" s="11"/>
      <c r="DS570" s="11"/>
      <c r="DT570" s="13"/>
      <c r="DU570" s="11"/>
      <c r="DV570" s="12"/>
      <c r="DW570" s="12"/>
      <c r="DX570" s="11"/>
      <c r="DY570" s="13"/>
      <c r="DZ570" s="11"/>
      <c r="EA570" s="11"/>
      <c r="EB570" s="13"/>
      <c r="EC570" s="11"/>
      <c r="ED570" s="12"/>
      <c r="EE570" s="12"/>
      <c r="EF570" s="11">
        <v>546</v>
      </c>
      <c r="EG570" s="13">
        <v>16415.25</v>
      </c>
      <c r="EH570" s="11"/>
      <c r="EI570" s="11"/>
      <c r="EJ570" s="13"/>
      <c r="EK570" s="11"/>
      <c r="EL570" s="12"/>
      <c r="EM570" s="12"/>
      <c r="EN570" s="11"/>
      <c r="EO570" s="13"/>
      <c r="EP570" s="11"/>
      <c r="EQ570" s="11"/>
      <c r="ER570" s="13"/>
      <c r="ES570" s="11"/>
      <c r="ET570" s="12"/>
      <c r="EU570" s="12"/>
      <c r="EV570" s="11"/>
      <c r="EW570" s="13"/>
      <c r="EX570" s="11"/>
      <c r="EY570" s="11"/>
      <c r="EZ570" s="13"/>
      <c r="FA570" s="11"/>
      <c r="FB570" s="12"/>
      <c r="FC570" s="12"/>
      <c r="FD570" s="11"/>
      <c r="FE570" s="13"/>
      <c r="FF570" s="11"/>
      <c r="FG570" s="11"/>
      <c r="FH570" s="13"/>
      <c r="FI570" s="11"/>
      <c r="FJ570" s="12"/>
      <c r="FK570" s="12"/>
      <c r="FL570" s="11"/>
      <c r="FM570" s="13"/>
      <c r="FN570" s="11"/>
      <c r="FO570" s="11"/>
      <c r="FP570" s="13"/>
      <c r="FQ570" s="11"/>
      <c r="FR570" s="12"/>
      <c r="FS570" s="12"/>
      <c r="FT570" s="11"/>
      <c r="FU570" s="13"/>
      <c r="FV570" s="11"/>
      <c r="FW570" s="11"/>
      <c r="FX570" s="13"/>
      <c r="FY570" s="11"/>
      <c r="FZ570" s="12"/>
      <c r="GA570" s="12"/>
      <c r="GB570" s="11"/>
      <c r="GC570" s="13"/>
      <c r="GD570" s="11"/>
      <c r="GE570" s="11"/>
      <c r="GF570" s="13"/>
      <c r="GG570" s="11"/>
      <c r="GH570" s="12"/>
      <c r="GI570" s="12"/>
      <c r="GJ570" s="11"/>
      <c r="GK570" s="13"/>
      <c r="GL570" s="11"/>
      <c r="GM570" s="11"/>
      <c r="GN570" s="13"/>
      <c r="GO570" s="11"/>
      <c r="GP570" s="12"/>
      <c r="GQ570" s="12"/>
      <c r="GR570" s="11"/>
      <c r="GS570" s="13"/>
      <c r="GT570" s="11"/>
      <c r="GU570" s="11"/>
      <c r="GV570" s="13"/>
      <c r="GW570" s="11"/>
      <c r="GX570" s="12"/>
      <c r="GY570" s="12"/>
      <c r="GZ570" s="11"/>
      <c r="HA570" s="13"/>
      <c r="HB570" s="11"/>
      <c r="HC570" s="11"/>
      <c r="HD570" s="13"/>
      <c r="HE570" s="11"/>
      <c r="HF570" s="12"/>
      <c r="HG570" s="12"/>
      <c r="HH570" s="11"/>
      <c r="HI570" s="13"/>
      <c r="HJ570" s="11"/>
      <c r="HK570" s="11"/>
      <c r="HL570" s="13"/>
      <c r="HM570" s="11"/>
      <c r="HN570" s="12"/>
      <c r="HO570" s="12"/>
      <c r="HP570" s="11"/>
      <c r="HQ570" s="13"/>
      <c r="HR570" s="11"/>
      <c r="HS570" s="11"/>
      <c r="HT570" s="13"/>
      <c r="HU570" s="11"/>
      <c r="HV570" s="12"/>
      <c r="HW570" s="12"/>
      <c r="HX570" s="11"/>
      <c r="HY570" s="13"/>
      <c r="HZ570" s="11"/>
      <c r="IA570" s="11"/>
      <c r="IB570" s="13"/>
      <c r="IC570" s="11"/>
      <c r="ID570" s="12"/>
      <c r="IE570" s="12"/>
      <c r="IF570" s="11"/>
      <c r="IG570" s="13"/>
      <c r="IH570" s="11"/>
      <c r="II570" s="11"/>
      <c r="IJ570" s="13"/>
      <c r="IK570" s="11"/>
      <c r="IL570" s="12"/>
      <c r="IM570" s="12"/>
      <c r="IN570" s="11"/>
      <c r="IO570" s="13"/>
      <c r="IP570" s="11"/>
      <c r="IQ570" s="11"/>
      <c r="IR570" s="13"/>
      <c r="IS570" s="11"/>
      <c r="IT570" s="12"/>
      <c r="IU570" s="12"/>
      <c r="IV570" s="11"/>
      <c r="IW570" s="13"/>
      <c r="IX570" s="11"/>
      <c r="IY570" s="11"/>
      <c r="IZ570" s="13"/>
      <c r="JA570" s="11"/>
      <c r="JB570" s="12"/>
      <c r="JC570" s="12"/>
      <c r="JD570" s="11"/>
      <c r="JE570" s="13"/>
      <c r="JF570" s="11"/>
      <c r="JG570" s="11"/>
      <c r="JH570" s="13"/>
      <c r="JI570" s="11"/>
      <c r="JJ570" s="12"/>
      <c r="JK570" s="12"/>
      <c r="JL570" s="11"/>
      <c r="JM570" s="13"/>
      <c r="JN570" s="11"/>
      <c r="JO570" s="11"/>
      <c r="JP570" s="13"/>
      <c r="JQ570" s="11"/>
      <c r="JR570" s="12"/>
      <c r="JS570" s="12"/>
      <c r="JT570" s="11"/>
      <c r="JU570" s="13"/>
      <c r="JV570" s="11"/>
      <c r="JW570" s="11"/>
      <c r="JX570" s="13"/>
      <c r="JY570" s="11"/>
      <c r="JZ570" s="12"/>
      <c r="KA570" s="12"/>
      <c r="KB570" s="11"/>
      <c r="KC570" s="13"/>
      <c r="KD570" s="11"/>
      <c r="KE570" s="11"/>
      <c r="KF570" s="13"/>
      <c r="KG570" s="11"/>
      <c r="KH570" s="12"/>
      <c r="KI570" s="12"/>
      <c r="KJ570" s="11"/>
      <c r="KK570" s="13"/>
      <c r="KL570" s="11"/>
      <c r="KM570" s="11"/>
      <c r="KN570" s="13"/>
      <c r="KO570" s="11"/>
      <c r="KP570" s="12"/>
      <c r="KQ570" s="12"/>
      <c r="KR570" s="11"/>
      <c r="KS570" s="13"/>
      <c r="KT570" s="11"/>
      <c r="KU570" s="11"/>
      <c r="KV570" s="13"/>
      <c r="KW570" s="11"/>
      <c r="KX570" s="12"/>
      <c r="KY570" s="12"/>
      <c r="KZ570" s="11"/>
      <c r="LA570" s="13"/>
      <c r="LB570" s="11"/>
      <c r="LC570" s="11"/>
      <c r="LD570" s="13"/>
      <c r="LE570" s="11"/>
      <c r="LF570" s="12"/>
      <c r="LG570" s="12"/>
      <c r="LH570" s="11"/>
      <c r="LI570" s="13"/>
      <c r="LJ570" s="11"/>
      <c r="LK570" s="11"/>
      <c r="LL570" s="13"/>
      <c r="LM570" s="11"/>
      <c r="LN570" s="12"/>
      <c r="LO570" s="12"/>
      <c r="LP570" s="11"/>
      <c r="LQ570" s="13"/>
      <c r="LR570" s="11"/>
      <c r="LS570" s="11"/>
      <c r="LT570" s="13"/>
      <c r="LU570" s="11"/>
      <c r="LV570" s="12"/>
      <c r="LW570" s="12"/>
    </row>
    <row r="571">
      <c r="A571" s="10" t="s">
        <v>289</v>
      </c>
      <c r="B571" s="10" t="s">
        <v>280</v>
      </c>
      <c r="C571" s="10" t="s">
        <v>101</v>
      </c>
      <c r="D571" s="11">
        <v>643</v>
      </c>
      <c r="E571" s="11">
        <f>=ROUNDDOWN(24.7307692307692,0)</f>
      </c>
      <c r="F571" s="11"/>
      <c r="G571" s="12">
        <v>0.9627</v>
      </c>
      <c r="H571" s="11"/>
      <c r="I571" s="11">
        <f>=ROUNDDOWN({0},0)</f>
      </c>
      <c r="J571" s="11"/>
      <c r="K571" s="12"/>
      <c r="L571" s="11">
        <v>446</v>
      </c>
      <c r="M571" s="13">
        <v>15166.6</v>
      </c>
      <c r="N571" s="11"/>
      <c r="O571" s="14"/>
      <c r="P571" s="11"/>
      <c r="Q571" s="13"/>
      <c r="R571" s="11"/>
      <c r="S571" s="14"/>
      <c r="T571" s="12"/>
      <c r="U571" s="12"/>
      <c r="V571" s="12"/>
      <c r="W571" s="12"/>
      <c r="X571" s="11"/>
      <c r="Y571" s="13"/>
      <c r="Z571" s="11"/>
      <c r="AA571" s="11"/>
      <c r="AB571" s="13"/>
      <c r="AC571" s="11"/>
      <c r="AD571" s="12"/>
      <c r="AE571" s="12"/>
      <c r="AF571" s="11"/>
      <c r="AG571" s="13"/>
      <c r="AH571" s="11"/>
      <c r="AI571" s="11"/>
      <c r="AJ571" s="13"/>
      <c r="AK571" s="11"/>
      <c r="AL571" s="12"/>
      <c r="AM571" s="12"/>
      <c r="AN571" s="11"/>
      <c r="AO571" s="13"/>
      <c r="AP571" s="11"/>
      <c r="AQ571" s="11"/>
      <c r="AR571" s="13"/>
      <c r="AS571" s="11"/>
      <c r="AT571" s="12"/>
      <c r="AU571" s="12"/>
      <c r="AV571" s="11"/>
      <c r="AW571" s="13"/>
      <c r="AX571" s="11"/>
      <c r="AY571" s="11"/>
      <c r="AZ571" s="13"/>
      <c r="BA571" s="11"/>
      <c r="BB571" s="12"/>
      <c r="BC571" s="12"/>
      <c r="BD571" s="11"/>
      <c r="BE571" s="13"/>
      <c r="BF571" s="11"/>
      <c r="BG571" s="11"/>
      <c r="BH571" s="13"/>
      <c r="BI571" s="11"/>
      <c r="BJ571" s="12"/>
      <c r="BK571" s="12"/>
      <c r="BL571" s="11"/>
      <c r="BM571" s="13"/>
      <c r="BN571" s="11"/>
      <c r="BO571" s="11"/>
      <c r="BP571" s="13"/>
      <c r="BQ571" s="11"/>
      <c r="BR571" s="12"/>
      <c r="BS571" s="12"/>
      <c r="BT571" s="11"/>
      <c r="BU571" s="13"/>
      <c r="BV571" s="11"/>
      <c r="BW571" s="11"/>
      <c r="BX571" s="13"/>
      <c r="BY571" s="11"/>
      <c r="BZ571" s="12"/>
      <c r="CA571" s="12"/>
      <c r="CB571" s="11"/>
      <c r="CC571" s="13"/>
      <c r="CD571" s="11"/>
      <c r="CE571" s="11"/>
      <c r="CF571" s="13"/>
      <c r="CG571" s="11"/>
      <c r="CH571" s="12"/>
      <c r="CI571" s="12"/>
      <c r="CJ571" s="11"/>
      <c r="CK571" s="13"/>
      <c r="CL571" s="11"/>
      <c r="CM571" s="11"/>
      <c r="CN571" s="13"/>
      <c r="CO571" s="11"/>
      <c r="CP571" s="12"/>
      <c r="CQ571" s="12"/>
      <c r="CR571" s="11"/>
      <c r="CS571" s="13"/>
      <c r="CT571" s="11"/>
      <c r="CU571" s="11"/>
      <c r="CV571" s="13"/>
      <c r="CW571" s="11"/>
      <c r="CX571" s="12"/>
      <c r="CY571" s="12"/>
      <c r="CZ571" s="11"/>
      <c r="DA571" s="13"/>
      <c r="DB571" s="11"/>
      <c r="DC571" s="11"/>
      <c r="DD571" s="13"/>
      <c r="DE571" s="11"/>
      <c r="DF571" s="12"/>
      <c r="DG571" s="12"/>
      <c r="DH571" s="11"/>
      <c r="DI571" s="13"/>
      <c r="DJ571" s="11"/>
      <c r="DK571" s="11"/>
      <c r="DL571" s="13"/>
      <c r="DM571" s="11"/>
      <c r="DN571" s="12"/>
      <c r="DO571" s="12"/>
      <c r="DP571" s="11"/>
      <c r="DQ571" s="13"/>
      <c r="DR571" s="11"/>
      <c r="DS571" s="11"/>
      <c r="DT571" s="13"/>
      <c r="DU571" s="11"/>
      <c r="DV571" s="12"/>
      <c r="DW571" s="12"/>
      <c r="DX571" s="11"/>
      <c r="DY571" s="13"/>
      <c r="DZ571" s="11"/>
      <c r="EA571" s="11"/>
      <c r="EB571" s="13"/>
      <c r="EC571" s="11"/>
      <c r="ED571" s="12"/>
      <c r="EE571" s="12"/>
      <c r="EF571" s="11">
        <v>446</v>
      </c>
      <c r="EG571" s="13">
        <v>15166.6</v>
      </c>
      <c r="EH571" s="11"/>
      <c r="EI571" s="11"/>
      <c r="EJ571" s="13"/>
      <c r="EK571" s="11"/>
      <c r="EL571" s="12"/>
      <c r="EM571" s="12"/>
      <c r="EN571" s="11"/>
      <c r="EO571" s="13"/>
      <c r="EP571" s="11"/>
      <c r="EQ571" s="11"/>
      <c r="ER571" s="13"/>
      <c r="ES571" s="11"/>
      <c r="ET571" s="12"/>
      <c r="EU571" s="12"/>
      <c r="EV571" s="11"/>
      <c r="EW571" s="13"/>
      <c r="EX571" s="11"/>
      <c r="EY571" s="11"/>
      <c r="EZ571" s="13"/>
      <c r="FA571" s="11"/>
      <c r="FB571" s="12"/>
      <c r="FC571" s="12"/>
      <c r="FD571" s="11"/>
      <c r="FE571" s="13"/>
      <c r="FF571" s="11"/>
      <c r="FG571" s="11"/>
      <c r="FH571" s="13"/>
      <c r="FI571" s="11"/>
      <c r="FJ571" s="12"/>
      <c r="FK571" s="12"/>
      <c r="FL571" s="11"/>
      <c r="FM571" s="13"/>
      <c r="FN571" s="11"/>
      <c r="FO571" s="11"/>
      <c r="FP571" s="13"/>
      <c r="FQ571" s="11"/>
      <c r="FR571" s="12"/>
      <c r="FS571" s="12"/>
      <c r="FT571" s="11"/>
      <c r="FU571" s="13"/>
      <c r="FV571" s="11"/>
      <c r="FW571" s="11"/>
      <c r="FX571" s="13"/>
      <c r="FY571" s="11"/>
      <c r="FZ571" s="12"/>
      <c r="GA571" s="12"/>
      <c r="GB571" s="11"/>
      <c r="GC571" s="13"/>
      <c r="GD571" s="11"/>
      <c r="GE571" s="11"/>
      <c r="GF571" s="13"/>
      <c r="GG571" s="11"/>
      <c r="GH571" s="12"/>
      <c r="GI571" s="12"/>
      <c r="GJ571" s="11"/>
      <c r="GK571" s="13"/>
      <c r="GL571" s="11"/>
      <c r="GM571" s="11"/>
      <c r="GN571" s="13"/>
      <c r="GO571" s="11"/>
      <c r="GP571" s="12"/>
      <c r="GQ571" s="12"/>
      <c r="GR571" s="11"/>
      <c r="GS571" s="13"/>
      <c r="GT571" s="11"/>
      <c r="GU571" s="11"/>
      <c r="GV571" s="13"/>
      <c r="GW571" s="11"/>
      <c r="GX571" s="12"/>
      <c r="GY571" s="12"/>
      <c r="GZ571" s="11"/>
      <c r="HA571" s="13"/>
      <c r="HB571" s="11"/>
      <c r="HC571" s="11"/>
      <c r="HD571" s="13"/>
      <c r="HE571" s="11"/>
      <c r="HF571" s="12"/>
      <c r="HG571" s="12"/>
      <c r="HH571" s="11"/>
      <c r="HI571" s="13"/>
      <c r="HJ571" s="11"/>
      <c r="HK571" s="11"/>
      <c r="HL571" s="13"/>
      <c r="HM571" s="11"/>
      <c r="HN571" s="12"/>
      <c r="HO571" s="12"/>
      <c r="HP571" s="11"/>
      <c r="HQ571" s="13"/>
      <c r="HR571" s="11"/>
      <c r="HS571" s="11"/>
      <c r="HT571" s="13"/>
      <c r="HU571" s="11"/>
      <c r="HV571" s="12"/>
      <c r="HW571" s="12"/>
      <c r="HX571" s="11"/>
      <c r="HY571" s="13"/>
      <c r="HZ571" s="11"/>
      <c r="IA571" s="11"/>
      <c r="IB571" s="13"/>
      <c r="IC571" s="11"/>
      <c r="ID571" s="12"/>
      <c r="IE571" s="12"/>
      <c r="IF571" s="11"/>
      <c r="IG571" s="13"/>
      <c r="IH571" s="11"/>
      <c r="II571" s="11"/>
      <c r="IJ571" s="13"/>
      <c r="IK571" s="11"/>
      <c r="IL571" s="12"/>
      <c r="IM571" s="12"/>
      <c r="IN571" s="11"/>
      <c r="IO571" s="13"/>
      <c r="IP571" s="11"/>
      <c r="IQ571" s="11"/>
      <c r="IR571" s="13"/>
      <c r="IS571" s="11"/>
      <c r="IT571" s="12"/>
      <c r="IU571" s="12"/>
      <c r="IV571" s="11"/>
      <c r="IW571" s="13"/>
      <c r="IX571" s="11"/>
      <c r="IY571" s="11"/>
      <c r="IZ571" s="13"/>
      <c r="JA571" s="11"/>
      <c r="JB571" s="12"/>
      <c r="JC571" s="12"/>
      <c r="JD571" s="11"/>
      <c r="JE571" s="13"/>
      <c r="JF571" s="11"/>
      <c r="JG571" s="11"/>
      <c r="JH571" s="13"/>
      <c r="JI571" s="11"/>
      <c r="JJ571" s="12"/>
      <c r="JK571" s="12"/>
      <c r="JL571" s="11"/>
      <c r="JM571" s="13"/>
      <c r="JN571" s="11"/>
      <c r="JO571" s="11"/>
      <c r="JP571" s="13"/>
      <c r="JQ571" s="11"/>
      <c r="JR571" s="12"/>
      <c r="JS571" s="12"/>
      <c r="JT571" s="11"/>
      <c r="JU571" s="13"/>
      <c r="JV571" s="11"/>
      <c r="JW571" s="11"/>
      <c r="JX571" s="13"/>
      <c r="JY571" s="11"/>
      <c r="JZ571" s="12"/>
      <c r="KA571" s="12"/>
      <c r="KB571" s="11"/>
      <c r="KC571" s="13"/>
      <c r="KD571" s="11"/>
      <c r="KE571" s="11"/>
      <c r="KF571" s="13"/>
      <c r="KG571" s="11"/>
      <c r="KH571" s="12"/>
      <c r="KI571" s="12"/>
      <c r="KJ571" s="11"/>
      <c r="KK571" s="13"/>
      <c r="KL571" s="11"/>
      <c r="KM571" s="11"/>
      <c r="KN571" s="13"/>
      <c r="KO571" s="11"/>
      <c r="KP571" s="12"/>
      <c r="KQ571" s="12"/>
      <c r="KR571" s="11"/>
      <c r="KS571" s="13"/>
      <c r="KT571" s="11"/>
      <c r="KU571" s="11"/>
      <c r="KV571" s="13"/>
      <c r="KW571" s="11"/>
      <c r="KX571" s="12"/>
      <c r="KY571" s="12"/>
      <c r="KZ571" s="11"/>
      <c r="LA571" s="13"/>
      <c r="LB571" s="11"/>
      <c r="LC571" s="11"/>
      <c r="LD571" s="13"/>
      <c r="LE571" s="11"/>
      <c r="LF571" s="12"/>
      <c r="LG571" s="12"/>
      <c r="LH571" s="11"/>
      <c r="LI571" s="13"/>
      <c r="LJ571" s="11"/>
      <c r="LK571" s="11"/>
      <c r="LL571" s="13"/>
      <c r="LM571" s="11"/>
      <c r="LN571" s="12"/>
      <c r="LO571" s="12"/>
      <c r="LP571" s="11"/>
      <c r="LQ571" s="13"/>
      <c r="LR571" s="11"/>
      <c r="LS571" s="11"/>
      <c r="LT571" s="13"/>
      <c r="LU571" s="11"/>
      <c r="LV571" s="12"/>
      <c r="LW571" s="12"/>
    </row>
    <row r="572">
      <c r="A572" s="10" t="s">
        <v>289</v>
      </c>
      <c r="B572" s="10" t="s">
        <v>281</v>
      </c>
      <c r="C572" s="10" t="s">
        <v>77</v>
      </c>
      <c r="D572" s="11">
        <v>643</v>
      </c>
      <c r="E572" s="11">
        <f>=ROUNDDOWN({0},0)</f>
      </c>
      <c r="F572" s="11"/>
      <c r="G572" s="12"/>
      <c r="H572" s="11"/>
      <c r="I572" s="11">
        <f>=ROUNDDOWN({0},0)</f>
      </c>
      <c r="J572" s="11"/>
      <c r="K572" s="12"/>
      <c r="L572" s="11">
        <v>446</v>
      </c>
      <c r="M572" s="13">
        <v>15166.6</v>
      </c>
      <c r="N572" s="11"/>
      <c r="O572" s="14"/>
      <c r="P572" s="11"/>
      <c r="Q572" s="13"/>
      <c r="R572" s="11"/>
      <c r="S572" s="14"/>
      <c r="T572" s="12"/>
      <c r="U572" s="12"/>
      <c r="V572" s="12"/>
      <c r="W572" s="12"/>
      <c r="X572" s="11"/>
      <c r="Y572" s="13"/>
      <c r="Z572" s="11"/>
      <c r="AA572" s="11"/>
      <c r="AB572" s="13"/>
      <c r="AC572" s="11"/>
      <c r="AD572" s="12"/>
      <c r="AE572" s="12"/>
      <c r="AF572" s="11"/>
      <c r="AG572" s="13"/>
      <c r="AH572" s="11"/>
      <c r="AI572" s="11"/>
      <c r="AJ572" s="13"/>
      <c r="AK572" s="11"/>
      <c r="AL572" s="12"/>
      <c r="AM572" s="12"/>
      <c r="AN572" s="11"/>
      <c r="AO572" s="13"/>
      <c r="AP572" s="11"/>
      <c r="AQ572" s="11"/>
      <c r="AR572" s="13"/>
      <c r="AS572" s="11"/>
      <c r="AT572" s="12"/>
      <c r="AU572" s="12"/>
      <c r="AV572" s="11"/>
      <c r="AW572" s="13"/>
      <c r="AX572" s="11"/>
      <c r="AY572" s="11"/>
      <c r="AZ572" s="13"/>
      <c r="BA572" s="11"/>
      <c r="BB572" s="12"/>
      <c r="BC572" s="12"/>
      <c r="BD572" s="11"/>
      <c r="BE572" s="13"/>
      <c r="BF572" s="11"/>
      <c r="BG572" s="11"/>
      <c r="BH572" s="13"/>
      <c r="BI572" s="11"/>
      <c r="BJ572" s="12"/>
      <c r="BK572" s="12"/>
      <c r="BL572" s="11"/>
      <c r="BM572" s="13"/>
      <c r="BN572" s="11"/>
      <c r="BO572" s="11"/>
      <c r="BP572" s="13"/>
      <c r="BQ572" s="11"/>
      <c r="BR572" s="12"/>
      <c r="BS572" s="12"/>
      <c r="BT572" s="11"/>
      <c r="BU572" s="13"/>
      <c r="BV572" s="11"/>
      <c r="BW572" s="11"/>
      <c r="BX572" s="13"/>
      <c r="BY572" s="11"/>
      <c r="BZ572" s="12"/>
      <c r="CA572" s="12"/>
      <c r="CB572" s="11"/>
      <c r="CC572" s="13"/>
      <c r="CD572" s="11"/>
      <c r="CE572" s="11"/>
      <c r="CF572" s="13"/>
      <c r="CG572" s="11"/>
      <c r="CH572" s="12"/>
      <c r="CI572" s="12"/>
      <c r="CJ572" s="11"/>
      <c r="CK572" s="13"/>
      <c r="CL572" s="11"/>
      <c r="CM572" s="11"/>
      <c r="CN572" s="13"/>
      <c r="CO572" s="11"/>
      <c r="CP572" s="12"/>
      <c r="CQ572" s="12"/>
      <c r="CR572" s="11"/>
      <c r="CS572" s="13"/>
      <c r="CT572" s="11"/>
      <c r="CU572" s="11"/>
      <c r="CV572" s="13"/>
      <c r="CW572" s="11"/>
      <c r="CX572" s="12"/>
      <c r="CY572" s="12"/>
      <c r="CZ572" s="11"/>
      <c r="DA572" s="13"/>
      <c r="DB572" s="11"/>
      <c r="DC572" s="11"/>
      <c r="DD572" s="13"/>
      <c r="DE572" s="11"/>
      <c r="DF572" s="12"/>
      <c r="DG572" s="12"/>
      <c r="DH572" s="11"/>
      <c r="DI572" s="13"/>
      <c r="DJ572" s="11"/>
      <c r="DK572" s="11"/>
      <c r="DL572" s="13"/>
      <c r="DM572" s="11"/>
      <c r="DN572" s="12"/>
      <c r="DO572" s="12"/>
      <c r="DP572" s="11"/>
      <c r="DQ572" s="13"/>
      <c r="DR572" s="11"/>
      <c r="DS572" s="11"/>
      <c r="DT572" s="13"/>
      <c r="DU572" s="11"/>
      <c r="DV572" s="12"/>
      <c r="DW572" s="12"/>
      <c r="DX572" s="11"/>
      <c r="DY572" s="13"/>
      <c r="DZ572" s="11"/>
      <c r="EA572" s="11"/>
      <c r="EB572" s="13"/>
      <c r="EC572" s="11"/>
      <c r="ED572" s="12"/>
      <c r="EE572" s="12"/>
      <c r="EF572" s="11">
        <v>446</v>
      </c>
      <c r="EG572" s="13">
        <v>15166.6</v>
      </c>
      <c r="EH572" s="11"/>
      <c r="EI572" s="11"/>
      <c r="EJ572" s="13"/>
      <c r="EK572" s="11"/>
      <c r="EL572" s="12"/>
      <c r="EM572" s="12"/>
      <c r="EN572" s="11"/>
      <c r="EO572" s="13"/>
      <c r="EP572" s="11"/>
      <c r="EQ572" s="11"/>
      <c r="ER572" s="13"/>
      <c r="ES572" s="11"/>
      <c r="ET572" s="12"/>
      <c r="EU572" s="12"/>
      <c r="EV572" s="11"/>
      <c r="EW572" s="13"/>
      <c r="EX572" s="11"/>
      <c r="EY572" s="11"/>
      <c r="EZ572" s="13"/>
      <c r="FA572" s="11"/>
      <c r="FB572" s="12"/>
      <c r="FC572" s="12"/>
      <c r="FD572" s="11"/>
      <c r="FE572" s="13"/>
      <c r="FF572" s="11"/>
      <c r="FG572" s="11"/>
      <c r="FH572" s="13"/>
      <c r="FI572" s="11"/>
      <c r="FJ572" s="12"/>
      <c r="FK572" s="12"/>
      <c r="FL572" s="11"/>
      <c r="FM572" s="13"/>
      <c r="FN572" s="11"/>
      <c r="FO572" s="11"/>
      <c r="FP572" s="13"/>
      <c r="FQ572" s="11"/>
      <c r="FR572" s="12"/>
      <c r="FS572" s="12"/>
      <c r="FT572" s="11"/>
      <c r="FU572" s="13"/>
      <c r="FV572" s="11"/>
      <c r="FW572" s="11"/>
      <c r="FX572" s="13"/>
      <c r="FY572" s="11"/>
      <c r="FZ572" s="12"/>
      <c r="GA572" s="12"/>
      <c r="GB572" s="11"/>
      <c r="GC572" s="13"/>
      <c r="GD572" s="11"/>
      <c r="GE572" s="11"/>
      <c r="GF572" s="13"/>
      <c r="GG572" s="11"/>
      <c r="GH572" s="12"/>
      <c r="GI572" s="12"/>
      <c r="GJ572" s="11"/>
      <c r="GK572" s="13"/>
      <c r="GL572" s="11"/>
      <c r="GM572" s="11"/>
      <c r="GN572" s="13"/>
      <c r="GO572" s="11"/>
      <c r="GP572" s="12"/>
      <c r="GQ572" s="12"/>
      <c r="GR572" s="11"/>
      <c r="GS572" s="13"/>
      <c r="GT572" s="11"/>
      <c r="GU572" s="11"/>
      <c r="GV572" s="13"/>
      <c r="GW572" s="11"/>
      <c r="GX572" s="12"/>
      <c r="GY572" s="12"/>
      <c r="GZ572" s="11"/>
      <c r="HA572" s="13"/>
      <c r="HB572" s="11"/>
      <c r="HC572" s="11"/>
      <c r="HD572" s="13"/>
      <c r="HE572" s="11"/>
      <c r="HF572" s="12"/>
      <c r="HG572" s="12"/>
      <c r="HH572" s="11"/>
      <c r="HI572" s="13"/>
      <c r="HJ572" s="11"/>
      <c r="HK572" s="11"/>
      <c r="HL572" s="13"/>
      <c r="HM572" s="11"/>
      <c r="HN572" s="12"/>
      <c r="HO572" s="12"/>
      <c r="HP572" s="11"/>
      <c r="HQ572" s="13"/>
      <c r="HR572" s="11"/>
      <c r="HS572" s="11"/>
      <c r="HT572" s="13"/>
      <c r="HU572" s="11"/>
      <c r="HV572" s="12"/>
      <c r="HW572" s="12"/>
      <c r="HX572" s="11"/>
      <c r="HY572" s="13"/>
      <c r="HZ572" s="11"/>
      <c r="IA572" s="11"/>
      <c r="IB572" s="13"/>
      <c r="IC572" s="11"/>
      <c r="ID572" s="12"/>
      <c r="IE572" s="12"/>
      <c r="IF572" s="11"/>
      <c r="IG572" s="13"/>
      <c r="IH572" s="11"/>
      <c r="II572" s="11"/>
      <c r="IJ572" s="13"/>
      <c r="IK572" s="11"/>
      <c r="IL572" s="12"/>
      <c r="IM572" s="12"/>
      <c r="IN572" s="11"/>
      <c r="IO572" s="13"/>
      <c r="IP572" s="11"/>
      <c r="IQ572" s="11"/>
      <c r="IR572" s="13"/>
      <c r="IS572" s="11"/>
      <c r="IT572" s="12"/>
      <c r="IU572" s="12"/>
      <c r="IV572" s="11"/>
      <c r="IW572" s="13"/>
      <c r="IX572" s="11"/>
      <c r="IY572" s="11"/>
      <c r="IZ572" s="13"/>
      <c r="JA572" s="11"/>
      <c r="JB572" s="12"/>
      <c r="JC572" s="12"/>
      <c r="JD572" s="11"/>
      <c r="JE572" s="13"/>
      <c r="JF572" s="11"/>
      <c r="JG572" s="11"/>
      <c r="JH572" s="13"/>
      <c r="JI572" s="11"/>
      <c r="JJ572" s="12"/>
      <c r="JK572" s="12"/>
      <c r="JL572" s="11"/>
      <c r="JM572" s="13"/>
      <c r="JN572" s="11"/>
      <c r="JO572" s="11"/>
      <c r="JP572" s="13"/>
      <c r="JQ572" s="11"/>
      <c r="JR572" s="12"/>
      <c r="JS572" s="12"/>
      <c r="JT572" s="11"/>
      <c r="JU572" s="13"/>
      <c r="JV572" s="11"/>
      <c r="JW572" s="11"/>
      <c r="JX572" s="13"/>
      <c r="JY572" s="11"/>
      <c r="JZ572" s="12"/>
      <c r="KA572" s="12"/>
      <c r="KB572" s="11"/>
      <c r="KC572" s="13"/>
      <c r="KD572" s="11"/>
      <c r="KE572" s="11"/>
      <c r="KF572" s="13"/>
      <c r="KG572" s="11"/>
      <c r="KH572" s="12"/>
      <c r="KI572" s="12"/>
      <c r="KJ572" s="11"/>
      <c r="KK572" s="13"/>
      <c r="KL572" s="11"/>
      <c r="KM572" s="11"/>
      <c r="KN572" s="13"/>
      <c r="KO572" s="11"/>
      <c r="KP572" s="12"/>
      <c r="KQ572" s="12"/>
      <c r="KR572" s="11"/>
      <c r="KS572" s="13"/>
      <c r="KT572" s="11"/>
      <c r="KU572" s="11"/>
      <c r="KV572" s="13"/>
      <c r="KW572" s="11"/>
      <c r="KX572" s="12"/>
      <c r="KY572" s="12"/>
      <c r="KZ572" s="11"/>
      <c r="LA572" s="13"/>
      <c r="LB572" s="11"/>
      <c r="LC572" s="11"/>
      <c r="LD572" s="13"/>
      <c r="LE572" s="11"/>
      <c r="LF572" s="12"/>
      <c r="LG572" s="12"/>
      <c r="LH572" s="11"/>
      <c r="LI572" s="13"/>
      <c r="LJ572" s="11"/>
      <c r="LK572" s="11"/>
      <c r="LL572" s="13"/>
      <c r="LM572" s="11"/>
      <c r="LN572" s="12"/>
      <c r="LO572" s="12"/>
      <c r="LP572" s="11"/>
      <c r="LQ572" s="13"/>
      <c r="LR572" s="11"/>
      <c r="LS572" s="11"/>
      <c r="LT572" s="13"/>
      <c r="LU572" s="11"/>
      <c r="LV572" s="12"/>
      <c r="LW572" s="12"/>
    </row>
    <row r="573">
      <c r="A573" s="10" t="s">
        <v>289</v>
      </c>
      <c r="B573" s="10" t="s">
        <v>89</v>
      </c>
      <c r="C573" s="10" t="s">
        <v>101</v>
      </c>
      <c r="D573" s="11">
        <v>1587</v>
      </c>
      <c r="E573" s="11">
        <f>=ROUNDDOWN(140.442477876106,0)</f>
      </c>
      <c r="F573" s="11"/>
      <c r="G573" s="12"/>
      <c r="H573" s="11"/>
      <c r="I573" s="11">
        <f>=ROUNDDOWN({0},0)</f>
      </c>
      <c r="J573" s="11"/>
      <c r="K573" s="12"/>
      <c r="L573" s="11">
        <v>21</v>
      </c>
      <c r="M573" s="13">
        <v>598.59</v>
      </c>
      <c r="N573" s="11">
        <v>7</v>
      </c>
      <c r="O573" s="14">
        <v>85.51</v>
      </c>
      <c r="P573" s="11"/>
      <c r="Q573" s="13"/>
      <c r="R573" s="11"/>
      <c r="S573" s="14"/>
      <c r="T573" s="12"/>
      <c r="U573" s="12"/>
      <c r="V573" s="12"/>
      <c r="W573" s="12"/>
      <c r="X573" s="11">
        <v>12</v>
      </c>
      <c r="Y573" s="13">
        <v>351.73</v>
      </c>
      <c r="Z573" s="11">
        <v>5</v>
      </c>
      <c r="AA573" s="11"/>
      <c r="AB573" s="13"/>
      <c r="AC573" s="11"/>
      <c r="AD573" s="12"/>
      <c r="AE573" s="12"/>
      <c r="AF573" s="11"/>
      <c r="AG573" s="13"/>
      <c r="AH573" s="11"/>
      <c r="AI573" s="11"/>
      <c r="AJ573" s="13"/>
      <c r="AK573" s="11"/>
      <c r="AL573" s="12"/>
      <c r="AM573" s="12"/>
      <c r="AN573" s="11"/>
      <c r="AO573" s="13"/>
      <c r="AP573" s="11"/>
      <c r="AQ573" s="11"/>
      <c r="AR573" s="13"/>
      <c r="AS573" s="11"/>
      <c r="AT573" s="12"/>
      <c r="AU573" s="12"/>
      <c r="AV573" s="11"/>
      <c r="AW573" s="13"/>
      <c r="AX573" s="11"/>
      <c r="AY573" s="11"/>
      <c r="AZ573" s="13"/>
      <c r="BA573" s="11"/>
      <c r="BB573" s="12"/>
      <c r="BC573" s="12"/>
      <c r="BD573" s="11"/>
      <c r="BE573" s="13"/>
      <c r="BF573" s="11"/>
      <c r="BG573" s="11"/>
      <c r="BH573" s="13"/>
      <c r="BI573" s="11"/>
      <c r="BJ573" s="12"/>
      <c r="BK573" s="12"/>
      <c r="BL573" s="11">
        <v>5</v>
      </c>
      <c r="BM573" s="13">
        <v>176.4</v>
      </c>
      <c r="BN573" s="11">
        <v>5</v>
      </c>
      <c r="BO573" s="11"/>
      <c r="BP573" s="13"/>
      <c r="BQ573" s="11"/>
      <c r="BR573" s="12"/>
      <c r="BS573" s="12"/>
      <c r="BT573" s="11"/>
      <c r="BU573" s="13"/>
      <c r="BV573" s="11"/>
      <c r="BW573" s="11"/>
      <c r="BX573" s="13"/>
      <c r="BY573" s="11"/>
      <c r="BZ573" s="12"/>
      <c r="CA573" s="12"/>
      <c r="CB573" s="11"/>
      <c r="CC573" s="13"/>
      <c r="CD573" s="11"/>
      <c r="CE573" s="11"/>
      <c r="CF573" s="13"/>
      <c r="CG573" s="11"/>
      <c r="CH573" s="12"/>
      <c r="CI573" s="12"/>
      <c r="CJ573" s="11">
        <v>1</v>
      </c>
      <c r="CK573" s="13">
        <v>26.99</v>
      </c>
      <c r="CL573" s="11">
        <v>6</v>
      </c>
      <c r="CM573" s="11"/>
      <c r="CN573" s="13"/>
      <c r="CO573" s="11"/>
      <c r="CP573" s="12"/>
      <c r="CQ573" s="12"/>
      <c r="CR573" s="11"/>
      <c r="CS573" s="13"/>
      <c r="CT573" s="11"/>
      <c r="CU573" s="11"/>
      <c r="CV573" s="13"/>
      <c r="CW573" s="11"/>
      <c r="CX573" s="12"/>
      <c r="CY573" s="12"/>
      <c r="CZ573" s="11"/>
      <c r="DA573" s="13"/>
      <c r="DB573" s="11"/>
      <c r="DC573" s="11"/>
      <c r="DD573" s="13"/>
      <c r="DE573" s="11"/>
      <c r="DF573" s="12"/>
      <c r="DG573" s="12"/>
      <c r="DH573" s="11"/>
      <c r="DI573" s="13"/>
      <c r="DJ573" s="11"/>
      <c r="DK573" s="11"/>
      <c r="DL573" s="13"/>
      <c r="DM573" s="11"/>
      <c r="DN573" s="12"/>
      <c r="DO573" s="12"/>
      <c r="DP573" s="11"/>
      <c r="DQ573" s="13"/>
      <c r="DR573" s="11"/>
      <c r="DS573" s="11"/>
      <c r="DT573" s="13"/>
      <c r="DU573" s="11"/>
      <c r="DV573" s="12"/>
      <c r="DW573" s="12"/>
      <c r="DX573" s="11"/>
      <c r="DY573" s="13"/>
      <c r="DZ573" s="11"/>
      <c r="EA573" s="11"/>
      <c r="EB573" s="13"/>
      <c r="EC573" s="11"/>
      <c r="ED573" s="12"/>
      <c r="EE573" s="12"/>
      <c r="EF573" s="11"/>
      <c r="EG573" s="13"/>
      <c r="EH573" s="11"/>
      <c r="EI573" s="11"/>
      <c r="EJ573" s="13"/>
      <c r="EK573" s="11"/>
      <c r="EL573" s="12"/>
      <c r="EM573" s="12"/>
      <c r="EN573" s="11"/>
      <c r="EO573" s="13"/>
      <c r="EP573" s="11">
        <v>7</v>
      </c>
      <c r="EQ573" s="11"/>
      <c r="ER573" s="13"/>
      <c r="ES573" s="11"/>
      <c r="ET573" s="12"/>
      <c r="EU573" s="12"/>
      <c r="EV573" s="11">
        <v>3</v>
      </c>
      <c r="EW573" s="13">
        <v>43.47</v>
      </c>
      <c r="EX573" s="11">
        <v>1</v>
      </c>
      <c r="EY573" s="11"/>
      <c r="EZ573" s="13"/>
      <c r="FA573" s="11"/>
      <c r="FB573" s="12"/>
      <c r="FC573" s="12"/>
      <c r="FD573" s="11"/>
      <c r="FE573" s="13"/>
      <c r="FF573" s="11"/>
      <c r="FG573" s="11"/>
      <c r="FH573" s="13"/>
      <c r="FI573" s="11"/>
      <c r="FJ573" s="12"/>
      <c r="FK573" s="12"/>
      <c r="FL573" s="11"/>
      <c r="FM573" s="13"/>
      <c r="FN573" s="11"/>
      <c r="FO573" s="11"/>
      <c r="FP573" s="13"/>
      <c r="FQ573" s="11"/>
      <c r="FR573" s="12"/>
      <c r="FS573" s="12"/>
      <c r="FT573" s="11"/>
      <c r="FU573" s="13"/>
      <c r="FV573" s="11"/>
      <c r="FW573" s="11"/>
      <c r="FX573" s="13"/>
      <c r="FY573" s="11"/>
      <c r="FZ573" s="12"/>
      <c r="GA573" s="12"/>
      <c r="GB573" s="11"/>
      <c r="GC573" s="13"/>
      <c r="GD573" s="11"/>
      <c r="GE573" s="11"/>
      <c r="GF573" s="13"/>
      <c r="GG573" s="11"/>
      <c r="GH573" s="12"/>
      <c r="GI573" s="12"/>
      <c r="GJ573" s="11"/>
      <c r="GK573" s="13"/>
      <c r="GL573" s="11"/>
      <c r="GM573" s="11"/>
      <c r="GN573" s="13"/>
      <c r="GO573" s="11"/>
      <c r="GP573" s="12"/>
      <c r="GQ573" s="12"/>
      <c r="GR573" s="11"/>
      <c r="GS573" s="13"/>
      <c r="GT573" s="11"/>
      <c r="GU573" s="11"/>
      <c r="GV573" s="13"/>
      <c r="GW573" s="11"/>
      <c r="GX573" s="12"/>
      <c r="GY573" s="12"/>
      <c r="GZ573" s="11"/>
      <c r="HA573" s="13"/>
      <c r="HB573" s="11"/>
      <c r="HC573" s="11"/>
      <c r="HD573" s="13"/>
      <c r="HE573" s="11"/>
      <c r="HF573" s="12"/>
      <c r="HG573" s="12"/>
      <c r="HH573" s="11"/>
      <c r="HI573" s="13"/>
      <c r="HJ573" s="11"/>
      <c r="HK573" s="11"/>
      <c r="HL573" s="13"/>
      <c r="HM573" s="11"/>
      <c r="HN573" s="12"/>
      <c r="HO573" s="12"/>
      <c r="HP573" s="11"/>
      <c r="HQ573" s="13"/>
      <c r="HR573" s="11"/>
      <c r="HS573" s="11"/>
      <c r="HT573" s="13"/>
      <c r="HU573" s="11"/>
      <c r="HV573" s="12"/>
      <c r="HW573" s="12"/>
      <c r="HX573" s="11"/>
      <c r="HY573" s="13"/>
      <c r="HZ573" s="11"/>
      <c r="IA573" s="11"/>
      <c r="IB573" s="13"/>
      <c r="IC573" s="11"/>
      <c r="ID573" s="12"/>
      <c r="IE573" s="12"/>
      <c r="IF573" s="11"/>
      <c r="IG573" s="13"/>
      <c r="IH573" s="11"/>
      <c r="II573" s="11"/>
      <c r="IJ573" s="13"/>
      <c r="IK573" s="11"/>
      <c r="IL573" s="12"/>
      <c r="IM573" s="12"/>
      <c r="IN573" s="11"/>
      <c r="IO573" s="13"/>
      <c r="IP573" s="11"/>
      <c r="IQ573" s="11"/>
      <c r="IR573" s="13"/>
      <c r="IS573" s="11"/>
      <c r="IT573" s="12"/>
      <c r="IU573" s="12"/>
      <c r="IV573" s="11"/>
      <c r="IW573" s="13"/>
      <c r="IX573" s="11"/>
      <c r="IY573" s="11"/>
      <c r="IZ573" s="13"/>
      <c r="JA573" s="11"/>
      <c r="JB573" s="12"/>
      <c r="JC573" s="12"/>
      <c r="JD573" s="11"/>
      <c r="JE573" s="13"/>
      <c r="JF573" s="11"/>
      <c r="JG573" s="11"/>
      <c r="JH573" s="13"/>
      <c r="JI573" s="11"/>
      <c r="JJ573" s="12"/>
      <c r="JK573" s="12"/>
      <c r="JL573" s="11"/>
      <c r="JM573" s="13"/>
      <c r="JN573" s="11"/>
      <c r="JO573" s="11"/>
      <c r="JP573" s="13"/>
      <c r="JQ573" s="11"/>
      <c r="JR573" s="12"/>
      <c r="JS573" s="12"/>
      <c r="JT573" s="11"/>
      <c r="JU573" s="13"/>
      <c r="JV573" s="11"/>
      <c r="JW573" s="11"/>
      <c r="JX573" s="13"/>
      <c r="JY573" s="11"/>
      <c r="JZ573" s="12"/>
      <c r="KA573" s="12"/>
      <c r="KB573" s="11"/>
      <c r="KC573" s="13"/>
      <c r="KD573" s="11"/>
      <c r="KE573" s="11"/>
      <c r="KF573" s="13"/>
      <c r="KG573" s="11"/>
      <c r="KH573" s="12"/>
      <c r="KI573" s="12"/>
      <c r="KJ573" s="11"/>
      <c r="KK573" s="13"/>
      <c r="KL573" s="11"/>
      <c r="KM573" s="11"/>
      <c r="KN573" s="13"/>
      <c r="KO573" s="11"/>
      <c r="KP573" s="12"/>
      <c r="KQ573" s="12"/>
      <c r="KR573" s="11"/>
      <c r="KS573" s="13"/>
      <c r="KT573" s="11"/>
      <c r="KU573" s="11"/>
      <c r="KV573" s="13"/>
      <c r="KW573" s="11"/>
      <c r="KX573" s="12"/>
      <c r="KY573" s="12"/>
      <c r="KZ573" s="11"/>
      <c r="LA573" s="13"/>
      <c r="LB573" s="11"/>
      <c r="LC573" s="11"/>
      <c r="LD573" s="13"/>
      <c r="LE573" s="11"/>
      <c r="LF573" s="12"/>
      <c r="LG573" s="12"/>
      <c r="LH573" s="11"/>
      <c r="LI573" s="13"/>
      <c r="LJ573" s="11"/>
      <c r="LK573" s="11"/>
      <c r="LL573" s="13"/>
      <c r="LM573" s="11"/>
      <c r="LN573" s="12"/>
      <c r="LO573" s="12"/>
      <c r="LP573" s="11"/>
      <c r="LQ573" s="13"/>
      <c r="LR573" s="11"/>
      <c r="LS573" s="11"/>
      <c r="LT573" s="13"/>
      <c r="LU573" s="11"/>
      <c r="LV573" s="12"/>
      <c r="LW573" s="12"/>
    </row>
    <row r="574">
      <c r="A574" s="10" t="s">
        <v>289</v>
      </c>
      <c r="B574" s="10" t="s">
        <v>90</v>
      </c>
      <c r="C574" s="10" t="s">
        <v>77</v>
      </c>
      <c r="D574" s="11">
        <v>1587</v>
      </c>
      <c r="E574" s="11">
        <f>=ROUNDDOWN({0},0)</f>
      </c>
      <c r="F574" s="11"/>
      <c r="G574" s="12"/>
      <c r="H574" s="11"/>
      <c r="I574" s="11">
        <f>=ROUNDDOWN({0},0)</f>
      </c>
      <c r="J574" s="11"/>
      <c r="K574" s="12"/>
      <c r="L574" s="11">
        <v>21</v>
      </c>
      <c r="M574" s="13">
        <v>598.59</v>
      </c>
      <c r="N574" s="11">
        <v>7</v>
      </c>
      <c r="O574" s="14">
        <v>85.51</v>
      </c>
      <c r="P574" s="11"/>
      <c r="Q574" s="13"/>
      <c r="R574" s="11"/>
      <c r="S574" s="14"/>
      <c r="T574" s="12"/>
      <c r="U574" s="12"/>
      <c r="V574" s="12"/>
      <c r="W574" s="12"/>
      <c r="X574" s="11">
        <v>12</v>
      </c>
      <c r="Y574" s="13">
        <v>351.73</v>
      </c>
      <c r="Z574" s="11">
        <v>5</v>
      </c>
      <c r="AA574" s="11"/>
      <c r="AB574" s="13"/>
      <c r="AC574" s="11"/>
      <c r="AD574" s="12"/>
      <c r="AE574" s="12"/>
      <c r="AF574" s="11"/>
      <c r="AG574" s="13"/>
      <c r="AH574" s="11"/>
      <c r="AI574" s="11"/>
      <c r="AJ574" s="13"/>
      <c r="AK574" s="11"/>
      <c r="AL574" s="12"/>
      <c r="AM574" s="12"/>
      <c r="AN574" s="11"/>
      <c r="AO574" s="13"/>
      <c r="AP574" s="11"/>
      <c r="AQ574" s="11"/>
      <c r="AR574" s="13"/>
      <c r="AS574" s="11"/>
      <c r="AT574" s="12"/>
      <c r="AU574" s="12"/>
      <c r="AV574" s="11"/>
      <c r="AW574" s="13"/>
      <c r="AX574" s="11"/>
      <c r="AY574" s="11"/>
      <c r="AZ574" s="13"/>
      <c r="BA574" s="11"/>
      <c r="BB574" s="12"/>
      <c r="BC574" s="12"/>
      <c r="BD574" s="11"/>
      <c r="BE574" s="13"/>
      <c r="BF574" s="11"/>
      <c r="BG574" s="11"/>
      <c r="BH574" s="13"/>
      <c r="BI574" s="11"/>
      <c r="BJ574" s="12"/>
      <c r="BK574" s="12"/>
      <c r="BL574" s="11">
        <v>5</v>
      </c>
      <c r="BM574" s="13">
        <v>176.4</v>
      </c>
      <c r="BN574" s="11">
        <v>5</v>
      </c>
      <c r="BO574" s="11"/>
      <c r="BP574" s="13"/>
      <c r="BQ574" s="11"/>
      <c r="BR574" s="12"/>
      <c r="BS574" s="12"/>
      <c r="BT574" s="11"/>
      <c r="BU574" s="13"/>
      <c r="BV574" s="11"/>
      <c r="BW574" s="11"/>
      <c r="BX574" s="13"/>
      <c r="BY574" s="11"/>
      <c r="BZ574" s="12"/>
      <c r="CA574" s="12"/>
      <c r="CB574" s="11"/>
      <c r="CC574" s="13"/>
      <c r="CD574" s="11"/>
      <c r="CE574" s="11"/>
      <c r="CF574" s="13"/>
      <c r="CG574" s="11"/>
      <c r="CH574" s="12"/>
      <c r="CI574" s="12"/>
      <c r="CJ574" s="11">
        <v>1</v>
      </c>
      <c r="CK574" s="13">
        <v>26.99</v>
      </c>
      <c r="CL574" s="11">
        <v>6</v>
      </c>
      <c r="CM574" s="11"/>
      <c r="CN574" s="13"/>
      <c r="CO574" s="11"/>
      <c r="CP574" s="12"/>
      <c r="CQ574" s="12"/>
      <c r="CR574" s="11"/>
      <c r="CS574" s="13"/>
      <c r="CT574" s="11"/>
      <c r="CU574" s="11"/>
      <c r="CV574" s="13"/>
      <c r="CW574" s="11"/>
      <c r="CX574" s="12"/>
      <c r="CY574" s="12"/>
      <c r="CZ574" s="11"/>
      <c r="DA574" s="13"/>
      <c r="DB574" s="11"/>
      <c r="DC574" s="11"/>
      <c r="DD574" s="13"/>
      <c r="DE574" s="11"/>
      <c r="DF574" s="12"/>
      <c r="DG574" s="12"/>
      <c r="DH574" s="11"/>
      <c r="DI574" s="13"/>
      <c r="DJ574" s="11"/>
      <c r="DK574" s="11"/>
      <c r="DL574" s="13"/>
      <c r="DM574" s="11"/>
      <c r="DN574" s="12"/>
      <c r="DO574" s="12"/>
      <c r="DP574" s="11"/>
      <c r="DQ574" s="13"/>
      <c r="DR574" s="11"/>
      <c r="DS574" s="11"/>
      <c r="DT574" s="13"/>
      <c r="DU574" s="11"/>
      <c r="DV574" s="12"/>
      <c r="DW574" s="12"/>
      <c r="DX574" s="11"/>
      <c r="DY574" s="13"/>
      <c r="DZ574" s="11"/>
      <c r="EA574" s="11"/>
      <c r="EB574" s="13"/>
      <c r="EC574" s="11"/>
      <c r="ED574" s="12"/>
      <c r="EE574" s="12"/>
      <c r="EF574" s="11"/>
      <c r="EG574" s="13"/>
      <c r="EH574" s="11"/>
      <c r="EI574" s="11"/>
      <c r="EJ574" s="13"/>
      <c r="EK574" s="11"/>
      <c r="EL574" s="12"/>
      <c r="EM574" s="12"/>
      <c r="EN574" s="11"/>
      <c r="EO574" s="13"/>
      <c r="EP574" s="11">
        <v>7</v>
      </c>
      <c r="EQ574" s="11"/>
      <c r="ER574" s="13"/>
      <c r="ES574" s="11"/>
      <c r="ET574" s="12"/>
      <c r="EU574" s="12"/>
      <c r="EV574" s="11">
        <v>3</v>
      </c>
      <c r="EW574" s="13">
        <v>43.47</v>
      </c>
      <c r="EX574" s="11">
        <v>1</v>
      </c>
      <c r="EY574" s="11"/>
      <c r="EZ574" s="13"/>
      <c r="FA574" s="11"/>
      <c r="FB574" s="12"/>
      <c r="FC574" s="12"/>
      <c r="FD574" s="11"/>
      <c r="FE574" s="13"/>
      <c r="FF574" s="11"/>
      <c r="FG574" s="11"/>
      <c r="FH574" s="13"/>
      <c r="FI574" s="11"/>
      <c r="FJ574" s="12"/>
      <c r="FK574" s="12"/>
      <c r="FL574" s="11"/>
      <c r="FM574" s="13"/>
      <c r="FN574" s="11"/>
      <c r="FO574" s="11"/>
      <c r="FP574" s="13"/>
      <c r="FQ574" s="11"/>
      <c r="FR574" s="12"/>
      <c r="FS574" s="12"/>
      <c r="FT574" s="11"/>
      <c r="FU574" s="13"/>
      <c r="FV574" s="11"/>
      <c r="FW574" s="11"/>
      <c r="FX574" s="13"/>
      <c r="FY574" s="11"/>
      <c r="FZ574" s="12"/>
      <c r="GA574" s="12"/>
      <c r="GB574" s="11"/>
      <c r="GC574" s="13"/>
      <c r="GD574" s="11"/>
      <c r="GE574" s="11"/>
      <c r="GF574" s="13"/>
      <c r="GG574" s="11"/>
      <c r="GH574" s="12"/>
      <c r="GI574" s="12"/>
      <c r="GJ574" s="11"/>
      <c r="GK574" s="13"/>
      <c r="GL574" s="11"/>
      <c r="GM574" s="11"/>
      <c r="GN574" s="13"/>
      <c r="GO574" s="11"/>
      <c r="GP574" s="12"/>
      <c r="GQ574" s="12"/>
      <c r="GR574" s="11"/>
      <c r="GS574" s="13"/>
      <c r="GT574" s="11"/>
      <c r="GU574" s="11"/>
      <c r="GV574" s="13"/>
      <c r="GW574" s="11"/>
      <c r="GX574" s="12"/>
      <c r="GY574" s="12"/>
      <c r="GZ574" s="11"/>
      <c r="HA574" s="13"/>
      <c r="HB574" s="11"/>
      <c r="HC574" s="11"/>
      <c r="HD574" s="13"/>
      <c r="HE574" s="11"/>
      <c r="HF574" s="12"/>
      <c r="HG574" s="12"/>
      <c r="HH574" s="11"/>
      <c r="HI574" s="13"/>
      <c r="HJ574" s="11"/>
      <c r="HK574" s="11"/>
      <c r="HL574" s="13"/>
      <c r="HM574" s="11"/>
      <c r="HN574" s="12"/>
      <c r="HO574" s="12"/>
      <c r="HP574" s="11"/>
      <c r="HQ574" s="13"/>
      <c r="HR574" s="11"/>
      <c r="HS574" s="11"/>
      <c r="HT574" s="13"/>
      <c r="HU574" s="11"/>
      <c r="HV574" s="12"/>
      <c r="HW574" s="12"/>
      <c r="HX574" s="11"/>
      <c r="HY574" s="13"/>
      <c r="HZ574" s="11"/>
      <c r="IA574" s="11"/>
      <c r="IB574" s="13"/>
      <c r="IC574" s="11"/>
      <c r="ID574" s="12"/>
      <c r="IE574" s="12"/>
      <c r="IF574" s="11"/>
      <c r="IG574" s="13"/>
      <c r="IH574" s="11"/>
      <c r="II574" s="11"/>
      <c r="IJ574" s="13"/>
      <c r="IK574" s="11"/>
      <c r="IL574" s="12"/>
      <c r="IM574" s="12"/>
      <c r="IN574" s="11"/>
      <c r="IO574" s="13"/>
      <c r="IP574" s="11"/>
      <c r="IQ574" s="11"/>
      <c r="IR574" s="13"/>
      <c r="IS574" s="11"/>
      <c r="IT574" s="12"/>
      <c r="IU574" s="12"/>
      <c r="IV574" s="11"/>
      <c r="IW574" s="13"/>
      <c r="IX574" s="11"/>
      <c r="IY574" s="11"/>
      <c r="IZ574" s="13"/>
      <c r="JA574" s="11"/>
      <c r="JB574" s="12"/>
      <c r="JC574" s="12"/>
      <c r="JD574" s="11"/>
      <c r="JE574" s="13"/>
      <c r="JF574" s="11"/>
      <c r="JG574" s="11"/>
      <c r="JH574" s="13"/>
      <c r="JI574" s="11"/>
      <c r="JJ574" s="12"/>
      <c r="JK574" s="12"/>
      <c r="JL574" s="11"/>
      <c r="JM574" s="13"/>
      <c r="JN574" s="11"/>
      <c r="JO574" s="11"/>
      <c r="JP574" s="13"/>
      <c r="JQ574" s="11"/>
      <c r="JR574" s="12"/>
      <c r="JS574" s="12"/>
      <c r="JT574" s="11"/>
      <c r="JU574" s="13"/>
      <c r="JV574" s="11"/>
      <c r="JW574" s="11"/>
      <c r="JX574" s="13"/>
      <c r="JY574" s="11"/>
      <c r="JZ574" s="12"/>
      <c r="KA574" s="12"/>
      <c r="KB574" s="11"/>
      <c r="KC574" s="13"/>
      <c r="KD574" s="11"/>
      <c r="KE574" s="11"/>
      <c r="KF574" s="13"/>
      <c r="KG574" s="11"/>
      <c r="KH574" s="12"/>
      <c r="KI574" s="12"/>
      <c r="KJ574" s="11"/>
      <c r="KK574" s="13"/>
      <c r="KL574" s="11"/>
      <c r="KM574" s="11"/>
      <c r="KN574" s="13"/>
      <c r="KO574" s="11"/>
      <c r="KP574" s="12"/>
      <c r="KQ574" s="12"/>
      <c r="KR574" s="11"/>
      <c r="KS574" s="13"/>
      <c r="KT574" s="11"/>
      <c r="KU574" s="11"/>
      <c r="KV574" s="13"/>
      <c r="KW574" s="11"/>
      <c r="KX574" s="12"/>
      <c r="KY574" s="12"/>
      <c r="KZ574" s="11"/>
      <c r="LA574" s="13"/>
      <c r="LB574" s="11"/>
      <c r="LC574" s="11"/>
      <c r="LD574" s="13"/>
      <c r="LE574" s="11"/>
      <c r="LF574" s="12"/>
      <c r="LG574" s="12"/>
      <c r="LH574" s="11"/>
      <c r="LI574" s="13"/>
      <c r="LJ574" s="11"/>
      <c r="LK574" s="11"/>
      <c r="LL574" s="13"/>
      <c r="LM574" s="11"/>
      <c r="LN574" s="12"/>
      <c r="LO574" s="12"/>
      <c r="LP574" s="11"/>
      <c r="LQ574" s="13"/>
      <c r="LR574" s="11"/>
      <c r="LS574" s="11"/>
      <c r="LT574" s="13"/>
      <c r="LU574" s="11"/>
      <c r="LV574" s="12"/>
      <c r="LW574" s="12"/>
    </row>
    <row r="575">
      <c r="A575" s="10" t="s">
        <v>289</v>
      </c>
      <c r="B575" s="10" t="s">
        <v>91</v>
      </c>
      <c r="C575" s="10" t="s">
        <v>101</v>
      </c>
      <c r="D575" s="11">
        <v>251</v>
      </c>
      <c r="E575" s="11">
        <f>=ROUNDDOWN(83.6666666666667,0)</f>
      </c>
      <c r="F575" s="11"/>
      <c r="G575" s="12"/>
      <c r="H575" s="11"/>
      <c r="I575" s="11">
        <f>=ROUNDDOWN({0},0)</f>
      </c>
      <c r="J575" s="11"/>
      <c r="K575" s="12"/>
      <c r="L575" s="11">
        <v>49</v>
      </c>
      <c r="M575" s="13">
        <v>915.26</v>
      </c>
      <c r="N575" s="11">
        <v>2</v>
      </c>
      <c r="O575" s="14">
        <v>457.63</v>
      </c>
      <c r="P575" s="11"/>
      <c r="Q575" s="13"/>
      <c r="R575" s="11"/>
      <c r="S575" s="14"/>
      <c r="T575" s="12"/>
      <c r="U575" s="12"/>
      <c r="V575" s="12"/>
      <c r="W575" s="12"/>
      <c r="X575" s="11"/>
      <c r="Y575" s="13"/>
      <c r="Z575" s="11"/>
      <c r="AA575" s="11"/>
      <c r="AB575" s="13"/>
      <c r="AC575" s="11"/>
      <c r="AD575" s="12"/>
      <c r="AE575" s="12"/>
      <c r="AF575" s="11">
        <v>6</v>
      </c>
      <c r="AG575" s="13">
        <v>81.52</v>
      </c>
      <c r="AH575" s="11">
        <v>2</v>
      </c>
      <c r="AI575" s="11"/>
      <c r="AJ575" s="13"/>
      <c r="AK575" s="11"/>
      <c r="AL575" s="12"/>
      <c r="AM575" s="12"/>
      <c r="AN575" s="11"/>
      <c r="AO575" s="13"/>
      <c r="AP575" s="11"/>
      <c r="AQ575" s="11"/>
      <c r="AR575" s="13"/>
      <c r="AS575" s="11"/>
      <c r="AT575" s="12"/>
      <c r="AU575" s="12"/>
      <c r="AV575" s="11"/>
      <c r="AW575" s="13"/>
      <c r="AX575" s="11"/>
      <c r="AY575" s="11"/>
      <c r="AZ575" s="13"/>
      <c r="BA575" s="11"/>
      <c r="BB575" s="12"/>
      <c r="BC575" s="12"/>
      <c r="BD575" s="11"/>
      <c r="BE575" s="13"/>
      <c r="BF575" s="11"/>
      <c r="BG575" s="11"/>
      <c r="BH575" s="13"/>
      <c r="BI575" s="11"/>
      <c r="BJ575" s="12"/>
      <c r="BK575" s="12"/>
      <c r="BL575" s="11">
        <v>2</v>
      </c>
      <c r="BM575" s="13">
        <v>40.04</v>
      </c>
      <c r="BN575" s="11">
        <v>2</v>
      </c>
      <c r="BO575" s="11"/>
      <c r="BP575" s="13"/>
      <c r="BQ575" s="11"/>
      <c r="BR575" s="12"/>
      <c r="BS575" s="12"/>
      <c r="BT575" s="11">
        <v>12</v>
      </c>
      <c r="BU575" s="13">
        <v>214.44</v>
      </c>
      <c r="BV575" s="11">
        <v>2</v>
      </c>
      <c r="BW575" s="11"/>
      <c r="BX575" s="13"/>
      <c r="BY575" s="11"/>
      <c r="BZ575" s="12"/>
      <c r="CA575" s="12"/>
      <c r="CB575" s="11">
        <v>27</v>
      </c>
      <c r="CC575" s="13">
        <v>502.78</v>
      </c>
      <c r="CD575" s="11">
        <v>2</v>
      </c>
      <c r="CE575" s="11"/>
      <c r="CF575" s="13"/>
      <c r="CG575" s="11"/>
      <c r="CH575" s="12"/>
      <c r="CI575" s="12"/>
      <c r="CJ575" s="11"/>
      <c r="CK575" s="13"/>
      <c r="CL575" s="11">
        <v>2</v>
      </c>
      <c r="CM575" s="11"/>
      <c r="CN575" s="13"/>
      <c r="CO575" s="11"/>
      <c r="CP575" s="12"/>
      <c r="CQ575" s="12"/>
      <c r="CR575" s="11"/>
      <c r="CS575" s="13"/>
      <c r="CT575" s="11"/>
      <c r="CU575" s="11"/>
      <c r="CV575" s="13"/>
      <c r="CW575" s="11"/>
      <c r="CX575" s="12"/>
      <c r="CY575" s="12"/>
      <c r="CZ575" s="11"/>
      <c r="DA575" s="13"/>
      <c r="DB575" s="11"/>
      <c r="DC575" s="11"/>
      <c r="DD575" s="13"/>
      <c r="DE575" s="11"/>
      <c r="DF575" s="12"/>
      <c r="DG575" s="12"/>
      <c r="DH575" s="11"/>
      <c r="DI575" s="13"/>
      <c r="DJ575" s="11"/>
      <c r="DK575" s="11"/>
      <c r="DL575" s="13"/>
      <c r="DM575" s="11"/>
      <c r="DN575" s="12"/>
      <c r="DO575" s="12"/>
      <c r="DP575" s="11"/>
      <c r="DQ575" s="13"/>
      <c r="DR575" s="11"/>
      <c r="DS575" s="11"/>
      <c r="DT575" s="13"/>
      <c r="DU575" s="11"/>
      <c r="DV575" s="12"/>
      <c r="DW575" s="12"/>
      <c r="DX575" s="11"/>
      <c r="DY575" s="13"/>
      <c r="DZ575" s="11"/>
      <c r="EA575" s="11"/>
      <c r="EB575" s="13"/>
      <c r="EC575" s="11"/>
      <c r="ED575" s="12"/>
      <c r="EE575" s="12"/>
      <c r="EF575" s="11"/>
      <c r="EG575" s="13"/>
      <c r="EH575" s="11"/>
      <c r="EI575" s="11"/>
      <c r="EJ575" s="13"/>
      <c r="EK575" s="11"/>
      <c r="EL575" s="12"/>
      <c r="EM575" s="12"/>
      <c r="EN575" s="11"/>
      <c r="EO575" s="13"/>
      <c r="EP575" s="11">
        <v>2</v>
      </c>
      <c r="EQ575" s="11"/>
      <c r="ER575" s="13"/>
      <c r="ES575" s="11"/>
      <c r="ET575" s="12"/>
      <c r="EU575" s="12"/>
      <c r="EV575" s="11"/>
      <c r="EW575" s="13"/>
      <c r="EX575" s="11"/>
      <c r="EY575" s="11"/>
      <c r="EZ575" s="13"/>
      <c r="FA575" s="11"/>
      <c r="FB575" s="12"/>
      <c r="FC575" s="12"/>
      <c r="FD575" s="11"/>
      <c r="FE575" s="13"/>
      <c r="FF575" s="11"/>
      <c r="FG575" s="11"/>
      <c r="FH575" s="13"/>
      <c r="FI575" s="11"/>
      <c r="FJ575" s="12"/>
      <c r="FK575" s="12"/>
      <c r="FL575" s="11"/>
      <c r="FM575" s="13"/>
      <c r="FN575" s="11"/>
      <c r="FO575" s="11"/>
      <c r="FP575" s="13"/>
      <c r="FQ575" s="11"/>
      <c r="FR575" s="12"/>
      <c r="FS575" s="12"/>
      <c r="FT575" s="11"/>
      <c r="FU575" s="13"/>
      <c r="FV575" s="11"/>
      <c r="FW575" s="11"/>
      <c r="FX575" s="13"/>
      <c r="FY575" s="11"/>
      <c r="FZ575" s="12"/>
      <c r="GA575" s="12"/>
      <c r="GB575" s="11"/>
      <c r="GC575" s="13"/>
      <c r="GD575" s="11"/>
      <c r="GE575" s="11"/>
      <c r="GF575" s="13"/>
      <c r="GG575" s="11"/>
      <c r="GH575" s="12"/>
      <c r="GI575" s="12"/>
      <c r="GJ575" s="11"/>
      <c r="GK575" s="13"/>
      <c r="GL575" s="11"/>
      <c r="GM575" s="11"/>
      <c r="GN575" s="13"/>
      <c r="GO575" s="11"/>
      <c r="GP575" s="12"/>
      <c r="GQ575" s="12"/>
      <c r="GR575" s="11"/>
      <c r="GS575" s="13"/>
      <c r="GT575" s="11"/>
      <c r="GU575" s="11"/>
      <c r="GV575" s="13"/>
      <c r="GW575" s="11"/>
      <c r="GX575" s="12"/>
      <c r="GY575" s="12"/>
      <c r="GZ575" s="11"/>
      <c r="HA575" s="13"/>
      <c r="HB575" s="11"/>
      <c r="HC575" s="11"/>
      <c r="HD575" s="13"/>
      <c r="HE575" s="11"/>
      <c r="HF575" s="12"/>
      <c r="HG575" s="12"/>
      <c r="HH575" s="11"/>
      <c r="HI575" s="13"/>
      <c r="HJ575" s="11"/>
      <c r="HK575" s="11"/>
      <c r="HL575" s="13"/>
      <c r="HM575" s="11"/>
      <c r="HN575" s="12"/>
      <c r="HO575" s="12"/>
      <c r="HP575" s="11"/>
      <c r="HQ575" s="13"/>
      <c r="HR575" s="11"/>
      <c r="HS575" s="11"/>
      <c r="HT575" s="13"/>
      <c r="HU575" s="11"/>
      <c r="HV575" s="12"/>
      <c r="HW575" s="12"/>
      <c r="HX575" s="11"/>
      <c r="HY575" s="13"/>
      <c r="HZ575" s="11"/>
      <c r="IA575" s="11"/>
      <c r="IB575" s="13"/>
      <c r="IC575" s="11"/>
      <c r="ID575" s="12"/>
      <c r="IE575" s="12"/>
      <c r="IF575" s="11"/>
      <c r="IG575" s="13"/>
      <c r="IH575" s="11"/>
      <c r="II575" s="11"/>
      <c r="IJ575" s="13"/>
      <c r="IK575" s="11"/>
      <c r="IL575" s="12"/>
      <c r="IM575" s="12"/>
      <c r="IN575" s="11">
        <v>2</v>
      </c>
      <c r="IO575" s="13">
        <v>76.48</v>
      </c>
      <c r="IP575" s="11">
        <v>2</v>
      </c>
      <c r="IQ575" s="11"/>
      <c r="IR575" s="13"/>
      <c r="IS575" s="11"/>
      <c r="IT575" s="12"/>
      <c r="IU575" s="12"/>
      <c r="IV575" s="11"/>
      <c r="IW575" s="13"/>
      <c r="IX575" s="11"/>
      <c r="IY575" s="11"/>
      <c r="IZ575" s="13"/>
      <c r="JA575" s="11"/>
      <c r="JB575" s="12"/>
      <c r="JC575" s="12"/>
      <c r="JD575" s="11"/>
      <c r="JE575" s="13"/>
      <c r="JF575" s="11"/>
      <c r="JG575" s="11"/>
      <c r="JH575" s="13"/>
      <c r="JI575" s="11"/>
      <c r="JJ575" s="12"/>
      <c r="JK575" s="12"/>
      <c r="JL575" s="11"/>
      <c r="JM575" s="13"/>
      <c r="JN575" s="11"/>
      <c r="JO575" s="11"/>
      <c r="JP575" s="13"/>
      <c r="JQ575" s="11"/>
      <c r="JR575" s="12"/>
      <c r="JS575" s="12"/>
      <c r="JT575" s="11"/>
      <c r="JU575" s="13"/>
      <c r="JV575" s="11"/>
      <c r="JW575" s="11"/>
      <c r="JX575" s="13"/>
      <c r="JY575" s="11"/>
      <c r="JZ575" s="12"/>
      <c r="KA575" s="12"/>
      <c r="KB575" s="11"/>
      <c r="KC575" s="13"/>
      <c r="KD575" s="11"/>
      <c r="KE575" s="11"/>
      <c r="KF575" s="13"/>
      <c r="KG575" s="11"/>
      <c r="KH575" s="12"/>
      <c r="KI575" s="12"/>
      <c r="KJ575" s="11"/>
      <c r="KK575" s="13"/>
      <c r="KL575" s="11"/>
      <c r="KM575" s="11"/>
      <c r="KN575" s="13"/>
      <c r="KO575" s="11"/>
      <c r="KP575" s="12"/>
      <c r="KQ575" s="12"/>
      <c r="KR575" s="11"/>
      <c r="KS575" s="13"/>
      <c r="KT575" s="11"/>
      <c r="KU575" s="11"/>
      <c r="KV575" s="13"/>
      <c r="KW575" s="11"/>
      <c r="KX575" s="12"/>
      <c r="KY575" s="12"/>
      <c r="KZ575" s="11"/>
      <c r="LA575" s="13"/>
      <c r="LB575" s="11"/>
      <c r="LC575" s="11"/>
      <c r="LD575" s="13"/>
      <c r="LE575" s="11"/>
      <c r="LF575" s="12"/>
      <c r="LG575" s="12"/>
      <c r="LH575" s="11"/>
      <c r="LI575" s="13"/>
      <c r="LJ575" s="11"/>
      <c r="LK575" s="11"/>
      <c r="LL575" s="13"/>
      <c r="LM575" s="11"/>
      <c r="LN575" s="12"/>
      <c r="LO575" s="12"/>
      <c r="LP575" s="11"/>
      <c r="LQ575" s="13"/>
      <c r="LR575" s="11"/>
      <c r="LS575" s="11"/>
      <c r="LT575" s="13"/>
      <c r="LU575" s="11"/>
      <c r="LV575" s="12"/>
      <c r="LW575" s="12"/>
    </row>
    <row r="576">
      <c r="A576" s="10" t="s">
        <v>289</v>
      </c>
      <c r="B576" s="10" t="s">
        <v>94</v>
      </c>
      <c r="C576" s="10" t="s">
        <v>77</v>
      </c>
      <c r="D576" s="11">
        <v>251</v>
      </c>
      <c r="E576" s="11">
        <f>=ROUNDDOWN({0},0)</f>
      </c>
      <c r="F576" s="11"/>
      <c r="G576" s="12"/>
      <c r="H576" s="11"/>
      <c r="I576" s="11">
        <f>=ROUNDDOWN({0},0)</f>
      </c>
      <c r="J576" s="11"/>
      <c r="K576" s="12"/>
      <c r="L576" s="11">
        <v>49</v>
      </c>
      <c r="M576" s="13">
        <v>915.26</v>
      </c>
      <c r="N576" s="11">
        <v>2</v>
      </c>
      <c r="O576" s="14">
        <v>457.63</v>
      </c>
      <c r="P576" s="11"/>
      <c r="Q576" s="13"/>
      <c r="R576" s="11"/>
      <c r="S576" s="14"/>
      <c r="T576" s="12"/>
      <c r="U576" s="12"/>
      <c r="V576" s="12"/>
      <c r="W576" s="12"/>
      <c r="X576" s="11"/>
      <c r="Y576" s="13"/>
      <c r="Z576" s="11"/>
      <c r="AA576" s="11"/>
      <c r="AB576" s="13"/>
      <c r="AC576" s="11"/>
      <c r="AD576" s="12"/>
      <c r="AE576" s="12"/>
      <c r="AF576" s="11">
        <v>6</v>
      </c>
      <c r="AG576" s="13">
        <v>81.52</v>
      </c>
      <c r="AH576" s="11">
        <v>2</v>
      </c>
      <c r="AI576" s="11"/>
      <c r="AJ576" s="13"/>
      <c r="AK576" s="11"/>
      <c r="AL576" s="12"/>
      <c r="AM576" s="12"/>
      <c r="AN576" s="11"/>
      <c r="AO576" s="13"/>
      <c r="AP576" s="11"/>
      <c r="AQ576" s="11"/>
      <c r="AR576" s="13"/>
      <c r="AS576" s="11"/>
      <c r="AT576" s="12"/>
      <c r="AU576" s="12"/>
      <c r="AV576" s="11"/>
      <c r="AW576" s="13"/>
      <c r="AX576" s="11"/>
      <c r="AY576" s="11"/>
      <c r="AZ576" s="13"/>
      <c r="BA576" s="11"/>
      <c r="BB576" s="12"/>
      <c r="BC576" s="12"/>
      <c r="BD576" s="11"/>
      <c r="BE576" s="13"/>
      <c r="BF576" s="11"/>
      <c r="BG576" s="11"/>
      <c r="BH576" s="13"/>
      <c r="BI576" s="11"/>
      <c r="BJ576" s="12"/>
      <c r="BK576" s="12"/>
      <c r="BL576" s="11">
        <v>2</v>
      </c>
      <c r="BM576" s="13">
        <v>40.04</v>
      </c>
      <c r="BN576" s="11">
        <v>2</v>
      </c>
      <c r="BO576" s="11"/>
      <c r="BP576" s="13"/>
      <c r="BQ576" s="11"/>
      <c r="BR576" s="12"/>
      <c r="BS576" s="12"/>
      <c r="BT576" s="11">
        <v>12</v>
      </c>
      <c r="BU576" s="13">
        <v>214.44</v>
      </c>
      <c r="BV576" s="11">
        <v>2</v>
      </c>
      <c r="BW576" s="11"/>
      <c r="BX576" s="13"/>
      <c r="BY576" s="11"/>
      <c r="BZ576" s="12"/>
      <c r="CA576" s="12"/>
      <c r="CB576" s="11">
        <v>27</v>
      </c>
      <c r="CC576" s="13">
        <v>502.78</v>
      </c>
      <c r="CD576" s="11">
        <v>2</v>
      </c>
      <c r="CE576" s="11"/>
      <c r="CF576" s="13"/>
      <c r="CG576" s="11"/>
      <c r="CH576" s="12"/>
      <c r="CI576" s="12"/>
      <c r="CJ576" s="11"/>
      <c r="CK576" s="13"/>
      <c r="CL576" s="11">
        <v>2</v>
      </c>
      <c r="CM576" s="11"/>
      <c r="CN576" s="13"/>
      <c r="CO576" s="11"/>
      <c r="CP576" s="12"/>
      <c r="CQ576" s="12"/>
      <c r="CR576" s="11"/>
      <c r="CS576" s="13"/>
      <c r="CT576" s="11"/>
      <c r="CU576" s="11"/>
      <c r="CV576" s="13"/>
      <c r="CW576" s="11"/>
      <c r="CX576" s="12"/>
      <c r="CY576" s="12"/>
      <c r="CZ576" s="11"/>
      <c r="DA576" s="13"/>
      <c r="DB576" s="11"/>
      <c r="DC576" s="11"/>
      <c r="DD576" s="13"/>
      <c r="DE576" s="11"/>
      <c r="DF576" s="12"/>
      <c r="DG576" s="12"/>
      <c r="DH576" s="11"/>
      <c r="DI576" s="13"/>
      <c r="DJ576" s="11"/>
      <c r="DK576" s="11"/>
      <c r="DL576" s="13"/>
      <c r="DM576" s="11"/>
      <c r="DN576" s="12"/>
      <c r="DO576" s="12"/>
      <c r="DP576" s="11"/>
      <c r="DQ576" s="13"/>
      <c r="DR576" s="11"/>
      <c r="DS576" s="11"/>
      <c r="DT576" s="13"/>
      <c r="DU576" s="11"/>
      <c r="DV576" s="12"/>
      <c r="DW576" s="12"/>
      <c r="DX576" s="11"/>
      <c r="DY576" s="13"/>
      <c r="DZ576" s="11"/>
      <c r="EA576" s="11"/>
      <c r="EB576" s="13"/>
      <c r="EC576" s="11"/>
      <c r="ED576" s="12"/>
      <c r="EE576" s="12"/>
      <c r="EF576" s="11"/>
      <c r="EG576" s="13"/>
      <c r="EH576" s="11"/>
      <c r="EI576" s="11"/>
      <c r="EJ576" s="13"/>
      <c r="EK576" s="11"/>
      <c r="EL576" s="12"/>
      <c r="EM576" s="12"/>
      <c r="EN576" s="11"/>
      <c r="EO576" s="13"/>
      <c r="EP576" s="11">
        <v>2</v>
      </c>
      <c r="EQ576" s="11"/>
      <c r="ER576" s="13"/>
      <c r="ES576" s="11"/>
      <c r="ET576" s="12"/>
      <c r="EU576" s="12"/>
      <c r="EV576" s="11"/>
      <c r="EW576" s="13"/>
      <c r="EX576" s="11"/>
      <c r="EY576" s="11"/>
      <c r="EZ576" s="13"/>
      <c r="FA576" s="11"/>
      <c r="FB576" s="12"/>
      <c r="FC576" s="12"/>
      <c r="FD576" s="11"/>
      <c r="FE576" s="13"/>
      <c r="FF576" s="11"/>
      <c r="FG576" s="11"/>
      <c r="FH576" s="13"/>
      <c r="FI576" s="11"/>
      <c r="FJ576" s="12"/>
      <c r="FK576" s="12"/>
      <c r="FL576" s="11"/>
      <c r="FM576" s="13"/>
      <c r="FN576" s="11"/>
      <c r="FO576" s="11"/>
      <c r="FP576" s="13"/>
      <c r="FQ576" s="11"/>
      <c r="FR576" s="12"/>
      <c r="FS576" s="12"/>
      <c r="FT576" s="11"/>
      <c r="FU576" s="13"/>
      <c r="FV576" s="11"/>
      <c r="FW576" s="11"/>
      <c r="FX576" s="13"/>
      <c r="FY576" s="11"/>
      <c r="FZ576" s="12"/>
      <c r="GA576" s="12"/>
      <c r="GB576" s="11"/>
      <c r="GC576" s="13"/>
      <c r="GD576" s="11"/>
      <c r="GE576" s="11"/>
      <c r="GF576" s="13"/>
      <c r="GG576" s="11"/>
      <c r="GH576" s="12"/>
      <c r="GI576" s="12"/>
      <c r="GJ576" s="11"/>
      <c r="GK576" s="13"/>
      <c r="GL576" s="11"/>
      <c r="GM576" s="11"/>
      <c r="GN576" s="13"/>
      <c r="GO576" s="11"/>
      <c r="GP576" s="12"/>
      <c r="GQ576" s="12"/>
      <c r="GR576" s="11"/>
      <c r="GS576" s="13"/>
      <c r="GT576" s="11"/>
      <c r="GU576" s="11"/>
      <c r="GV576" s="13"/>
      <c r="GW576" s="11"/>
      <c r="GX576" s="12"/>
      <c r="GY576" s="12"/>
      <c r="GZ576" s="11"/>
      <c r="HA576" s="13"/>
      <c r="HB576" s="11"/>
      <c r="HC576" s="11"/>
      <c r="HD576" s="13"/>
      <c r="HE576" s="11"/>
      <c r="HF576" s="12"/>
      <c r="HG576" s="12"/>
      <c r="HH576" s="11"/>
      <c r="HI576" s="13"/>
      <c r="HJ576" s="11"/>
      <c r="HK576" s="11"/>
      <c r="HL576" s="13"/>
      <c r="HM576" s="11"/>
      <c r="HN576" s="12"/>
      <c r="HO576" s="12"/>
      <c r="HP576" s="11"/>
      <c r="HQ576" s="13"/>
      <c r="HR576" s="11"/>
      <c r="HS576" s="11"/>
      <c r="HT576" s="13"/>
      <c r="HU576" s="11"/>
      <c r="HV576" s="12"/>
      <c r="HW576" s="12"/>
      <c r="HX576" s="11"/>
      <c r="HY576" s="13"/>
      <c r="HZ576" s="11"/>
      <c r="IA576" s="11"/>
      <c r="IB576" s="13"/>
      <c r="IC576" s="11"/>
      <c r="ID576" s="12"/>
      <c r="IE576" s="12"/>
      <c r="IF576" s="11"/>
      <c r="IG576" s="13"/>
      <c r="IH576" s="11"/>
      <c r="II576" s="11"/>
      <c r="IJ576" s="13"/>
      <c r="IK576" s="11"/>
      <c r="IL576" s="12"/>
      <c r="IM576" s="12"/>
      <c r="IN576" s="11">
        <v>2</v>
      </c>
      <c r="IO576" s="13">
        <v>76.48</v>
      </c>
      <c r="IP576" s="11">
        <v>2</v>
      </c>
      <c r="IQ576" s="11"/>
      <c r="IR576" s="13"/>
      <c r="IS576" s="11"/>
      <c r="IT576" s="12"/>
      <c r="IU576" s="12"/>
      <c r="IV576" s="11"/>
      <c r="IW576" s="13"/>
      <c r="IX576" s="11"/>
      <c r="IY576" s="11"/>
      <c r="IZ576" s="13"/>
      <c r="JA576" s="11"/>
      <c r="JB576" s="12"/>
      <c r="JC576" s="12"/>
      <c r="JD576" s="11"/>
      <c r="JE576" s="13"/>
      <c r="JF576" s="11"/>
      <c r="JG576" s="11"/>
      <c r="JH576" s="13"/>
      <c r="JI576" s="11"/>
      <c r="JJ576" s="12"/>
      <c r="JK576" s="12"/>
      <c r="JL576" s="11"/>
      <c r="JM576" s="13"/>
      <c r="JN576" s="11"/>
      <c r="JO576" s="11"/>
      <c r="JP576" s="13"/>
      <c r="JQ576" s="11"/>
      <c r="JR576" s="12"/>
      <c r="JS576" s="12"/>
      <c r="JT576" s="11"/>
      <c r="JU576" s="13"/>
      <c r="JV576" s="11"/>
      <c r="JW576" s="11"/>
      <c r="JX576" s="13"/>
      <c r="JY576" s="11"/>
      <c r="JZ576" s="12"/>
      <c r="KA576" s="12"/>
      <c r="KB576" s="11"/>
      <c r="KC576" s="13"/>
      <c r="KD576" s="11"/>
      <c r="KE576" s="11"/>
      <c r="KF576" s="13"/>
      <c r="KG576" s="11"/>
      <c r="KH576" s="12"/>
      <c r="KI576" s="12"/>
      <c r="KJ576" s="11"/>
      <c r="KK576" s="13"/>
      <c r="KL576" s="11"/>
      <c r="KM576" s="11"/>
      <c r="KN576" s="13"/>
      <c r="KO576" s="11"/>
      <c r="KP576" s="12"/>
      <c r="KQ576" s="12"/>
      <c r="KR576" s="11"/>
      <c r="KS576" s="13"/>
      <c r="KT576" s="11"/>
      <c r="KU576" s="11"/>
      <c r="KV576" s="13"/>
      <c r="KW576" s="11"/>
      <c r="KX576" s="12"/>
      <c r="KY576" s="12"/>
      <c r="KZ576" s="11"/>
      <c r="LA576" s="13"/>
      <c r="LB576" s="11"/>
      <c r="LC576" s="11"/>
      <c r="LD576" s="13"/>
      <c r="LE576" s="11"/>
      <c r="LF576" s="12"/>
      <c r="LG576" s="12"/>
      <c r="LH576" s="11"/>
      <c r="LI576" s="13"/>
      <c r="LJ576" s="11"/>
      <c r="LK576" s="11"/>
      <c r="LL576" s="13"/>
      <c r="LM576" s="11"/>
      <c r="LN576" s="12"/>
      <c r="LO576" s="12"/>
      <c r="LP576" s="11"/>
      <c r="LQ576" s="13"/>
      <c r="LR576" s="11"/>
      <c r="LS576" s="11"/>
      <c r="LT576" s="13"/>
      <c r="LU576" s="11"/>
      <c r="LV576" s="12"/>
      <c r="LW576" s="12"/>
    </row>
    <row r="577">
      <c r="A577" s="10" t="s">
        <v>289</v>
      </c>
      <c r="B577" s="10" t="s">
        <v>95</v>
      </c>
      <c r="C577" s="10" t="s">
        <v>101</v>
      </c>
      <c r="D577" s="11">
        <v>1617</v>
      </c>
      <c r="E577" s="11">
        <f>=ROUNDDOWN(29.0827338129496,0)</f>
      </c>
      <c r="F577" s="11">
        <v>788</v>
      </c>
      <c r="G577" s="12">
        <v>0.8442</v>
      </c>
      <c r="H577" s="11"/>
      <c r="I577" s="11">
        <f>=ROUNDDOWN({0},0)</f>
      </c>
      <c r="J577" s="11"/>
      <c r="K577" s="12"/>
      <c r="L577" s="11">
        <v>495</v>
      </c>
      <c r="M577" s="13">
        <v>11695.85</v>
      </c>
      <c r="N577" s="11">
        <v>17</v>
      </c>
      <c r="O577" s="14">
        <v>687.99</v>
      </c>
      <c r="P577" s="11"/>
      <c r="Q577" s="13"/>
      <c r="R577" s="11"/>
      <c r="S577" s="14"/>
      <c r="T577" s="12"/>
      <c r="U577" s="12"/>
      <c r="V577" s="12"/>
      <c r="W577" s="12"/>
      <c r="X577" s="11">
        <v>115</v>
      </c>
      <c r="Y577" s="13">
        <v>2978.74</v>
      </c>
      <c r="Z577" s="11">
        <v>9</v>
      </c>
      <c r="AA577" s="11"/>
      <c r="AB577" s="13"/>
      <c r="AC577" s="11"/>
      <c r="AD577" s="12"/>
      <c r="AE577" s="12"/>
      <c r="AF577" s="11">
        <v>87</v>
      </c>
      <c r="AG577" s="13">
        <v>1877.04</v>
      </c>
      <c r="AH577" s="11">
        <v>17</v>
      </c>
      <c r="AI577" s="11"/>
      <c r="AJ577" s="13"/>
      <c r="AK577" s="11"/>
      <c r="AL577" s="12"/>
      <c r="AM577" s="12"/>
      <c r="AN577" s="11">
        <v>20</v>
      </c>
      <c r="AO577" s="13">
        <v>591.84</v>
      </c>
      <c r="AP577" s="11">
        <v>10</v>
      </c>
      <c r="AQ577" s="11"/>
      <c r="AR577" s="13"/>
      <c r="AS577" s="11"/>
      <c r="AT577" s="12"/>
      <c r="AU577" s="12"/>
      <c r="AV577" s="11"/>
      <c r="AW577" s="13"/>
      <c r="AX577" s="11"/>
      <c r="AY577" s="11"/>
      <c r="AZ577" s="13"/>
      <c r="BA577" s="11"/>
      <c r="BB577" s="12"/>
      <c r="BC577" s="12"/>
      <c r="BD577" s="11"/>
      <c r="BE577" s="13"/>
      <c r="BF577" s="11"/>
      <c r="BG577" s="11"/>
      <c r="BH577" s="13"/>
      <c r="BI577" s="11"/>
      <c r="BJ577" s="12"/>
      <c r="BK577" s="12"/>
      <c r="BL577" s="11">
        <v>47</v>
      </c>
      <c r="BM577" s="13">
        <v>1336.94</v>
      </c>
      <c r="BN577" s="11">
        <v>17</v>
      </c>
      <c r="BO577" s="11"/>
      <c r="BP577" s="13"/>
      <c r="BQ577" s="11"/>
      <c r="BR577" s="12"/>
      <c r="BS577" s="12"/>
      <c r="BT577" s="11">
        <v>28</v>
      </c>
      <c r="BU577" s="13">
        <v>815.83</v>
      </c>
      <c r="BV577" s="11">
        <v>15</v>
      </c>
      <c r="BW577" s="11"/>
      <c r="BX577" s="13"/>
      <c r="BY577" s="11"/>
      <c r="BZ577" s="12"/>
      <c r="CA577" s="12"/>
      <c r="CB577" s="11">
        <v>193</v>
      </c>
      <c r="CC577" s="13">
        <v>3849.51</v>
      </c>
      <c r="CD577" s="11">
        <v>17</v>
      </c>
      <c r="CE577" s="11"/>
      <c r="CF577" s="13"/>
      <c r="CG577" s="11"/>
      <c r="CH577" s="12"/>
      <c r="CI577" s="12"/>
      <c r="CJ577" s="11"/>
      <c r="CK577" s="13"/>
      <c r="CL577" s="11">
        <v>17</v>
      </c>
      <c r="CM577" s="11"/>
      <c r="CN577" s="13"/>
      <c r="CO577" s="11"/>
      <c r="CP577" s="12"/>
      <c r="CQ577" s="12"/>
      <c r="CR577" s="11"/>
      <c r="CS577" s="13"/>
      <c r="CT577" s="11"/>
      <c r="CU577" s="11"/>
      <c r="CV577" s="13"/>
      <c r="CW577" s="11"/>
      <c r="CX577" s="12"/>
      <c r="CY577" s="12"/>
      <c r="CZ577" s="11"/>
      <c r="DA577" s="13"/>
      <c r="DB577" s="11"/>
      <c r="DC577" s="11"/>
      <c r="DD577" s="13"/>
      <c r="DE577" s="11"/>
      <c r="DF577" s="12"/>
      <c r="DG577" s="12"/>
      <c r="DH577" s="11"/>
      <c r="DI577" s="13"/>
      <c r="DJ577" s="11"/>
      <c r="DK577" s="11"/>
      <c r="DL577" s="13"/>
      <c r="DM577" s="11"/>
      <c r="DN577" s="12"/>
      <c r="DO577" s="12"/>
      <c r="DP577" s="11"/>
      <c r="DQ577" s="13"/>
      <c r="DR577" s="11">
        <v>16</v>
      </c>
      <c r="DS577" s="11"/>
      <c r="DT577" s="13"/>
      <c r="DU577" s="11"/>
      <c r="DV577" s="12"/>
      <c r="DW577" s="12"/>
      <c r="DX577" s="11"/>
      <c r="DY577" s="13"/>
      <c r="DZ577" s="11"/>
      <c r="EA577" s="11"/>
      <c r="EB577" s="13"/>
      <c r="EC577" s="11"/>
      <c r="ED577" s="12"/>
      <c r="EE577" s="12"/>
      <c r="EF577" s="11"/>
      <c r="EG577" s="13"/>
      <c r="EH577" s="11"/>
      <c r="EI577" s="11"/>
      <c r="EJ577" s="13"/>
      <c r="EK577" s="11"/>
      <c r="EL577" s="12"/>
      <c r="EM577" s="12"/>
      <c r="EN577" s="11">
        <v>3</v>
      </c>
      <c r="EO577" s="13">
        <v>143.97</v>
      </c>
      <c r="EP577" s="11">
        <v>17</v>
      </c>
      <c r="EQ577" s="11"/>
      <c r="ER577" s="13"/>
      <c r="ES577" s="11"/>
      <c r="ET577" s="12"/>
      <c r="EU577" s="12"/>
      <c r="EV577" s="11"/>
      <c r="EW577" s="13"/>
      <c r="EX577" s="11"/>
      <c r="EY577" s="11"/>
      <c r="EZ577" s="13"/>
      <c r="FA577" s="11"/>
      <c r="FB577" s="12"/>
      <c r="FC577" s="12"/>
      <c r="FD577" s="11"/>
      <c r="FE577" s="13"/>
      <c r="FF577" s="11"/>
      <c r="FG577" s="11"/>
      <c r="FH577" s="13"/>
      <c r="FI577" s="11"/>
      <c r="FJ577" s="12"/>
      <c r="FK577" s="12"/>
      <c r="FL577" s="11"/>
      <c r="FM577" s="13"/>
      <c r="FN577" s="11"/>
      <c r="FO577" s="11"/>
      <c r="FP577" s="13"/>
      <c r="FQ577" s="11"/>
      <c r="FR577" s="12"/>
      <c r="FS577" s="12"/>
      <c r="FT577" s="11"/>
      <c r="FU577" s="13"/>
      <c r="FV577" s="11"/>
      <c r="FW577" s="11"/>
      <c r="FX577" s="13"/>
      <c r="FY577" s="11"/>
      <c r="FZ577" s="12"/>
      <c r="GA577" s="12"/>
      <c r="GB577" s="11"/>
      <c r="GC577" s="13"/>
      <c r="GD577" s="11"/>
      <c r="GE577" s="11"/>
      <c r="GF577" s="13"/>
      <c r="GG577" s="11"/>
      <c r="GH577" s="12"/>
      <c r="GI577" s="12"/>
      <c r="GJ577" s="11"/>
      <c r="GK577" s="13"/>
      <c r="GL577" s="11"/>
      <c r="GM577" s="11"/>
      <c r="GN577" s="13"/>
      <c r="GO577" s="11"/>
      <c r="GP577" s="12"/>
      <c r="GQ577" s="12"/>
      <c r="GR577" s="11"/>
      <c r="GS577" s="13"/>
      <c r="GT577" s="11"/>
      <c r="GU577" s="11"/>
      <c r="GV577" s="13"/>
      <c r="GW577" s="11"/>
      <c r="GX577" s="12"/>
      <c r="GY577" s="12"/>
      <c r="GZ577" s="11"/>
      <c r="HA577" s="13"/>
      <c r="HB577" s="11"/>
      <c r="HC577" s="11"/>
      <c r="HD577" s="13"/>
      <c r="HE577" s="11"/>
      <c r="HF577" s="12"/>
      <c r="HG577" s="12"/>
      <c r="HH577" s="11"/>
      <c r="HI577" s="13"/>
      <c r="HJ577" s="11"/>
      <c r="HK577" s="11"/>
      <c r="HL577" s="13"/>
      <c r="HM577" s="11"/>
      <c r="HN577" s="12"/>
      <c r="HO577" s="12"/>
      <c r="HP577" s="11"/>
      <c r="HQ577" s="13"/>
      <c r="HR577" s="11"/>
      <c r="HS577" s="11"/>
      <c r="HT577" s="13"/>
      <c r="HU577" s="11"/>
      <c r="HV577" s="12"/>
      <c r="HW577" s="12"/>
      <c r="HX577" s="11"/>
      <c r="HY577" s="13"/>
      <c r="HZ577" s="11"/>
      <c r="IA577" s="11"/>
      <c r="IB577" s="13"/>
      <c r="IC577" s="11"/>
      <c r="ID577" s="12"/>
      <c r="IE577" s="12"/>
      <c r="IF577" s="11"/>
      <c r="IG577" s="13"/>
      <c r="IH577" s="11"/>
      <c r="II577" s="11"/>
      <c r="IJ577" s="13"/>
      <c r="IK577" s="11"/>
      <c r="IL577" s="12"/>
      <c r="IM577" s="12"/>
      <c r="IN577" s="11">
        <v>2</v>
      </c>
      <c r="IO577" s="13">
        <v>101.98</v>
      </c>
      <c r="IP577" s="11">
        <v>17</v>
      </c>
      <c r="IQ577" s="11"/>
      <c r="IR577" s="13"/>
      <c r="IS577" s="11"/>
      <c r="IT577" s="12"/>
      <c r="IU577" s="12"/>
      <c r="IV577" s="11"/>
      <c r="IW577" s="13"/>
      <c r="IX577" s="11"/>
      <c r="IY577" s="11"/>
      <c r="IZ577" s="13"/>
      <c r="JA577" s="11"/>
      <c r="JB577" s="12"/>
      <c r="JC577" s="12"/>
      <c r="JD577" s="11"/>
      <c r="JE577" s="13"/>
      <c r="JF577" s="11"/>
      <c r="JG577" s="11"/>
      <c r="JH577" s="13"/>
      <c r="JI577" s="11"/>
      <c r="JJ577" s="12"/>
      <c r="JK577" s="12"/>
      <c r="JL577" s="11"/>
      <c r="JM577" s="13"/>
      <c r="JN577" s="11"/>
      <c r="JO577" s="11"/>
      <c r="JP577" s="13"/>
      <c r="JQ577" s="11"/>
      <c r="JR577" s="12"/>
      <c r="JS577" s="12"/>
      <c r="JT577" s="11"/>
      <c r="JU577" s="13"/>
      <c r="JV577" s="11"/>
      <c r="JW577" s="11"/>
      <c r="JX577" s="13"/>
      <c r="JY577" s="11"/>
      <c r="JZ577" s="12"/>
      <c r="KA577" s="12"/>
      <c r="KB577" s="11"/>
      <c r="KC577" s="13"/>
      <c r="KD577" s="11"/>
      <c r="KE577" s="11"/>
      <c r="KF577" s="13"/>
      <c r="KG577" s="11"/>
      <c r="KH577" s="12"/>
      <c r="KI577" s="12"/>
      <c r="KJ577" s="11"/>
      <c r="KK577" s="13"/>
      <c r="KL577" s="11"/>
      <c r="KM577" s="11"/>
      <c r="KN577" s="13"/>
      <c r="KO577" s="11"/>
      <c r="KP577" s="12"/>
      <c r="KQ577" s="12"/>
      <c r="KR577" s="11"/>
      <c r="KS577" s="13"/>
      <c r="KT577" s="11"/>
      <c r="KU577" s="11"/>
      <c r="KV577" s="13"/>
      <c r="KW577" s="11"/>
      <c r="KX577" s="12"/>
      <c r="KY577" s="12"/>
      <c r="KZ577" s="11"/>
      <c r="LA577" s="13"/>
      <c r="LB577" s="11"/>
      <c r="LC577" s="11"/>
      <c r="LD577" s="13"/>
      <c r="LE577" s="11"/>
      <c r="LF577" s="12"/>
      <c r="LG577" s="12"/>
      <c r="LH577" s="11"/>
      <c r="LI577" s="13"/>
      <c r="LJ577" s="11"/>
      <c r="LK577" s="11"/>
      <c r="LL577" s="13"/>
      <c r="LM577" s="11"/>
      <c r="LN577" s="12"/>
      <c r="LO577" s="12"/>
      <c r="LP577" s="11"/>
      <c r="LQ577" s="13"/>
      <c r="LR577" s="11"/>
      <c r="LS577" s="11"/>
      <c r="LT577" s="13"/>
      <c r="LU577" s="11"/>
      <c r="LV577" s="12"/>
      <c r="LW577" s="12"/>
    </row>
    <row r="578">
      <c r="A578" s="10" t="s">
        <v>289</v>
      </c>
      <c r="B578" s="10" t="s">
        <v>96</v>
      </c>
      <c r="C578" s="10" t="s">
        <v>77</v>
      </c>
      <c r="D578" s="11">
        <v>1617</v>
      </c>
      <c r="E578" s="11">
        <f>=ROUNDDOWN({0},0)</f>
      </c>
      <c r="F578" s="11">
        <v>788</v>
      </c>
      <c r="G578" s="12"/>
      <c r="H578" s="11"/>
      <c r="I578" s="11">
        <f>=ROUNDDOWN({0},0)</f>
      </c>
      <c r="J578" s="11"/>
      <c r="K578" s="12"/>
      <c r="L578" s="11">
        <v>495</v>
      </c>
      <c r="M578" s="13">
        <v>11695.85</v>
      </c>
      <c r="N578" s="11">
        <v>17</v>
      </c>
      <c r="O578" s="14">
        <v>687.99</v>
      </c>
      <c r="P578" s="11"/>
      <c r="Q578" s="13"/>
      <c r="R578" s="11"/>
      <c r="S578" s="14"/>
      <c r="T578" s="12"/>
      <c r="U578" s="12"/>
      <c r="V578" s="12"/>
      <c r="W578" s="12"/>
      <c r="X578" s="11">
        <v>115</v>
      </c>
      <c r="Y578" s="13">
        <v>2978.74</v>
      </c>
      <c r="Z578" s="11">
        <v>9</v>
      </c>
      <c r="AA578" s="11"/>
      <c r="AB578" s="13"/>
      <c r="AC578" s="11"/>
      <c r="AD578" s="12"/>
      <c r="AE578" s="12"/>
      <c r="AF578" s="11">
        <v>87</v>
      </c>
      <c r="AG578" s="13">
        <v>1877.04</v>
      </c>
      <c r="AH578" s="11">
        <v>17</v>
      </c>
      <c r="AI578" s="11"/>
      <c r="AJ578" s="13"/>
      <c r="AK578" s="11"/>
      <c r="AL578" s="12"/>
      <c r="AM578" s="12"/>
      <c r="AN578" s="11">
        <v>20</v>
      </c>
      <c r="AO578" s="13">
        <v>591.84</v>
      </c>
      <c r="AP578" s="11">
        <v>10</v>
      </c>
      <c r="AQ578" s="11"/>
      <c r="AR578" s="13"/>
      <c r="AS578" s="11"/>
      <c r="AT578" s="12"/>
      <c r="AU578" s="12"/>
      <c r="AV578" s="11"/>
      <c r="AW578" s="13"/>
      <c r="AX578" s="11"/>
      <c r="AY578" s="11"/>
      <c r="AZ578" s="13"/>
      <c r="BA578" s="11"/>
      <c r="BB578" s="12"/>
      <c r="BC578" s="12"/>
      <c r="BD578" s="11"/>
      <c r="BE578" s="13"/>
      <c r="BF578" s="11"/>
      <c r="BG578" s="11"/>
      <c r="BH578" s="13"/>
      <c r="BI578" s="11"/>
      <c r="BJ578" s="12"/>
      <c r="BK578" s="12"/>
      <c r="BL578" s="11">
        <v>47</v>
      </c>
      <c r="BM578" s="13">
        <v>1336.94</v>
      </c>
      <c r="BN578" s="11">
        <v>17</v>
      </c>
      <c r="BO578" s="11"/>
      <c r="BP578" s="13"/>
      <c r="BQ578" s="11"/>
      <c r="BR578" s="12"/>
      <c r="BS578" s="12"/>
      <c r="BT578" s="11">
        <v>28</v>
      </c>
      <c r="BU578" s="13">
        <v>815.83</v>
      </c>
      <c r="BV578" s="11">
        <v>15</v>
      </c>
      <c r="BW578" s="11"/>
      <c r="BX578" s="13"/>
      <c r="BY578" s="11"/>
      <c r="BZ578" s="12"/>
      <c r="CA578" s="12"/>
      <c r="CB578" s="11">
        <v>193</v>
      </c>
      <c r="CC578" s="13">
        <v>3849.51</v>
      </c>
      <c r="CD578" s="11">
        <v>17</v>
      </c>
      <c r="CE578" s="11"/>
      <c r="CF578" s="13"/>
      <c r="CG578" s="11"/>
      <c r="CH578" s="12"/>
      <c r="CI578" s="12"/>
      <c r="CJ578" s="11"/>
      <c r="CK578" s="13"/>
      <c r="CL578" s="11">
        <v>17</v>
      </c>
      <c r="CM578" s="11"/>
      <c r="CN578" s="13"/>
      <c r="CO578" s="11"/>
      <c r="CP578" s="12"/>
      <c r="CQ578" s="12"/>
      <c r="CR578" s="11"/>
      <c r="CS578" s="13"/>
      <c r="CT578" s="11"/>
      <c r="CU578" s="11"/>
      <c r="CV578" s="13"/>
      <c r="CW578" s="11"/>
      <c r="CX578" s="12"/>
      <c r="CY578" s="12"/>
      <c r="CZ578" s="11"/>
      <c r="DA578" s="13"/>
      <c r="DB578" s="11"/>
      <c r="DC578" s="11"/>
      <c r="DD578" s="13"/>
      <c r="DE578" s="11"/>
      <c r="DF578" s="12"/>
      <c r="DG578" s="12"/>
      <c r="DH578" s="11"/>
      <c r="DI578" s="13"/>
      <c r="DJ578" s="11"/>
      <c r="DK578" s="11"/>
      <c r="DL578" s="13"/>
      <c r="DM578" s="11"/>
      <c r="DN578" s="12"/>
      <c r="DO578" s="12"/>
      <c r="DP578" s="11"/>
      <c r="DQ578" s="13"/>
      <c r="DR578" s="11">
        <v>16</v>
      </c>
      <c r="DS578" s="11"/>
      <c r="DT578" s="13"/>
      <c r="DU578" s="11"/>
      <c r="DV578" s="12"/>
      <c r="DW578" s="12"/>
      <c r="DX578" s="11"/>
      <c r="DY578" s="13"/>
      <c r="DZ578" s="11"/>
      <c r="EA578" s="11"/>
      <c r="EB578" s="13"/>
      <c r="EC578" s="11"/>
      <c r="ED578" s="12"/>
      <c r="EE578" s="12"/>
      <c r="EF578" s="11"/>
      <c r="EG578" s="13"/>
      <c r="EH578" s="11"/>
      <c r="EI578" s="11"/>
      <c r="EJ578" s="13"/>
      <c r="EK578" s="11"/>
      <c r="EL578" s="12"/>
      <c r="EM578" s="12"/>
      <c r="EN578" s="11">
        <v>3</v>
      </c>
      <c r="EO578" s="13">
        <v>143.97</v>
      </c>
      <c r="EP578" s="11">
        <v>17</v>
      </c>
      <c r="EQ578" s="11"/>
      <c r="ER578" s="13"/>
      <c r="ES578" s="11"/>
      <c r="ET578" s="12"/>
      <c r="EU578" s="12"/>
      <c r="EV578" s="11"/>
      <c r="EW578" s="13"/>
      <c r="EX578" s="11"/>
      <c r="EY578" s="11"/>
      <c r="EZ578" s="13"/>
      <c r="FA578" s="11"/>
      <c r="FB578" s="12"/>
      <c r="FC578" s="12"/>
      <c r="FD578" s="11"/>
      <c r="FE578" s="13"/>
      <c r="FF578" s="11"/>
      <c r="FG578" s="11"/>
      <c r="FH578" s="13"/>
      <c r="FI578" s="11"/>
      <c r="FJ578" s="12"/>
      <c r="FK578" s="12"/>
      <c r="FL578" s="11"/>
      <c r="FM578" s="13"/>
      <c r="FN578" s="11"/>
      <c r="FO578" s="11"/>
      <c r="FP578" s="13"/>
      <c r="FQ578" s="11"/>
      <c r="FR578" s="12"/>
      <c r="FS578" s="12"/>
      <c r="FT578" s="11"/>
      <c r="FU578" s="13"/>
      <c r="FV578" s="11"/>
      <c r="FW578" s="11"/>
      <c r="FX578" s="13"/>
      <c r="FY578" s="11"/>
      <c r="FZ578" s="12"/>
      <c r="GA578" s="12"/>
      <c r="GB578" s="11"/>
      <c r="GC578" s="13"/>
      <c r="GD578" s="11"/>
      <c r="GE578" s="11"/>
      <c r="GF578" s="13"/>
      <c r="GG578" s="11"/>
      <c r="GH578" s="12"/>
      <c r="GI578" s="12"/>
      <c r="GJ578" s="11"/>
      <c r="GK578" s="13"/>
      <c r="GL578" s="11"/>
      <c r="GM578" s="11"/>
      <c r="GN578" s="13"/>
      <c r="GO578" s="11"/>
      <c r="GP578" s="12"/>
      <c r="GQ578" s="12"/>
      <c r="GR578" s="11"/>
      <c r="GS578" s="13"/>
      <c r="GT578" s="11"/>
      <c r="GU578" s="11"/>
      <c r="GV578" s="13"/>
      <c r="GW578" s="11"/>
      <c r="GX578" s="12"/>
      <c r="GY578" s="12"/>
      <c r="GZ578" s="11"/>
      <c r="HA578" s="13"/>
      <c r="HB578" s="11"/>
      <c r="HC578" s="11"/>
      <c r="HD578" s="13"/>
      <c r="HE578" s="11"/>
      <c r="HF578" s="12"/>
      <c r="HG578" s="12"/>
      <c r="HH578" s="11"/>
      <c r="HI578" s="13"/>
      <c r="HJ578" s="11"/>
      <c r="HK578" s="11"/>
      <c r="HL578" s="13"/>
      <c r="HM578" s="11"/>
      <c r="HN578" s="12"/>
      <c r="HO578" s="12"/>
      <c r="HP578" s="11"/>
      <c r="HQ578" s="13"/>
      <c r="HR578" s="11"/>
      <c r="HS578" s="11"/>
      <c r="HT578" s="13"/>
      <c r="HU578" s="11"/>
      <c r="HV578" s="12"/>
      <c r="HW578" s="12"/>
      <c r="HX578" s="11"/>
      <c r="HY578" s="13"/>
      <c r="HZ578" s="11"/>
      <c r="IA578" s="11"/>
      <c r="IB578" s="13"/>
      <c r="IC578" s="11"/>
      <c r="ID578" s="12"/>
      <c r="IE578" s="12"/>
      <c r="IF578" s="11"/>
      <c r="IG578" s="13"/>
      <c r="IH578" s="11"/>
      <c r="II578" s="11"/>
      <c r="IJ578" s="13"/>
      <c r="IK578" s="11"/>
      <c r="IL578" s="12"/>
      <c r="IM578" s="12"/>
      <c r="IN578" s="11">
        <v>2</v>
      </c>
      <c r="IO578" s="13">
        <v>101.98</v>
      </c>
      <c r="IP578" s="11">
        <v>17</v>
      </c>
      <c r="IQ578" s="11"/>
      <c r="IR578" s="13"/>
      <c r="IS578" s="11"/>
      <c r="IT578" s="12"/>
      <c r="IU578" s="12"/>
      <c r="IV578" s="11"/>
      <c r="IW578" s="13"/>
      <c r="IX578" s="11"/>
      <c r="IY578" s="11"/>
      <c r="IZ578" s="13"/>
      <c r="JA578" s="11"/>
      <c r="JB578" s="12"/>
      <c r="JC578" s="12"/>
      <c r="JD578" s="11"/>
      <c r="JE578" s="13"/>
      <c r="JF578" s="11"/>
      <c r="JG578" s="11"/>
      <c r="JH578" s="13"/>
      <c r="JI578" s="11"/>
      <c r="JJ578" s="12"/>
      <c r="JK578" s="12"/>
      <c r="JL578" s="11"/>
      <c r="JM578" s="13"/>
      <c r="JN578" s="11"/>
      <c r="JO578" s="11"/>
      <c r="JP578" s="13"/>
      <c r="JQ578" s="11"/>
      <c r="JR578" s="12"/>
      <c r="JS578" s="12"/>
      <c r="JT578" s="11"/>
      <c r="JU578" s="13"/>
      <c r="JV578" s="11"/>
      <c r="JW578" s="11"/>
      <c r="JX578" s="13"/>
      <c r="JY578" s="11"/>
      <c r="JZ578" s="12"/>
      <c r="KA578" s="12"/>
      <c r="KB578" s="11"/>
      <c r="KC578" s="13"/>
      <c r="KD578" s="11"/>
      <c r="KE578" s="11"/>
      <c r="KF578" s="13"/>
      <c r="KG578" s="11"/>
      <c r="KH578" s="12"/>
      <c r="KI578" s="12"/>
      <c r="KJ578" s="11"/>
      <c r="KK578" s="13"/>
      <c r="KL578" s="11"/>
      <c r="KM578" s="11"/>
      <c r="KN578" s="13"/>
      <c r="KO578" s="11"/>
      <c r="KP578" s="12"/>
      <c r="KQ578" s="12"/>
      <c r="KR578" s="11"/>
      <c r="KS578" s="13"/>
      <c r="KT578" s="11"/>
      <c r="KU578" s="11"/>
      <c r="KV578" s="13"/>
      <c r="KW578" s="11"/>
      <c r="KX578" s="12"/>
      <c r="KY578" s="12"/>
      <c r="KZ578" s="11"/>
      <c r="LA578" s="13"/>
      <c r="LB578" s="11"/>
      <c r="LC578" s="11"/>
      <c r="LD578" s="13"/>
      <c r="LE578" s="11"/>
      <c r="LF578" s="12"/>
      <c r="LG578" s="12"/>
      <c r="LH578" s="11"/>
      <c r="LI578" s="13"/>
      <c r="LJ578" s="11"/>
      <c r="LK578" s="11"/>
      <c r="LL578" s="13"/>
      <c r="LM578" s="11"/>
      <c r="LN578" s="12"/>
      <c r="LO578" s="12"/>
      <c r="LP578" s="11"/>
      <c r="LQ578" s="13"/>
      <c r="LR578" s="11"/>
      <c r="LS578" s="11"/>
      <c r="LT578" s="13"/>
      <c r="LU578" s="11"/>
      <c r="LV578" s="12"/>
      <c r="LW578" s="12"/>
    </row>
    <row r="579">
      <c r="A579" s="10" t="s">
        <v>289</v>
      </c>
      <c r="B579" s="10" t="s">
        <v>97</v>
      </c>
      <c r="C579" s="10" t="s">
        <v>101</v>
      </c>
      <c r="D579" s="11">
        <v>49</v>
      </c>
      <c r="E579" s="11">
        <f>=ROUNDDOWN(6.36363636363636,0)</f>
      </c>
      <c r="F579" s="11"/>
      <c r="G579" s="12"/>
      <c r="H579" s="11"/>
      <c r="I579" s="11">
        <f>=ROUNDDOWN({0},0)</f>
      </c>
      <c r="J579" s="11"/>
      <c r="K579" s="12"/>
      <c r="L579" s="11">
        <v>40</v>
      </c>
      <c r="M579" s="13">
        <v>1235.16</v>
      </c>
      <c r="N579" s="11">
        <v>2</v>
      </c>
      <c r="O579" s="14">
        <v>617.58</v>
      </c>
      <c r="P579" s="11"/>
      <c r="Q579" s="13"/>
      <c r="R579" s="11"/>
      <c r="S579" s="14"/>
      <c r="T579" s="12"/>
      <c r="U579" s="12"/>
      <c r="V579" s="12"/>
      <c r="W579" s="12"/>
      <c r="X579" s="11">
        <v>8</v>
      </c>
      <c r="Y579" s="13">
        <v>219.2</v>
      </c>
      <c r="Z579" s="11">
        <v>2</v>
      </c>
      <c r="AA579" s="11"/>
      <c r="AB579" s="13"/>
      <c r="AC579" s="11"/>
      <c r="AD579" s="12"/>
      <c r="AE579" s="12"/>
      <c r="AF579" s="11">
        <v>8</v>
      </c>
      <c r="AG579" s="13">
        <v>180.16</v>
      </c>
      <c r="AH579" s="11">
        <v>2</v>
      </c>
      <c r="AI579" s="11"/>
      <c r="AJ579" s="13"/>
      <c r="AK579" s="11"/>
      <c r="AL579" s="12"/>
      <c r="AM579" s="12"/>
      <c r="AN579" s="11">
        <v>8</v>
      </c>
      <c r="AO579" s="13">
        <v>246.6</v>
      </c>
      <c r="AP579" s="11">
        <v>2</v>
      </c>
      <c r="AQ579" s="11"/>
      <c r="AR579" s="13"/>
      <c r="AS579" s="11"/>
      <c r="AT579" s="12"/>
      <c r="AU579" s="12"/>
      <c r="AV579" s="11"/>
      <c r="AW579" s="13"/>
      <c r="AX579" s="11"/>
      <c r="AY579" s="11"/>
      <c r="AZ579" s="13"/>
      <c r="BA579" s="11"/>
      <c r="BB579" s="12"/>
      <c r="BC579" s="12"/>
      <c r="BD579" s="11"/>
      <c r="BE579" s="13"/>
      <c r="BF579" s="11"/>
      <c r="BG579" s="11"/>
      <c r="BH579" s="13"/>
      <c r="BI579" s="11"/>
      <c r="BJ579" s="12"/>
      <c r="BK579" s="12"/>
      <c r="BL579" s="11">
        <v>2</v>
      </c>
      <c r="BM579" s="13">
        <v>64.04</v>
      </c>
      <c r="BN579" s="11">
        <v>2</v>
      </c>
      <c r="BO579" s="11"/>
      <c r="BP579" s="13"/>
      <c r="BQ579" s="11"/>
      <c r="BR579" s="12"/>
      <c r="BS579" s="12"/>
      <c r="BT579" s="11"/>
      <c r="BU579" s="13"/>
      <c r="BV579" s="11">
        <v>2</v>
      </c>
      <c r="BW579" s="11"/>
      <c r="BX579" s="13"/>
      <c r="BY579" s="11"/>
      <c r="BZ579" s="12"/>
      <c r="CA579" s="12"/>
      <c r="CB579" s="11">
        <v>10</v>
      </c>
      <c r="CC579" s="13">
        <v>270.2</v>
      </c>
      <c r="CD579" s="11">
        <v>2</v>
      </c>
      <c r="CE579" s="11"/>
      <c r="CF579" s="13"/>
      <c r="CG579" s="11"/>
      <c r="CH579" s="12"/>
      <c r="CI579" s="12"/>
      <c r="CJ579" s="11"/>
      <c r="CK579" s="13"/>
      <c r="CL579" s="11">
        <v>2</v>
      </c>
      <c r="CM579" s="11"/>
      <c r="CN579" s="13"/>
      <c r="CO579" s="11"/>
      <c r="CP579" s="12"/>
      <c r="CQ579" s="12"/>
      <c r="CR579" s="11"/>
      <c r="CS579" s="13"/>
      <c r="CT579" s="11"/>
      <c r="CU579" s="11"/>
      <c r="CV579" s="13"/>
      <c r="CW579" s="11"/>
      <c r="CX579" s="12"/>
      <c r="CY579" s="12"/>
      <c r="CZ579" s="11"/>
      <c r="DA579" s="13"/>
      <c r="DB579" s="11"/>
      <c r="DC579" s="11"/>
      <c r="DD579" s="13"/>
      <c r="DE579" s="11"/>
      <c r="DF579" s="12"/>
      <c r="DG579" s="12"/>
      <c r="DH579" s="11"/>
      <c r="DI579" s="13"/>
      <c r="DJ579" s="11"/>
      <c r="DK579" s="11"/>
      <c r="DL579" s="13"/>
      <c r="DM579" s="11"/>
      <c r="DN579" s="12"/>
      <c r="DO579" s="12"/>
      <c r="DP579" s="11"/>
      <c r="DQ579" s="13"/>
      <c r="DR579" s="11">
        <v>2</v>
      </c>
      <c r="DS579" s="11"/>
      <c r="DT579" s="13"/>
      <c r="DU579" s="11"/>
      <c r="DV579" s="12"/>
      <c r="DW579" s="12"/>
      <c r="DX579" s="11"/>
      <c r="DY579" s="13"/>
      <c r="DZ579" s="11"/>
      <c r="EA579" s="11"/>
      <c r="EB579" s="13"/>
      <c r="EC579" s="11"/>
      <c r="ED579" s="12"/>
      <c r="EE579" s="12"/>
      <c r="EF579" s="11"/>
      <c r="EG579" s="13"/>
      <c r="EH579" s="11"/>
      <c r="EI579" s="11"/>
      <c r="EJ579" s="13"/>
      <c r="EK579" s="11"/>
      <c r="EL579" s="12"/>
      <c r="EM579" s="12"/>
      <c r="EN579" s="11"/>
      <c r="EO579" s="13"/>
      <c r="EP579" s="11">
        <v>2</v>
      </c>
      <c r="EQ579" s="11"/>
      <c r="ER579" s="13"/>
      <c r="ES579" s="11"/>
      <c r="ET579" s="12"/>
      <c r="EU579" s="12"/>
      <c r="EV579" s="11"/>
      <c r="EW579" s="13"/>
      <c r="EX579" s="11"/>
      <c r="EY579" s="11"/>
      <c r="EZ579" s="13"/>
      <c r="FA579" s="11"/>
      <c r="FB579" s="12"/>
      <c r="FC579" s="12"/>
      <c r="FD579" s="11"/>
      <c r="FE579" s="13"/>
      <c r="FF579" s="11"/>
      <c r="FG579" s="11"/>
      <c r="FH579" s="13"/>
      <c r="FI579" s="11"/>
      <c r="FJ579" s="12"/>
      <c r="FK579" s="12"/>
      <c r="FL579" s="11"/>
      <c r="FM579" s="13"/>
      <c r="FN579" s="11"/>
      <c r="FO579" s="11"/>
      <c r="FP579" s="13"/>
      <c r="FQ579" s="11"/>
      <c r="FR579" s="12"/>
      <c r="FS579" s="12"/>
      <c r="FT579" s="11"/>
      <c r="FU579" s="13"/>
      <c r="FV579" s="11"/>
      <c r="FW579" s="11"/>
      <c r="FX579" s="13"/>
      <c r="FY579" s="11"/>
      <c r="FZ579" s="12"/>
      <c r="GA579" s="12"/>
      <c r="GB579" s="11"/>
      <c r="GC579" s="13"/>
      <c r="GD579" s="11"/>
      <c r="GE579" s="11"/>
      <c r="GF579" s="13"/>
      <c r="GG579" s="11"/>
      <c r="GH579" s="12"/>
      <c r="GI579" s="12"/>
      <c r="GJ579" s="11"/>
      <c r="GK579" s="13"/>
      <c r="GL579" s="11"/>
      <c r="GM579" s="11"/>
      <c r="GN579" s="13"/>
      <c r="GO579" s="11"/>
      <c r="GP579" s="12"/>
      <c r="GQ579" s="12"/>
      <c r="GR579" s="11"/>
      <c r="GS579" s="13"/>
      <c r="GT579" s="11"/>
      <c r="GU579" s="11"/>
      <c r="GV579" s="13"/>
      <c r="GW579" s="11"/>
      <c r="GX579" s="12"/>
      <c r="GY579" s="12"/>
      <c r="GZ579" s="11"/>
      <c r="HA579" s="13"/>
      <c r="HB579" s="11"/>
      <c r="HC579" s="11"/>
      <c r="HD579" s="13"/>
      <c r="HE579" s="11"/>
      <c r="HF579" s="12"/>
      <c r="HG579" s="12"/>
      <c r="HH579" s="11"/>
      <c r="HI579" s="13"/>
      <c r="HJ579" s="11"/>
      <c r="HK579" s="11"/>
      <c r="HL579" s="13"/>
      <c r="HM579" s="11"/>
      <c r="HN579" s="12"/>
      <c r="HO579" s="12"/>
      <c r="HP579" s="11"/>
      <c r="HQ579" s="13"/>
      <c r="HR579" s="11"/>
      <c r="HS579" s="11"/>
      <c r="HT579" s="13"/>
      <c r="HU579" s="11"/>
      <c r="HV579" s="12"/>
      <c r="HW579" s="12"/>
      <c r="HX579" s="11"/>
      <c r="HY579" s="13"/>
      <c r="HZ579" s="11"/>
      <c r="IA579" s="11"/>
      <c r="IB579" s="13"/>
      <c r="IC579" s="11"/>
      <c r="ID579" s="12"/>
      <c r="IE579" s="12"/>
      <c r="IF579" s="11"/>
      <c r="IG579" s="13"/>
      <c r="IH579" s="11"/>
      <c r="II579" s="11"/>
      <c r="IJ579" s="13"/>
      <c r="IK579" s="11"/>
      <c r="IL579" s="12"/>
      <c r="IM579" s="12"/>
      <c r="IN579" s="11">
        <v>4</v>
      </c>
      <c r="IO579" s="13">
        <v>254.96</v>
      </c>
      <c r="IP579" s="11">
        <v>2</v>
      </c>
      <c r="IQ579" s="11"/>
      <c r="IR579" s="13"/>
      <c r="IS579" s="11"/>
      <c r="IT579" s="12"/>
      <c r="IU579" s="12"/>
      <c r="IV579" s="11"/>
      <c r="IW579" s="13"/>
      <c r="IX579" s="11"/>
      <c r="IY579" s="11"/>
      <c r="IZ579" s="13"/>
      <c r="JA579" s="11"/>
      <c r="JB579" s="12"/>
      <c r="JC579" s="12"/>
      <c r="JD579" s="11"/>
      <c r="JE579" s="13"/>
      <c r="JF579" s="11"/>
      <c r="JG579" s="11"/>
      <c r="JH579" s="13"/>
      <c r="JI579" s="11"/>
      <c r="JJ579" s="12"/>
      <c r="JK579" s="12"/>
      <c r="JL579" s="11"/>
      <c r="JM579" s="13"/>
      <c r="JN579" s="11"/>
      <c r="JO579" s="11"/>
      <c r="JP579" s="13"/>
      <c r="JQ579" s="11"/>
      <c r="JR579" s="12"/>
      <c r="JS579" s="12"/>
      <c r="JT579" s="11"/>
      <c r="JU579" s="13"/>
      <c r="JV579" s="11"/>
      <c r="JW579" s="11"/>
      <c r="JX579" s="13"/>
      <c r="JY579" s="11"/>
      <c r="JZ579" s="12"/>
      <c r="KA579" s="12"/>
      <c r="KB579" s="11"/>
      <c r="KC579" s="13"/>
      <c r="KD579" s="11"/>
      <c r="KE579" s="11"/>
      <c r="KF579" s="13"/>
      <c r="KG579" s="11"/>
      <c r="KH579" s="12"/>
      <c r="KI579" s="12"/>
      <c r="KJ579" s="11"/>
      <c r="KK579" s="13"/>
      <c r="KL579" s="11"/>
      <c r="KM579" s="11"/>
      <c r="KN579" s="13"/>
      <c r="KO579" s="11"/>
      <c r="KP579" s="12"/>
      <c r="KQ579" s="12"/>
      <c r="KR579" s="11"/>
      <c r="KS579" s="13"/>
      <c r="KT579" s="11"/>
      <c r="KU579" s="11"/>
      <c r="KV579" s="13"/>
      <c r="KW579" s="11"/>
      <c r="KX579" s="12"/>
      <c r="KY579" s="12"/>
      <c r="KZ579" s="11"/>
      <c r="LA579" s="13"/>
      <c r="LB579" s="11"/>
      <c r="LC579" s="11"/>
      <c r="LD579" s="13"/>
      <c r="LE579" s="11"/>
      <c r="LF579" s="12"/>
      <c r="LG579" s="12"/>
      <c r="LH579" s="11"/>
      <c r="LI579" s="13"/>
      <c r="LJ579" s="11"/>
      <c r="LK579" s="11"/>
      <c r="LL579" s="13"/>
      <c r="LM579" s="11"/>
      <c r="LN579" s="12"/>
      <c r="LO579" s="12"/>
      <c r="LP579" s="11"/>
      <c r="LQ579" s="13"/>
      <c r="LR579" s="11"/>
      <c r="LS579" s="11"/>
      <c r="LT579" s="13"/>
      <c r="LU579" s="11"/>
      <c r="LV579" s="12"/>
      <c r="LW579" s="12"/>
    </row>
    <row r="580">
      <c r="A580" s="10" t="s">
        <v>289</v>
      </c>
      <c r="B580" s="10" t="s">
        <v>98</v>
      </c>
      <c r="C580" s="10" t="s">
        <v>77</v>
      </c>
      <c r="D580" s="11">
        <v>49</v>
      </c>
      <c r="E580" s="11">
        <f>=ROUNDDOWN({0},0)</f>
      </c>
      <c r="F580" s="11"/>
      <c r="G580" s="12"/>
      <c r="H580" s="11"/>
      <c r="I580" s="11">
        <f>=ROUNDDOWN({0},0)</f>
      </c>
      <c r="J580" s="11"/>
      <c r="K580" s="12"/>
      <c r="L580" s="11">
        <v>40</v>
      </c>
      <c r="M580" s="13">
        <v>1235.16</v>
      </c>
      <c r="N580" s="11">
        <v>2</v>
      </c>
      <c r="O580" s="14">
        <v>617.58</v>
      </c>
      <c r="P580" s="11"/>
      <c r="Q580" s="13"/>
      <c r="R580" s="11"/>
      <c r="S580" s="14"/>
      <c r="T580" s="12"/>
      <c r="U580" s="12"/>
      <c r="V580" s="12"/>
      <c r="W580" s="12"/>
      <c r="X580" s="11">
        <v>8</v>
      </c>
      <c r="Y580" s="13">
        <v>219.2</v>
      </c>
      <c r="Z580" s="11">
        <v>2</v>
      </c>
      <c r="AA580" s="11"/>
      <c r="AB580" s="13"/>
      <c r="AC580" s="11"/>
      <c r="AD580" s="12"/>
      <c r="AE580" s="12"/>
      <c r="AF580" s="11">
        <v>8</v>
      </c>
      <c r="AG580" s="13">
        <v>180.16</v>
      </c>
      <c r="AH580" s="11">
        <v>2</v>
      </c>
      <c r="AI580" s="11"/>
      <c r="AJ580" s="13"/>
      <c r="AK580" s="11"/>
      <c r="AL580" s="12"/>
      <c r="AM580" s="12"/>
      <c r="AN580" s="11">
        <v>8</v>
      </c>
      <c r="AO580" s="13">
        <v>246.6</v>
      </c>
      <c r="AP580" s="11">
        <v>2</v>
      </c>
      <c r="AQ580" s="11"/>
      <c r="AR580" s="13"/>
      <c r="AS580" s="11"/>
      <c r="AT580" s="12"/>
      <c r="AU580" s="12"/>
      <c r="AV580" s="11"/>
      <c r="AW580" s="13"/>
      <c r="AX580" s="11"/>
      <c r="AY580" s="11"/>
      <c r="AZ580" s="13"/>
      <c r="BA580" s="11"/>
      <c r="BB580" s="12"/>
      <c r="BC580" s="12"/>
      <c r="BD580" s="11"/>
      <c r="BE580" s="13"/>
      <c r="BF580" s="11"/>
      <c r="BG580" s="11"/>
      <c r="BH580" s="13"/>
      <c r="BI580" s="11"/>
      <c r="BJ580" s="12"/>
      <c r="BK580" s="12"/>
      <c r="BL580" s="11">
        <v>2</v>
      </c>
      <c r="BM580" s="13">
        <v>64.04</v>
      </c>
      <c r="BN580" s="11">
        <v>2</v>
      </c>
      <c r="BO580" s="11"/>
      <c r="BP580" s="13"/>
      <c r="BQ580" s="11"/>
      <c r="BR580" s="12"/>
      <c r="BS580" s="12"/>
      <c r="BT580" s="11"/>
      <c r="BU580" s="13"/>
      <c r="BV580" s="11">
        <v>2</v>
      </c>
      <c r="BW580" s="11"/>
      <c r="BX580" s="13"/>
      <c r="BY580" s="11"/>
      <c r="BZ580" s="12"/>
      <c r="CA580" s="12"/>
      <c r="CB580" s="11">
        <v>10</v>
      </c>
      <c r="CC580" s="13">
        <v>270.2</v>
      </c>
      <c r="CD580" s="11">
        <v>2</v>
      </c>
      <c r="CE580" s="11"/>
      <c r="CF580" s="13"/>
      <c r="CG580" s="11"/>
      <c r="CH580" s="12"/>
      <c r="CI580" s="12"/>
      <c r="CJ580" s="11"/>
      <c r="CK580" s="13"/>
      <c r="CL580" s="11">
        <v>2</v>
      </c>
      <c r="CM580" s="11"/>
      <c r="CN580" s="13"/>
      <c r="CO580" s="11"/>
      <c r="CP580" s="12"/>
      <c r="CQ580" s="12"/>
      <c r="CR580" s="11"/>
      <c r="CS580" s="13"/>
      <c r="CT580" s="11"/>
      <c r="CU580" s="11"/>
      <c r="CV580" s="13"/>
      <c r="CW580" s="11"/>
      <c r="CX580" s="12"/>
      <c r="CY580" s="12"/>
      <c r="CZ580" s="11"/>
      <c r="DA580" s="13"/>
      <c r="DB580" s="11"/>
      <c r="DC580" s="11"/>
      <c r="DD580" s="13"/>
      <c r="DE580" s="11"/>
      <c r="DF580" s="12"/>
      <c r="DG580" s="12"/>
      <c r="DH580" s="11"/>
      <c r="DI580" s="13"/>
      <c r="DJ580" s="11"/>
      <c r="DK580" s="11"/>
      <c r="DL580" s="13"/>
      <c r="DM580" s="11"/>
      <c r="DN580" s="12"/>
      <c r="DO580" s="12"/>
      <c r="DP580" s="11"/>
      <c r="DQ580" s="13"/>
      <c r="DR580" s="11">
        <v>2</v>
      </c>
      <c r="DS580" s="11"/>
      <c r="DT580" s="13"/>
      <c r="DU580" s="11"/>
      <c r="DV580" s="12"/>
      <c r="DW580" s="12"/>
      <c r="DX580" s="11"/>
      <c r="DY580" s="13"/>
      <c r="DZ580" s="11"/>
      <c r="EA580" s="11"/>
      <c r="EB580" s="13"/>
      <c r="EC580" s="11"/>
      <c r="ED580" s="12"/>
      <c r="EE580" s="12"/>
      <c r="EF580" s="11"/>
      <c r="EG580" s="13"/>
      <c r="EH580" s="11"/>
      <c r="EI580" s="11"/>
      <c r="EJ580" s="13"/>
      <c r="EK580" s="11"/>
      <c r="EL580" s="12"/>
      <c r="EM580" s="12"/>
      <c r="EN580" s="11"/>
      <c r="EO580" s="13"/>
      <c r="EP580" s="11">
        <v>2</v>
      </c>
      <c r="EQ580" s="11"/>
      <c r="ER580" s="13"/>
      <c r="ES580" s="11"/>
      <c r="ET580" s="12"/>
      <c r="EU580" s="12"/>
      <c r="EV580" s="11"/>
      <c r="EW580" s="13"/>
      <c r="EX580" s="11"/>
      <c r="EY580" s="11"/>
      <c r="EZ580" s="13"/>
      <c r="FA580" s="11"/>
      <c r="FB580" s="12"/>
      <c r="FC580" s="12"/>
      <c r="FD580" s="11"/>
      <c r="FE580" s="13"/>
      <c r="FF580" s="11"/>
      <c r="FG580" s="11"/>
      <c r="FH580" s="13"/>
      <c r="FI580" s="11"/>
      <c r="FJ580" s="12"/>
      <c r="FK580" s="12"/>
      <c r="FL580" s="11"/>
      <c r="FM580" s="13"/>
      <c r="FN580" s="11"/>
      <c r="FO580" s="11"/>
      <c r="FP580" s="13"/>
      <c r="FQ580" s="11"/>
      <c r="FR580" s="12"/>
      <c r="FS580" s="12"/>
      <c r="FT580" s="11"/>
      <c r="FU580" s="13"/>
      <c r="FV580" s="11"/>
      <c r="FW580" s="11"/>
      <c r="FX580" s="13"/>
      <c r="FY580" s="11"/>
      <c r="FZ580" s="12"/>
      <c r="GA580" s="12"/>
      <c r="GB580" s="11"/>
      <c r="GC580" s="13"/>
      <c r="GD580" s="11"/>
      <c r="GE580" s="11"/>
      <c r="GF580" s="13"/>
      <c r="GG580" s="11"/>
      <c r="GH580" s="12"/>
      <c r="GI580" s="12"/>
      <c r="GJ580" s="11"/>
      <c r="GK580" s="13"/>
      <c r="GL580" s="11"/>
      <c r="GM580" s="11"/>
      <c r="GN580" s="13"/>
      <c r="GO580" s="11"/>
      <c r="GP580" s="12"/>
      <c r="GQ580" s="12"/>
      <c r="GR580" s="11"/>
      <c r="GS580" s="13"/>
      <c r="GT580" s="11"/>
      <c r="GU580" s="11"/>
      <c r="GV580" s="13"/>
      <c r="GW580" s="11"/>
      <c r="GX580" s="12"/>
      <c r="GY580" s="12"/>
      <c r="GZ580" s="11"/>
      <c r="HA580" s="13"/>
      <c r="HB580" s="11"/>
      <c r="HC580" s="11"/>
      <c r="HD580" s="13"/>
      <c r="HE580" s="11"/>
      <c r="HF580" s="12"/>
      <c r="HG580" s="12"/>
      <c r="HH580" s="11"/>
      <c r="HI580" s="13"/>
      <c r="HJ580" s="11"/>
      <c r="HK580" s="11"/>
      <c r="HL580" s="13"/>
      <c r="HM580" s="11"/>
      <c r="HN580" s="12"/>
      <c r="HO580" s="12"/>
      <c r="HP580" s="11"/>
      <c r="HQ580" s="13"/>
      <c r="HR580" s="11"/>
      <c r="HS580" s="11"/>
      <c r="HT580" s="13"/>
      <c r="HU580" s="11"/>
      <c r="HV580" s="12"/>
      <c r="HW580" s="12"/>
      <c r="HX580" s="11"/>
      <c r="HY580" s="13"/>
      <c r="HZ580" s="11"/>
      <c r="IA580" s="11"/>
      <c r="IB580" s="13"/>
      <c r="IC580" s="11"/>
      <c r="ID580" s="12"/>
      <c r="IE580" s="12"/>
      <c r="IF580" s="11"/>
      <c r="IG580" s="13"/>
      <c r="IH580" s="11"/>
      <c r="II580" s="11"/>
      <c r="IJ580" s="13"/>
      <c r="IK580" s="11"/>
      <c r="IL580" s="12"/>
      <c r="IM580" s="12"/>
      <c r="IN580" s="11">
        <v>4</v>
      </c>
      <c r="IO580" s="13">
        <v>254.96</v>
      </c>
      <c r="IP580" s="11">
        <v>2</v>
      </c>
      <c r="IQ580" s="11"/>
      <c r="IR580" s="13"/>
      <c r="IS580" s="11"/>
      <c r="IT580" s="12"/>
      <c r="IU580" s="12"/>
      <c r="IV580" s="11"/>
      <c r="IW580" s="13"/>
      <c r="IX580" s="11"/>
      <c r="IY580" s="11"/>
      <c r="IZ580" s="13"/>
      <c r="JA580" s="11"/>
      <c r="JB580" s="12"/>
      <c r="JC580" s="12"/>
      <c r="JD580" s="11"/>
      <c r="JE580" s="13"/>
      <c r="JF580" s="11"/>
      <c r="JG580" s="11"/>
      <c r="JH580" s="13"/>
      <c r="JI580" s="11"/>
      <c r="JJ580" s="12"/>
      <c r="JK580" s="12"/>
      <c r="JL580" s="11"/>
      <c r="JM580" s="13"/>
      <c r="JN580" s="11"/>
      <c r="JO580" s="11"/>
      <c r="JP580" s="13"/>
      <c r="JQ580" s="11"/>
      <c r="JR580" s="12"/>
      <c r="JS580" s="12"/>
      <c r="JT580" s="11"/>
      <c r="JU580" s="13"/>
      <c r="JV580" s="11"/>
      <c r="JW580" s="11"/>
      <c r="JX580" s="13"/>
      <c r="JY580" s="11"/>
      <c r="JZ580" s="12"/>
      <c r="KA580" s="12"/>
      <c r="KB580" s="11"/>
      <c r="KC580" s="13"/>
      <c r="KD580" s="11"/>
      <c r="KE580" s="11"/>
      <c r="KF580" s="13"/>
      <c r="KG580" s="11"/>
      <c r="KH580" s="12"/>
      <c r="KI580" s="12"/>
      <c r="KJ580" s="11"/>
      <c r="KK580" s="13"/>
      <c r="KL580" s="11"/>
      <c r="KM580" s="11"/>
      <c r="KN580" s="13"/>
      <c r="KO580" s="11"/>
      <c r="KP580" s="12"/>
      <c r="KQ580" s="12"/>
      <c r="KR580" s="11"/>
      <c r="KS580" s="13"/>
      <c r="KT580" s="11"/>
      <c r="KU580" s="11"/>
      <c r="KV580" s="13"/>
      <c r="KW580" s="11"/>
      <c r="KX580" s="12"/>
      <c r="KY580" s="12"/>
      <c r="KZ580" s="11"/>
      <c r="LA580" s="13"/>
      <c r="LB580" s="11"/>
      <c r="LC580" s="11"/>
      <c r="LD580" s="13"/>
      <c r="LE580" s="11"/>
      <c r="LF580" s="12"/>
      <c r="LG580" s="12"/>
      <c r="LH580" s="11"/>
      <c r="LI580" s="13"/>
      <c r="LJ580" s="11"/>
      <c r="LK580" s="11"/>
      <c r="LL580" s="13"/>
      <c r="LM580" s="11"/>
      <c r="LN580" s="12"/>
      <c r="LO580" s="12"/>
      <c r="LP580" s="11"/>
      <c r="LQ580" s="13"/>
      <c r="LR580" s="11"/>
      <c r="LS580" s="11"/>
      <c r="LT580" s="13"/>
      <c r="LU580" s="11"/>
      <c r="LV580" s="12"/>
      <c r="LW580" s="12"/>
    </row>
    <row r="581">
      <c r="A581" s="10" t="s">
        <v>289</v>
      </c>
      <c r="B581" s="10" t="s">
        <v>290</v>
      </c>
      <c r="C581" s="10" t="s">
        <v>101</v>
      </c>
      <c r="D581" s="11"/>
      <c r="E581" s="11">
        <f>=ROUNDDOWN({0},0)</f>
      </c>
      <c r="F581" s="11"/>
      <c r="G581" s="12"/>
      <c r="H581" s="11"/>
      <c r="I581" s="11">
        <f>=ROUNDDOWN({0},0)</f>
      </c>
      <c r="J581" s="11"/>
      <c r="K581" s="12"/>
      <c r="L581" s="11"/>
      <c r="M581" s="13"/>
      <c r="N581" s="11"/>
      <c r="O581" s="14"/>
      <c r="P581" s="11"/>
      <c r="Q581" s="13"/>
      <c r="R581" s="11"/>
      <c r="S581" s="14"/>
      <c r="T581" s="12"/>
      <c r="U581" s="12"/>
      <c r="V581" s="12"/>
      <c r="W581" s="12"/>
      <c r="X581" s="11"/>
      <c r="Y581" s="13"/>
      <c r="Z581" s="11"/>
      <c r="AA581" s="11"/>
      <c r="AB581" s="13"/>
      <c r="AC581" s="11"/>
      <c r="AD581" s="12"/>
      <c r="AE581" s="12"/>
      <c r="AF581" s="11"/>
      <c r="AG581" s="13"/>
      <c r="AH581" s="11"/>
      <c r="AI581" s="11"/>
      <c r="AJ581" s="13"/>
      <c r="AK581" s="11"/>
      <c r="AL581" s="12"/>
      <c r="AM581" s="12"/>
      <c r="AN581" s="11"/>
      <c r="AO581" s="13"/>
      <c r="AP581" s="11"/>
      <c r="AQ581" s="11"/>
      <c r="AR581" s="13"/>
      <c r="AS581" s="11"/>
      <c r="AT581" s="12"/>
      <c r="AU581" s="12"/>
      <c r="AV581" s="11"/>
      <c r="AW581" s="13"/>
      <c r="AX581" s="11"/>
      <c r="AY581" s="11"/>
      <c r="AZ581" s="13"/>
      <c r="BA581" s="11"/>
      <c r="BB581" s="12"/>
      <c r="BC581" s="12"/>
      <c r="BD581" s="11"/>
      <c r="BE581" s="13"/>
      <c r="BF581" s="11"/>
      <c r="BG581" s="11"/>
      <c r="BH581" s="13"/>
      <c r="BI581" s="11"/>
      <c r="BJ581" s="12"/>
      <c r="BK581" s="12"/>
      <c r="BL581" s="11"/>
      <c r="BM581" s="13"/>
      <c r="BN581" s="11"/>
      <c r="BO581" s="11"/>
      <c r="BP581" s="13"/>
      <c r="BQ581" s="11"/>
      <c r="BR581" s="12"/>
      <c r="BS581" s="12"/>
      <c r="BT581" s="11"/>
      <c r="BU581" s="13"/>
      <c r="BV581" s="11"/>
      <c r="BW581" s="11"/>
      <c r="BX581" s="13"/>
      <c r="BY581" s="11"/>
      <c r="BZ581" s="12"/>
      <c r="CA581" s="12"/>
      <c r="CB581" s="11"/>
      <c r="CC581" s="13"/>
      <c r="CD581" s="11"/>
      <c r="CE581" s="11"/>
      <c r="CF581" s="13"/>
      <c r="CG581" s="11"/>
      <c r="CH581" s="12"/>
      <c r="CI581" s="12"/>
      <c r="CJ581" s="11"/>
      <c r="CK581" s="13"/>
      <c r="CL581" s="11"/>
      <c r="CM581" s="11"/>
      <c r="CN581" s="13"/>
      <c r="CO581" s="11"/>
      <c r="CP581" s="12"/>
      <c r="CQ581" s="12"/>
      <c r="CR581" s="11"/>
      <c r="CS581" s="13"/>
      <c r="CT581" s="11"/>
      <c r="CU581" s="11"/>
      <c r="CV581" s="13"/>
      <c r="CW581" s="11"/>
      <c r="CX581" s="12"/>
      <c r="CY581" s="12"/>
      <c r="CZ581" s="11"/>
      <c r="DA581" s="13"/>
      <c r="DB581" s="11"/>
      <c r="DC581" s="11"/>
      <c r="DD581" s="13"/>
      <c r="DE581" s="11"/>
      <c r="DF581" s="12"/>
      <c r="DG581" s="12"/>
      <c r="DH581" s="11"/>
      <c r="DI581" s="13"/>
      <c r="DJ581" s="11"/>
      <c r="DK581" s="11"/>
      <c r="DL581" s="13"/>
      <c r="DM581" s="11"/>
      <c r="DN581" s="12"/>
      <c r="DO581" s="12"/>
      <c r="DP581" s="11"/>
      <c r="DQ581" s="13"/>
      <c r="DR581" s="11"/>
      <c r="DS581" s="11"/>
      <c r="DT581" s="13"/>
      <c r="DU581" s="11"/>
      <c r="DV581" s="12"/>
      <c r="DW581" s="12"/>
      <c r="DX581" s="11"/>
      <c r="DY581" s="13"/>
      <c r="DZ581" s="11"/>
      <c r="EA581" s="11"/>
      <c r="EB581" s="13"/>
      <c r="EC581" s="11"/>
      <c r="ED581" s="12"/>
      <c r="EE581" s="12"/>
      <c r="EF581" s="11"/>
      <c r="EG581" s="13"/>
      <c r="EH581" s="11"/>
      <c r="EI581" s="11"/>
      <c r="EJ581" s="13"/>
      <c r="EK581" s="11"/>
      <c r="EL581" s="12"/>
      <c r="EM581" s="12"/>
      <c r="EN581" s="11"/>
      <c r="EO581" s="13"/>
      <c r="EP581" s="11"/>
      <c r="EQ581" s="11"/>
      <c r="ER581" s="13"/>
      <c r="ES581" s="11"/>
      <c r="ET581" s="12"/>
      <c r="EU581" s="12"/>
      <c r="EV581" s="11"/>
      <c r="EW581" s="13"/>
      <c r="EX581" s="11"/>
      <c r="EY581" s="11"/>
      <c r="EZ581" s="13"/>
      <c r="FA581" s="11"/>
      <c r="FB581" s="12"/>
      <c r="FC581" s="12"/>
      <c r="FD581" s="11"/>
      <c r="FE581" s="13"/>
      <c r="FF581" s="11"/>
      <c r="FG581" s="11"/>
      <c r="FH581" s="13"/>
      <c r="FI581" s="11"/>
      <c r="FJ581" s="12"/>
      <c r="FK581" s="12"/>
      <c r="FL581" s="11"/>
      <c r="FM581" s="13"/>
      <c r="FN581" s="11"/>
      <c r="FO581" s="11"/>
      <c r="FP581" s="13"/>
      <c r="FQ581" s="11"/>
      <c r="FR581" s="12"/>
      <c r="FS581" s="12"/>
      <c r="FT581" s="11"/>
      <c r="FU581" s="13"/>
      <c r="FV581" s="11"/>
      <c r="FW581" s="11"/>
      <c r="FX581" s="13"/>
      <c r="FY581" s="11"/>
      <c r="FZ581" s="12"/>
      <c r="GA581" s="12"/>
      <c r="GB581" s="11"/>
      <c r="GC581" s="13"/>
      <c r="GD581" s="11"/>
      <c r="GE581" s="11"/>
      <c r="GF581" s="13"/>
      <c r="GG581" s="11"/>
      <c r="GH581" s="12"/>
      <c r="GI581" s="12"/>
      <c r="GJ581" s="11"/>
      <c r="GK581" s="13"/>
      <c r="GL581" s="11"/>
      <c r="GM581" s="11"/>
      <c r="GN581" s="13"/>
      <c r="GO581" s="11"/>
      <c r="GP581" s="12"/>
      <c r="GQ581" s="12"/>
      <c r="GR581" s="11"/>
      <c r="GS581" s="13"/>
      <c r="GT581" s="11"/>
      <c r="GU581" s="11"/>
      <c r="GV581" s="13"/>
      <c r="GW581" s="11"/>
      <c r="GX581" s="12"/>
      <c r="GY581" s="12"/>
      <c r="GZ581" s="11"/>
      <c r="HA581" s="13"/>
      <c r="HB581" s="11"/>
      <c r="HC581" s="11"/>
      <c r="HD581" s="13"/>
      <c r="HE581" s="11"/>
      <c r="HF581" s="12"/>
      <c r="HG581" s="12"/>
      <c r="HH581" s="11"/>
      <c r="HI581" s="13"/>
      <c r="HJ581" s="11"/>
      <c r="HK581" s="11"/>
      <c r="HL581" s="13"/>
      <c r="HM581" s="11"/>
      <c r="HN581" s="12"/>
      <c r="HO581" s="12"/>
      <c r="HP581" s="11"/>
      <c r="HQ581" s="13"/>
      <c r="HR581" s="11"/>
      <c r="HS581" s="11"/>
      <c r="HT581" s="13"/>
      <c r="HU581" s="11"/>
      <c r="HV581" s="12"/>
      <c r="HW581" s="12"/>
      <c r="HX581" s="11"/>
      <c r="HY581" s="13"/>
      <c r="HZ581" s="11"/>
      <c r="IA581" s="11"/>
      <c r="IB581" s="13"/>
      <c r="IC581" s="11"/>
      <c r="ID581" s="12"/>
      <c r="IE581" s="12"/>
      <c r="IF581" s="11"/>
      <c r="IG581" s="13"/>
      <c r="IH581" s="11"/>
      <c r="II581" s="11"/>
      <c r="IJ581" s="13"/>
      <c r="IK581" s="11"/>
      <c r="IL581" s="12"/>
      <c r="IM581" s="12"/>
      <c r="IN581" s="11"/>
      <c r="IO581" s="13"/>
      <c r="IP581" s="11"/>
      <c r="IQ581" s="11"/>
      <c r="IR581" s="13"/>
      <c r="IS581" s="11"/>
      <c r="IT581" s="12"/>
      <c r="IU581" s="12"/>
      <c r="IV581" s="11"/>
      <c r="IW581" s="13"/>
      <c r="IX581" s="11"/>
      <c r="IY581" s="11"/>
      <c r="IZ581" s="13"/>
      <c r="JA581" s="11"/>
      <c r="JB581" s="12"/>
      <c r="JC581" s="12"/>
      <c r="JD581" s="11"/>
      <c r="JE581" s="13"/>
      <c r="JF581" s="11"/>
      <c r="JG581" s="11"/>
      <c r="JH581" s="13"/>
      <c r="JI581" s="11"/>
      <c r="JJ581" s="12"/>
      <c r="JK581" s="12"/>
      <c r="JL581" s="11"/>
      <c r="JM581" s="13"/>
      <c r="JN581" s="11"/>
      <c r="JO581" s="11"/>
      <c r="JP581" s="13"/>
      <c r="JQ581" s="11"/>
      <c r="JR581" s="12"/>
      <c r="JS581" s="12"/>
      <c r="JT581" s="11"/>
      <c r="JU581" s="13"/>
      <c r="JV581" s="11"/>
      <c r="JW581" s="11"/>
      <c r="JX581" s="13"/>
      <c r="JY581" s="11"/>
      <c r="JZ581" s="12"/>
      <c r="KA581" s="12"/>
      <c r="KB581" s="11"/>
      <c r="KC581" s="13"/>
      <c r="KD581" s="11"/>
      <c r="KE581" s="11"/>
      <c r="KF581" s="13"/>
      <c r="KG581" s="11"/>
      <c r="KH581" s="12"/>
      <c r="KI581" s="12"/>
      <c r="KJ581" s="11"/>
      <c r="KK581" s="13"/>
      <c r="KL581" s="11"/>
      <c r="KM581" s="11"/>
      <c r="KN581" s="13"/>
      <c r="KO581" s="11"/>
      <c r="KP581" s="12"/>
      <c r="KQ581" s="12"/>
      <c r="KR581" s="11"/>
      <c r="KS581" s="13"/>
      <c r="KT581" s="11"/>
      <c r="KU581" s="11"/>
      <c r="KV581" s="13"/>
      <c r="KW581" s="11"/>
      <c r="KX581" s="12"/>
      <c r="KY581" s="12"/>
      <c r="KZ581" s="11"/>
      <c r="LA581" s="13"/>
      <c r="LB581" s="11"/>
      <c r="LC581" s="11"/>
      <c r="LD581" s="13"/>
      <c r="LE581" s="11"/>
      <c r="LF581" s="12"/>
      <c r="LG581" s="12"/>
      <c r="LH581" s="11"/>
      <c r="LI581" s="13"/>
      <c r="LJ581" s="11"/>
      <c r="LK581" s="11"/>
      <c r="LL581" s="13"/>
      <c r="LM581" s="11"/>
      <c r="LN581" s="12"/>
      <c r="LO581" s="12"/>
      <c r="LP581" s="11"/>
      <c r="LQ581" s="13"/>
      <c r="LR581" s="11"/>
      <c r="LS581" s="11"/>
      <c r="LT581" s="13"/>
      <c r="LU581" s="11"/>
      <c r="LV581" s="12"/>
      <c r="LW581" s="12"/>
    </row>
    <row r="582">
      <c r="A582" s="10" t="s">
        <v>289</v>
      </c>
      <c r="B582" s="10" t="s">
        <v>291</v>
      </c>
      <c r="C582" s="10" t="s">
        <v>77</v>
      </c>
      <c r="D582" s="11"/>
      <c r="E582" s="11">
        <f>=ROUNDDOWN({0},0)</f>
      </c>
      <c r="F582" s="11"/>
      <c r="G582" s="12"/>
      <c r="H582" s="11"/>
      <c r="I582" s="11">
        <f>=ROUNDDOWN({0},0)</f>
      </c>
      <c r="J582" s="11"/>
      <c r="K582" s="12"/>
      <c r="L582" s="11"/>
      <c r="M582" s="13"/>
      <c r="N582" s="11"/>
      <c r="O582" s="14"/>
      <c r="P582" s="11"/>
      <c r="Q582" s="13"/>
      <c r="R582" s="11"/>
      <c r="S582" s="14"/>
      <c r="T582" s="12"/>
      <c r="U582" s="12"/>
      <c r="V582" s="12"/>
      <c r="W582" s="12"/>
      <c r="X582" s="11"/>
      <c r="Y582" s="13"/>
      <c r="Z582" s="11"/>
      <c r="AA582" s="11"/>
      <c r="AB582" s="13"/>
      <c r="AC582" s="11"/>
      <c r="AD582" s="12"/>
      <c r="AE582" s="12"/>
      <c r="AF582" s="11"/>
      <c r="AG582" s="13"/>
      <c r="AH582" s="11"/>
      <c r="AI582" s="11"/>
      <c r="AJ582" s="13"/>
      <c r="AK582" s="11"/>
      <c r="AL582" s="12"/>
      <c r="AM582" s="12"/>
      <c r="AN582" s="11"/>
      <c r="AO582" s="13"/>
      <c r="AP582" s="11"/>
      <c r="AQ582" s="11"/>
      <c r="AR582" s="13"/>
      <c r="AS582" s="11"/>
      <c r="AT582" s="12"/>
      <c r="AU582" s="12"/>
      <c r="AV582" s="11"/>
      <c r="AW582" s="13"/>
      <c r="AX582" s="11"/>
      <c r="AY582" s="11"/>
      <c r="AZ582" s="13"/>
      <c r="BA582" s="11"/>
      <c r="BB582" s="12"/>
      <c r="BC582" s="12"/>
      <c r="BD582" s="11"/>
      <c r="BE582" s="13"/>
      <c r="BF582" s="11"/>
      <c r="BG582" s="11"/>
      <c r="BH582" s="13"/>
      <c r="BI582" s="11"/>
      <c r="BJ582" s="12"/>
      <c r="BK582" s="12"/>
      <c r="BL582" s="11"/>
      <c r="BM582" s="13"/>
      <c r="BN582" s="11"/>
      <c r="BO582" s="11"/>
      <c r="BP582" s="13"/>
      <c r="BQ582" s="11"/>
      <c r="BR582" s="12"/>
      <c r="BS582" s="12"/>
      <c r="BT582" s="11"/>
      <c r="BU582" s="13"/>
      <c r="BV582" s="11"/>
      <c r="BW582" s="11"/>
      <c r="BX582" s="13"/>
      <c r="BY582" s="11"/>
      <c r="BZ582" s="12"/>
      <c r="CA582" s="12"/>
      <c r="CB582" s="11"/>
      <c r="CC582" s="13"/>
      <c r="CD582" s="11"/>
      <c r="CE582" s="11"/>
      <c r="CF582" s="13"/>
      <c r="CG582" s="11"/>
      <c r="CH582" s="12"/>
      <c r="CI582" s="12"/>
      <c r="CJ582" s="11"/>
      <c r="CK582" s="13"/>
      <c r="CL582" s="11"/>
      <c r="CM582" s="11"/>
      <c r="CN582" s="13"/>
      <c r="CO582" s="11"/>
      <c r="CP582" s="12"/>
      <c r="CQ582" s="12"/>
      <c r="CR582" s="11"/>
      <c r="CS582" s="13"/>
      <c r="CT582" s="11"/>
      <c r="CU582" s="11"/>
      <c r="CV582" s="13"/>
      <c r="CW582" s="11"/>
      <c r="CX582" s="12"/>
      <c r="CY582" s="12"/>
      <c r="CZ582" s="11"/>
      <c r="DA582" s="13"/>
      <c r="DB582" s="11"/>
      <c r="DC582" s="11"/>
      <c r="DD582" s="13"/>
      <c r="DE582" s="11"/>
      <c r="DF582" s="12"/>
      <c r="DG582" s="12"/>
      <c r="DH582" s="11"/>
      <c r="DI582" s="13"/>
      <c r="DJ582" s="11"/>
      <c r="DK582" s="11"/>
      <c r="DL582" s="13"/>
      <c r="DM582" s="11"/>
      <c r="DN582" s="12"/>
      <c r="DO582" s="12"/>
      <c r="DP582" s="11"/>
      <c r="DQ582" s="13"/>
      <c r="DR582" s="11"/>
      <c r="DS582" s="11"/>
      <c r="DT582" s="13"/>
      <c r="DU582" s="11"/>
      <c r="DV582" s="12"/>
      <c r="DW582" s="12"/>
      <c r="DX582" s="11"/>
      <c r="DY582" s="13"/>
      <c r="DZ582" s="11"/>
      <c r="EA582" s="11"/>
      <c r="EB582" s="13"/>
      <c r="EC582" s="11"/>
      <c r="ED582" s="12"/>
      <c r="EE582" s="12"/>
      <c r="EF582" s="11"/>
      <c r="EG582" s="13"/>
      <c r="EH582" s="11"/>
      <c r="EI582" s="11"/>
      <c r="EJ582" s="13"/>
      <c r="EK582" s="11"/>
      <c r="EL582" s="12"/>
      <c r="EM582" s="12"/>
      <c r="EN582" s="11"/>
      <c r="EO582" s="13"/>
      <c r="EP582" s="11"/>
      <c r="EQ582" s="11"/>
      <c r="ER582" s="13"/>
      <c r="ES582" s="11"/>
      <c r="ET582" s="12"/>
      <c r="EU582" s="12"/>
      <c r="EV582" s="11"/>
      <c r="EW582" s="13"/>
      <c r="EX582" s="11"/>
      <c r="EY582" s="11"/>
      <c r="EZ582" s="13"/>
      <c r="FA582" s="11"/>
      <c r="FB582" s="12"/>
      <c r="FC582" s="12"/>
      <c r="FD582" s="11"/>
      <c r="FE582" s="13"/>
      <c r="FF582" s="11"/>
      <c r="FG582" s="11"/>
      <c r="FH582" s="13"/>
      <c r="FI582" s="11"/>
      <c r="FJ582" s="12"/>
      <c r="FK582" s="12"/>
      <c r="FL582" s="11"/>
      <c r="FM582" s="13"/>
      <c r="FN582" s="11"/>
      <c r="FO582" s="11"/>
      <c r="FP582" s="13"/>
      <c r="FQ582" s="11"/>
      <c r="FR582" s="12"/>
      <c r="FS582" s="12"/>
      <c r="FT582" s="11"/>
      <c r="FU582" s="13"/>
      <c r="FV582" s="11"/>
      <c r="FW582" s="11"/>
      <c r="FX582" s="13"/>
      <c r="FY582" s="11"/>
      <c r="FZ582" s="12"/>
      <c r="GA582" s="12"/>
      <c r="GB582" s="11"/>
      <c r="GC582" s="13"/>
      <c r="GD582" s="11"/>
      <c r="GE582" s="11"/>
      <c r="GF582" s="13"/>
      <c r="GG582" s="11"/>
      <c r="GH582" s="12"/>
      <c r="GI582" s="12"/>
      <c r="GJ582" s="11"/>
      <c r="GK582" s="13"/>
      <c r="GL582" s="11"/>
      <c r="GM582" s="11"/>
      <c r="GN582" s="13"/>
      <c r="GO582" s="11"/>
      <c r="GP582" s="12"/>
      <c r="GQ582" s="12"/>
      <c r="GR582" s="11"/>
      <c r="GS582" s="13"/>
      <c r="GT582" s="11"/>
      <c r="GU582" s="11"/>
      <c r="GV582" s="13"/>
      <c r="GW582" s="11"/>
      <c r="GX582" s="12"/>
      <c r="GY582" s="12"/>
      <c r="GZ582" s="11"/>
      <c r="HA582" s="13"/>
      <c r="HB582" s="11"/>
      <c r="HC582" s="11"/>
      <c r="HD582" s="13"/>
      <c r="HE582" s="11"/>
      <c r="HF582" s="12"/>
      <c r="HG582" s="12"/>
      <c r="HH582" s="11"/>
      <c r="HI582" s="13"/>
      <c r="HJ582" s="11"/>
      <c r="HK582" s="11"/>
      <c r="HL582" s="13"/>
      <c r="HM582" s="11"/>
      <c r="HN582" s="12"/>
      <c r="HO582" s="12"/>
      <c r="HP582" s="11"/>
      <c r="HQ582" s="13"/>
      <c r="HR582" s="11"/>
      <c r="HS582" s="11"/>
      <c r="HT582" s="13"/>
      <c r="HU582" s="11"/>
      <c r="HV582" s="12"/>
      <c r="HW582" s="12"/>
      <c r="HX582" s="11"/>
      <c r="HY582" s="13"/>
      <c r="HZ582" s="11"/>
      <c r="IA582" s="11"/>
      <c r="IB582" s="13"/>
      <c r="IC582" s="11"/>
      <c r="ID582" s="12"/>
      <c r="IE582" s="12"/>
      <c r="IF582" s="11"/>
      <c r="IG582" s="13"/>
      <c r="IH582" s="11"/>
      <c r="II582" s="11"/>
      <c r="IJ582" s="13"/>
      <c r="IK582" s="11"/>
      <c r="IL582" s="12"/>
      <c r="IM582" s="12"/>
      <c r="IN582" s="11"/>
      <c r="IO582" s="13"/>
      <c r="IP582" s="11"/>
      <c r="IQ582" s="11"/>
      <c r="IR582" s="13"/>
      <c r="IS582" s="11"/>
      <c r="IT582" s="12"/>
      <c r="IU582" s="12"/>
      <c r="IV582" s="11"/>
      <c r="IW582" s="13"/>
      <c r="IX582" s="11"/>
      <c r="IY582" s="11"/>
      <c r="IZ582" s="13"/>
      <c r="JA582" s="11"/>
      <c r="JB582" s="12"/>
      <c r="JC582" s="12"/>
      <c r="JD582" s="11"/>
      <c r="JE582" s="13"/>
      <c r="JF582" s="11"/>
      <c r="JG582" s="11"/>
      <c r="JH582" s="13"/>
      <c r="JI582" s="11"/>
      <c r="JJ582" s="12"/>
      <c r="JK582" s="12"/>
      <c r="JL582" s="11"/>
      <c r="JM582" s="13"/>
      <c r="JN582" s="11"/>
      <c r="JO582" s="11"/>
      <c r="JP582" s="13"/>
      <c r="JQ582" s="11"/>
      <c r="JR582" s="12"/>
      <c r="JS582" s="12"/>
      <c r="JT582" s="11"/>
      <c r="JU582" s="13"/>
      <c r="JV582" s="11"/>
      <c r="JW582" s="11"/>
      <c r="JX582" s="13"/>
      <c r="JY582" s="11"/>
      <c r="JZ582" s="12"/>
      <c r="KA582" s="12"/>
      <c r="KB582" s="11"/>
      <c r="KC582" s="13"/>
      <c r="KD582" s="11"/>
      <c r="KE582" s="11"/>
      <c r="KF582" s="13"/>
      <c r="KG582" s="11"/>
      <c r="KH582" s="12"/>
      <c r="KI582" s="12"/>
      <c r="KJ582" s="11"/>
      <c r="KK582" s="13"/>
      <c r="KL582" s="11"/>
      <c r="KM582" s="11"/>
      <c r="KN582" s="13"/>
      <c r="KO582" s="11"/>
      <c r="KP582" s="12"/>
      <c r="KQ582" s="12"/>
      <c r="KR582" s="11"/>
      <c r="KS582" s="13"/>
      <c r="KT582" s="11"/>
      <c r="KU582" s="11"/>
      <c r="KV582" s="13"/>
      <c r="KW582" s="11"/>
      <c r="KX582" s="12"/>
      <c r="KY582" s="12"/>
      <c r="KZ582" s="11"/>
      <c r="LA582" s="13"/>
      <c r="LB582" s="11"/>
      <c r="LC582" s="11"/>
      <c r="LD582" s="13"/>
      <c r="LE582" s="11"/>
      <c r="LF582" s="12"/>
      <c r="LG582" s="12"/>
      <c r="LH582" s="11"/>
      <c r="LI582" s="13"/>
      <c r="LJ582" s="11"/>
      <c r="LK582" s="11"/>
      <c r="LL582" s="13"/>
      <c r="LM582" s="11"/>
      <c r="LN582" s="12"/>
      <c r="LO582" s="12"/>
      <c r="LP582" s="11"/>
      <c r="LQ582" s="13"/>
      <c r="LR582" s="11"/>
      <c r="LS582" s="11"/>
      <c r="LT582" s="13"/>
      <c r="LU582" s="11"/>
      <c r="LV582" s="12"/>
      <c r="LW582" s="12"/>
    </row>
    <row r="583">
      <c r="A583" s="10" t="s">
        <v>289</v>
      </c>
      <c r="B583" s="10" t="s">
        <v>105</v>
      </c>
      <c r="C583" s="10" t="s">
        <v>101</v>
      </c>
      <c r="D583" s="11"/>
      <c r="E583" s="11">
        <f>=ROUNDDOWN({0},0)</f>
      </c>
      <c r="F583" s="11"/>
      <c r="G583" s="12"/>
      <c r="H583" s="11"/>
      <c r="I583" s="11">
        <f>=ROUNDDOWN({0},0)</f>
      </c>
      <c r="J583" s="11"/>
      <c r="K583" s="12"/>
      <c r="L583" s="11"/>
      <c r="M583" s="13"/>
      <c r="N583" s="11"/>
      <c r="O583" s="14"/>
      <c r="P583" s="11"/>
      <c r="Q583" s="13"/>
      <c r="R583" s="11"/>
      <c r="S583" s="14"/>
      <c r="T583" s="12"/>
      <c r="U583" s="12"/>
      <c r="V583" s="12"/>
      <c r="W583" s="12"/>
      <c r="X583" s="11"/>
      <c r="Y583" s="13"/>
      <c r="Z583" s="11"/>
      <c r="AA583" s="11"/>
      <c r="AB583" s="13"/>
      <c r="AC583" s="11"/>
      <c r="AD583" s="12"/>
      <c r="AE583" s="12"/>
      <c r="AF583" s="11"/>
      <c r="AG583" s="13"/>
      <c r="AH583" s="11"/>
      <c r="AI583" s="11"/>
      <c r="AJ583" s="13"/>
      <c r="AK583" s="11"/>
      <c r="AL583" s="12"/>
      <c r="AM583" s="12"/>
      <c r="AN583" s="11"/>
      <c r="AO583" s="13"/>
      <c r="AP583" s="11"/>
      <c r="AQ583" s="11"/>
      <c r="AR583" s="13"/>
      <c r="AS583" s="11"/>
      <c r="AT583" s="12"/>
      <c r="AU583" s="12"/>
      <c r="AV583" s="11"/>
      <c r="AW583" s="13"/>
      <c r="AX583" s="11"/>
      <c r="AY583" s="11"/>
      <c r="AZ583" s="13"/>
      <c r="BA583" s="11"/>
      <c r="BB583" s="12"/>
      <c r="BC583" s="12"/>
      <c r="BD583" s="11"/>
      <c r="BE583" s="13"/>
      <c r="BF583" s="11"/>
      <c r="BG583" s="11"/>
      <c r="BH583" s="13"/>
      <c r="BI583" s="11"/>
      <c r="BJ583" s="12"/>
      <c r="BK583" s="12"/>
      <c r="BL583" s="11"/>
      <c r="BM583" s="13"/>
      <c r="BN583" s="11"/>
      <c r="BO583" s="11"/>
      <c r="BP583" s="13"/>
      <c r="BQ583" s="11"/>
      <c r="BR583" s="12"/>
      <c r="BS583" s="12"/>
      <c r="BT583" s="11"/>
      <c r="BU583" s="13"/>
      <c r="BV583" s="11"/>
      <c r="BW583" s="11"/>
      <c r="BX583" s="13"/>
      <c r="BY583" s="11"/>
      <c r="BZ583" s="12"/>
      <c r="CA583" s="12"/>
      <c r="CB583" s="11"/>
      <c r="CC583" s="13"/>
      <c r="CD583" s="11"/>
      <c r="CE583" s="11"/>
      <c r="CF583" s="13"/>
      <c r="CG583" s="11"/>
      <c r="CH583" s="12"/>
      <c r="CI583" s="12"/>
      <c r="CJ583" s="11"/>
      <c r="CK583" s="13"/>
      <c r="CL583" s="11"/>
      <c r="CM583" s="11"/>
      <c r="CN583" s="13"/>
      <c r="CO583" s="11"/>
      <c r="CP583" s="12"/>
      <c r="CQ583" s="12"/>
      <c r="CR583" s="11"/>
      <c r="CS583" s="13"/>
      <c r="CT583" s="11"/>
      <c r="CU583" s="11"/>
      <c r="CV583" s="13"/>
      <c r="CW583" s="11"/>
      <c r="CX583" s="12"/>
      <c r="CY583" s="12"/>
      <c r="CZ583" s="11"/>
      <c r="DA583" s="13"/>
      <c r="DB583" s="11"/>
      <c r="DC583" s="11"/>
      <c r="DD583" s="13"/>
      <c r="DE583" s="11"/>
      <c r="DF583" s="12"/>
      <c r="DG583" s="12"/>
      <c r="DH583" s="11"/>
      <c r="DI583" s="13"/>
      <c r="DJ583" s="11"/>
      <c r="DK583" s="11"/>
      <c r="DL583" s="13"/>
      <c r="DM583" s="11"/>
      <c r="DN583" s="12"/>
      <c r="DO583" s="12"/>
      <c r="DP583" s="11"/>
      <c r="DQ583" s="13"/>
      <c r="DR583" s="11"/>
      <c r="DS583" s="11"/>
      <c r="DT583" s="13"/>
      <c r="DU583" s="11"/>
      <c r="DV583" s="12"/>
      <c r="DW583" s="12"/>
      <c r="DX583" s="11"/>
      <c r="DY583" s="13"/>
      <c r="DZ583" s="11"/>
      <c r="EA583" s="11"/>
      <c r="EB583" s="13"/>
      <c r="EC583" s="11"/>
      <c r="ED583" s="12"/>
      <c r="EE583" s="12"/>
      <c r="EF583" s="11"/>
      <c r="EG583" s="13"/>
      <c r="EH583" s="11"/>
      <c r="EI583" s="11"/>
      <c r="EJ583" s="13"/>
      <c r="EK583" s="11"/>
      <c r="EL583" s="12"/>
      <c r="EM583" s="12"/>
      <c r="EN583" s="11"/>
      <c r="EO583" s="13"/>
      <c r="EP583" s="11"/>
      <c r="EQ583" s="11"/>
      <c r="ER583" s="13"/>
      <c r="ES583" s="11"/>
      <c r="ET583" s="12"/>
      <c r="EU583" s="12"/>
      <c r="EV583" s="11"/>
      <c r="EW583" s="13"/>
      <c r="EX583" s="11"/>
      <c r="EY583" s="11"/>
      <c r="EZ583" s="13"/>
      <c r="FA583" s="11"/>
      <c r="FB583" s="12"/>
      <c r="FC583" s="12"/>
      <c r="FD583" s="11"/>
      <c r="FE583" s="13"/>
      <c r="FF583" s="11"/>
      <c r="FG583" s="11"/>
      <c r="FH583" s="13"/>
      <c r="FI583" s="11"/>
      <c r="FJ583" s="12"/>
      <c r="FK583" s="12"/>
      <c r="FL583" s="11"/>
      <c r="FM583" s="13"/>
      <c r="FN583" s="11"/>
      <c r="FO583" s="11"/>
      <c r="FP583" s="13"/>
      <c r="FQ583" s="11"/>
      <c r="FR583" s="12"/>
      <c r="FS583" s="12"/>
      <c r="FT583" s="11"/>
      <c r="FU583" s="13"/>
      <c r="FV583" s="11"/>
      <c r="FW583" s="11"/>
      <c r="FX583" s="13"/>
      <c r="FY583" s="11"/>
      <c r="FZ583" s="12"/>
      <c r="GA583" s="12"/>
      <c r="GB583" s="11"/>
      <c r="GC583" s="13"/>
      <c r="GD583" s="11"/>
      <c r="GE583" s="11"/>
      <c r="GF583" s="13"/>
      <c r="GG583" s="11"/>
      <c r="GH583" s="12"/>
      <c r="GI583" s="12"/>
      <c r="GJ583" s="11"/>
      <c r="GK583" s="13"/>
      <c r="GL583" s="11"/>
      <c r="GM583" s="11"/>
      <c r="GN583" s="13"/>
      <c r="GO583" s="11"/>
      <c r="GP583" s="12"/>
      <c r="GQ583" s="12"/>
      <c r="GR583" s="11"/>
      <c r="GS583" s="13"/>
      <c r="GT583" s="11"/>
      <c r="GU583" s="11"/>
      <c r="GV583" s="13"/>
      <c r="GW583" s="11"/>
      <c r="GX583" s="12"/>
      <c r="GY583" s="12"/>
      <c r="GZ583" s="11"/>
      <c r="HA583" s="13"/>
      <c r="HB583" s="11"/>
      <c r="HC583" s="11"/>
      <c r="HD583" s="13"/>
      <c r="HE583" s="11"/>
      <c r="HF583" s="12"/>
      <c r="HG583" s="12"/>
      <c r="HH583" s="11"/>
      <c r="HI583" s="13"/>
      <c r="HJ583" s="11"/>
      <c r="HK583" s="11"/>
      <c r="HL583" s="13"/>
      <c r="HM583" s="11"/>
      <c r="HN583" s="12"/>
      <c r="HO583" s="12"/>
      <c r="HP583" s="11"/>
      <c r="HQ583" s="13"/>
      <c r="HR583" s="11"/>
      <c r="HS583" s="11"/>
      <c r="HT583" s="13"/>
      <c r="HU583" s="11"/>
      <c r="HV583" s="12"/>
      <c r="HW583" s="12"/>
      <c r="HX583" s="11"/>
      <c r="HY583" s="13"/>
      <c r="HZ583" s="11"/>
      <c r="IA583" s="11"/>
      <c r="IB583" s="13"/>
      <c r="IC583" s="11"/>
      <c r="ID583" s="12"/>
      <c r="IE583" s="12"/>
      <c r="IF583" s="11"/>
      <c r="IG583" s="13"/>
      <c r="IH583" s="11"/>
      <c r="II583" s="11"/>
      <c r="IJ583" s="13"/>
      <c r="IK583" s="11"/>
      <c r="IL583" s="12"/>
      <c r="IM583" s="12"/>
      <c r="IN583" s="11"/>
      <c r="IO583" s="13"/>
      <c r="IP583" s="11"/>
      <c r="IQ583" s="11"/>
      <c r="IR583" s="13"/>
      <c r="IS583" s="11"/>
      <c r="IT583" s="12"/>
      <c r="IU583" s="12"/>
      <c r="IV583" s="11"/>
      <c r="IW583" s="13"/>
      <c r="IX583" s="11"/>
      <c r="IY583" s="11"/>
      <c r="IZ583" s="13"/>
      <c r="JA583" s="11"/>
      <c r="JB583" s="12"/>
      <c r="JC583" s="12"/>
      <c r="JD583" s="11"/>
      <c r="JE583" s="13"/>
      <c r="JF583" s="11"/>
      <c r="JG583" s="11"/>
      <c r="JH583" s="13"/>
      <c r="JI583" s="11"/>
      <c r="JJ583" s="12"/>
      <c r="JK583" s="12"/>
      <c r="JL583" s="11"/>
      <c r="JM583" s="13"/>
      <c r="JN583" s="11"/>
      <c r="JO583" s="11"/>
      <c r="JP583" s="13"/>
      <c r="JQ583" s="11"/>
      <c r="JR583" s="12"/>
      <c r="JS583" s="12"/>
      <c r="JT583" s="11"/>
      <c r="JU583" s="13"/>
      <c r="JV583" s="11"/>
      <c r="JW583" s="11"/>
      <c r="JX583" s="13"/>
      <c r="JY583" s="11"/>
      <c r="JZ583" s="12"/>
      <c r="KA583" s="12"/>
      <c r="KB583" s="11"/>
      <c r="KC583" s="13"/>
      <c r="KD583" s="11"/>
      <c r="KE583" s="11"/>
      <c r="KF583" s="13"/>
      <c r="KG583" s="11"/>
      <c r="KH583" s="12"/>
      <c r="KI583" s="12"/>
      <c r="KJ583" s="11"/>
      <c r="KK583" s="13"/>
      <c r="KL583" s="11"/>
      <c r="KM583" s="11"/>
      <c r="KN583" s="13"/>
      <c r="KO583" s="11"/>
      <c r="KP583" s="12"/>
      <c r="KQ583" s="12"/>
      <c r="KR583" s="11"/>
      <c r="KS583" s="13"/>
      <c r="KT583" s="11"/>
      <c r="KU583" s="11"/>
      <c r="KV583" s="13"/>
      <c r="KW583" s="11"/>
      <c r="KX583" s="12"/>
      <c r="KY583" s="12"/>
      <c r="KZ583" s="11"/>
      <c r="LA583" s="13"/>
      <c r="LB583" s="11"/>
      <c r="LC583" s="11"/>
      <c r="LD583" s="13"/>
      <c r="LE583" s="11"/>
      <c r="LF583" s="12"/>
      <c r="LG583" s="12"/>
      <c r="LH583" s="11"/>
      <c r="LI583" s="13"/>
      <c r="LJ583" s="11"/>
      <c r="LK583" s="11"/>
      <c r="LL583" s="13"/>
      <c r="LM583" s="11"/>
      <c r="LN583" s="12"/>
      <c r="LO583" s="12"/>
      <c r="LP583" s="11"/>
      <c r="LQ583" s="13"/>
      <c r="LR583" s="11"/>
      <c r="LS583" s="11"/>
      <c r="LT583" s="13"/>
      <c r="LU583" s="11"/>
      <c r="LV583" s="12"/>
      <c r="LW583" s="12"/>
    </row>
    <row r="584">
      <c r="A584" s="10" t="s">
        <v>289</v>
      </c>
      <c r="B584" s="10" t="s">
        <v>106</v>
      </c>
      <c r="C584" s="10" t="s">
        <v>77</v>
      </c>
      <c r="D584" s="11"/>
      <c r="E584" s="11">
        <f>=ROUNDDOWN({0},0)</f>
      </c>
      <c r="F584" s="11"/>
      <c r="G584" s="12"/>
      <c r="H584" s="11"/>
      <c r="I584" s="11">
        <f>=ROUNDDOWN({0},0)</f>
      </c>
      <c r="J584" s="11"/>
      <c r="K584" s="12"/>
      <c r="L584" s="11"/>
      <c r="M584" s="13"/>
      <c r="N584" s="11"/>
      <c r="O584" s="14"/>
      <c r="P584" s="11"/>
      <c r="Q584" s="13"/>
      <c r="R584" s="11"/>
      <c r="S584" s="14"/>
      <c r="T584" s="12"/>
      <c r="U584" s="12"/>
      <c r="V584" s="12"/>
      <c r="W584" s="12"/>
      <c r="X584" s="11"/>
      <c r="Y584" s="13"/>
      <c r="Z584" s="11"/>
      <c r="AA584" s="11"/>
      <c r="AB584" s="13"/>
      <c r="AC584" s="11"/>
      <c r="AD584" s="12"/>
      <c r="AE584" s="12"/>
      <c r="AF584" s="11"/>
      <c r="AG584" s="13"/>
      <c r="AH584" s="11"/>
      <c r="AI584" s="11"/>
      <c r="AJ584" s="13"/>
      <c r="AK584" s="11"/>
      <c r="AL584" s="12"/>
      <c r="AM584" s="12"/>
      <c r="AN584" s="11"/>
      <c r="AO584" s="13"/>
      <c r="AP584" s="11"/>
      <c r="AQ584" s="11"/>
      <c r="AR584" s="13"/>
      <c r="AS584" s="11"/>
      <c r="AT584" s="12"/>
      <c r="AU584" s="12"/>
      <c r="AV584" s="11"/>
      <c r="AW584" s="13"/>
      <c r="AX584" s="11"/>
      <c r="AY584" s="11"/>
      <c r="AZ584" s="13"/>
      <c r="BA584" s="11"/>
      <c r="BB584" s="12"/>
      <c r="BC584" s="12"/>
      <c r="BD584" s="11"/>
      <c r="BE584" s="13"/>
      <c r="BF584" s="11"/>
      <c r="BG584" s="11"/>
      <c r="BH584" s="13"/>
      <c r="BI584" s="11"/>
      <c r="BJ584" s="12"/>
      <c r="BK584" s="12"/>
      <c r="BL584" s="11"/>
      <c r="BM584" s="13"/>
      <c r="BN584" s="11"/>
      <c r="BO584" s="11"/>
      <c r="BP584" s="13"/>
      <c r="BQ584" s="11"/>
      <c r="BR584" s="12"/>
      <c r="BS584" s="12"/>
      <c r="BT584" s="11"/>
      <c r="BU584" s="13"/>
      <c r="BV584" s="11"/>
      <c r="BW584" s="11"/>
      <c r="BX584" s="13"/>
      <c r="BY584" s="11"/>
      <c r="BZ584" s="12"/>
      <c r="CA584" s="12"/>
      <c r="CB584" s="11"/>
      <c r="CC584" s="13"/>
      <c r="CD584" s="11"/>
      <c r="CE584" s="11"/>
      <c r="CF584" s="13"/>
      <c r="CG584" s="11"/>
      <c r="CH584" s="12"/>
      <c r="CI584" s="12"/>
      <c r="CJ584" s="11"/>
      <c r="CK584" s="13"/>
      <c r="CL584" s="11"/>
      <c r="CM584" s="11"/>
      <c r="CN584" s="13"/>
      <c r="CO584" s="11"/>
      <c r="CP584" s="12"/>
      <c r="CQ584" s="12"/>
      <c r="CR584" s="11"/>
      <c r="CS584" s="13"/>
      <c r="CT584" s="11"/>
      <c r="CU584" s="11"/>
      <c r="CV584" s="13"/>
      <c r="CW584" s="11"/>
      <c r="CX584" s="12"/>
      <c r="CY584" s="12"/>
      <c r="CZ584" s="11"/>
      <c r="DA584" s="13"/>
      <c r="DB584" s="11"/>
      <c r="DC584" s="11"/>
      <c r="DD584" s="13"/>
      <c r="DE584" s="11"/>
      <c r="DF584" s="12"/>
      <c r="DG584" s="12"/>
      <c r="DH584" s="11"/>
      <c r="DI584" s="13"/>
      <c r="DJ584" s="11"/>
      <c r="DK584" s="11"/>
      <c r="DL584" s="13"/>
      <c r="DM584" s="11"/>
      <c r="DN584" s="12"/>
      <c r="DO584" s="12"/>
      <c r="DP584" s="11"/>
      <c r="DQ584" s="13"/>
      <c r="DR584" s="11"/>
      <c r="DS584" s="11"/>
      <c r="DT584" s="13"/>
      <c r="DU584" s="11"/>
      <c r="DV584" s="12"/>
      <c r="DW584" s="12"/>
      <c r="DX584" s="11"/>
      <c r="DY584" s="13"/>
      <c r="DZ584" s="11"/>
      <c r="EA584" s="11"/>
      <c r="EB584" s="13"/>
      <c r="EC584" s="11"/>
      <c r="ED584" s="12"/>
      <c r="EE584" s="12"/>
      <c r="EF584" s="11"/>
      <c r="EG584" s="13"/>
      <c r="EH584" s="11"/>
      <c r="EI584" s="11"/>
      <c r="EJ584" s="13"/>
      <c r="EK584" s="11"/>
      <c r="EL584" s="12"/>
      <c r="EM584" s="12"/>
      <c r="EN584" s="11"/>
      <c r="EO584" s="13"/>
      <c r="EP584" s="11"/>
      <c r="EQ584" s="11"/>
      <c r="ER584" s="13"/>
      <c r="ES584" s="11"/>
      <c r="ET584" s="12"/>
      <c r="EU584" s="12"/>
      <c r="EV584" s="11"/>
      <c r="EW584" s="13"/>
      <c r="EX584" s="11"/>
      <c r="EY584" s="11"/>
      <c r="EZ584" s="13"/>
      <c r="FA584" s="11"/>
      <c r="FB584" s="12"/>
      <c r="FC584" s="12"/>
      <c r="FD584" s="11"/>
      <c r="FE584" s="13"/>
      <c r="FF584" s="11"/>
      <c r="FG584" s="11"/>
      <c r="FH584" s="13"/>
      <c r="FI584" s="11"/>
      <c r="FJ584" s="12"/>
      <c r="FK584" s="12"/>
      <c r="FL584" s="11"/>
      <c r="FM584" s="13"/>
      <c r="FN584" s="11"/>
      <c r="FO584" s="11"/>
      <c r="FP584" s="13"/>
      <c r="FQ584" s="11"/>
      <c r="FR584" s="12"/>
      <c r="FS584" s="12"/>
      <c r="FT584" s="11"/>
      <c r="FU584" s="13"/>
      <c r="FV584" s="11"/>
      <c r="FW584" s="11"/>
      <c r="FX584" s="13"/>
      <c r="FY584" s="11"/>
      <c r="FZ584" s="12"/>
      <c r="GA584" s="12"/>
      <c r="GB584" s="11"/>
      <c r="GC584" s="13"/>
      <c r="GD584" s="11"/>
      <c r="GE584" s="11"/>
      <c r="GF584" s="13"/>
      <c r="GG584" s="11"/>
      <c r="GH584" s="12"/>
      <c r="GI584" s="12"/>
      <c r="GJ584" s="11"/>
      <c r="GK584" s="13"/>
      <c r="GL584" s="11"/>
      <c r="GM584" s="11"/>
      <c r="GN584" s="13"/>
      <c r="GO584" s="11"/>
      <c r="GP584" s="12"/>
      <c r="GQ584" s="12"/>
      <c r="GR584" s="11"/>
      <c r="GS584" s="13"/>
      <c r="GT584" s="11"/>
      <c r="GU584" s="11"/>
      <c r="GV584" s="13"/>
      <c r="GW584" s="11"/>
      <c r="GX584" s="12"/>
      <c r="GY584" s="12"/>
      <c r="GZ584" s="11"/>
      <c r="HA584" s="13"/>
      <c r="HB584" s="11"/>
      <c r="HC584" s="11"/>
      <c r="HD584" s="13"/>
      <c r="HE584" s="11"/>
      <c r="HF584" s="12"/>
      <c r="HG584" s="12"/>
      <c r="HH584" s="11"/>
      <c r="HI584" s="13"/>
      <c r="HJ584" s="11"/>
      <c r="HK584" s="11"/>
      <c r="HL584" s="13"/>
      <c r="HM584" s="11"/>
      <c r="HN584" s="12"/>
      <c r="HO584" s="12"/>
      <c r="HP584" s="11"/>
      <c r="HQ584" s="13"/>
      <c r="HR584" s="11"/>
      <c r="HS584" s="11"/>
      <c r="HT584" s="13"/>
      <c r="HU584" s="11"/>
      <c r="HV584" s="12"/>
      <c r="HW584" s="12"/>
      <c r="HX584" s="11"/>
      <c r="HY584" s="13"/>
      <c r="HZ584" s="11"/>
      <c r="IA584" s="11"/>
      <c r="IB584" s="13"/>
      <c r="IC584" s="11"/>
      <c r="ID584" s="12"/>
      <c r="IE584" s="12"/>
      <c r="IF584" s="11"/>
      <c r="IG584" s="13"/>
      <c r="IH584" s="11"/>
      <c r="II584" s="11"/>
      <c r="IJ584" s="13"/>
      <c r="IK584" s="11"/>
      <c r="IL584" s="12"/>
      <c r="IM584" s="12"/>
      <c r="IN584" s="11"/>
      <c r="IO584" s="13"/>
      <c r="IP584" s="11"/>
      <c r="IQ584" s="11"/>
      <c r="IR584" s="13"/>
      <c r="IS584" s="11"/>
      <c r="IT584" s="12"/>
      <c r="IU584" s="12"/>
      <c r="IV584" s="11"/>
      <c r="IW584" s="13"/>
      <c r="IX584" s="11"/>
      <c r="IY584" s="11"/>
      <c r="IZ584" s="13"/>
      <c r="JA584" s="11"/>
      <c r="JB584" s="12"/>
      <c r="JC584" s="12"/>
      <c r="JD584" s="11"/>
      <c r="JE584" s="13"/>
      <c r="JF584" s="11"/>
      <c r="JG584" s="11"/>
      <c r="JH584" s="13"/>
      <c r="JI584" s="11"/>
      <c r="JJ584" s="12"/>
      <c r="JK584" s="12"/>
      <c r="JL584" s="11"/>
      <c r="JM584" s="13"/>
      <c r="JN584" s="11"/>
      <c r="JO584" s="11"/>
      <c r="JP584" s="13"/>
      <c r="JQ584" s="11"/>
      <c r="JR584" s="12"/>
      <c r="JS584" s="12"/>
      <c r="JT584" s="11"/>
      <c r="JU584" s="13"/>
      <c r="JV584" s="11"/>
      <c r="JW584" s="11"/>
      <c r="JX584" s="13"/>
      <c r="JY584" s="11"/>
      <c r="JZ584" s="12"/>
      <c r="KA584" s="12"/>
      <c r="KB584" s="11"/>
      <c r="KC584" s="13"/>
      <c r="KD584" s="11"/>
      <c r="KE584" s="11"/>
      <c r="KF584" s="13"/>
      <c r="KG584" s="11"/>
      <c r="KH584" s="12"/>
      <c r="KI584" s="12"/>
      <c r="KJ584" s="11"/>
      <c r="KK584" s="13"/>
      <c r="KL584" s="11"/>
      <c r="KM584" s="11"/>
      <c r="KN584" s="13"/>
      <c r="KO584" s="11"/>
      <c r="KP584" s="12"/>
      <c r="KQ584" s="12"/>
      <c r="KR584" s="11"/>
      <c r="KS584" s="13"/>
      <c r="KT584" s="11"/>
      <c r="KU584" s="11"/>
      <c r="KV584" s="13"/>
      <c r="KW584" s="11"/>
      <c r="KX584" s="12"/>
      <c r="KY584" s="12"/>
      <c r="KZ584" s="11"/>
      <c r="LA584" s="13"/>
      <c r="LB584" s="11"/>
      <c r="LC584" s="11"/>
      <c r="LD584" s="13"/>
      <c r="LE584" s="11"/>
      <c r="LF584" s="12"/>
      <c r="LG584" s="12"/>
      <c r="LH584" s="11"/>
      <c r="LI584" s="13"/>
      <c r="LJ584" s="11"/>
      <c r="LK584" s="11"/>
      <c r="LL584" s="13"/>
      <c r="LM584" s="11"/>
      <c r="LN584" s="12"/>
      <c r="LO584" s="12"/>
      <c r="LP584" s="11"/>
      <c r="LQ584" s="13"/>
      <c r="LR584" s="11"/>
      <c r="LS584" s="11"/>
      <c r="LT584" s="13"/>
      <c r="LU584" s="11"/>
      <c r="LV584" s="12"/>
      <c r="LW584" s="12"/>
    </row>
    <row r="585">
      <c r="A585" s="10" t="s">
        <v>289</v>
      </c>
      <c r="B585" s="10" t="s">
        <v>107</v>
      </c>
      <c r="C585" s="10" t="s">
        <v>101</v>
      </c>
      <c r="D585" s="11">
        <v>24549</v>
      </c>
      <c r="E585" s="11">
        <f>=ROUNDDOWN(14.8108597285068,0)</f>
      </c>
      <c r="F585" s="11">
        <v>24928</v>
      </c>
      <c r="G585" s="12">
        <v>1</v>
      </c>
      <c r="H585" s="11"/>
      <c r="I585" s="11">
        <f>=ROUNDDOWN({0},0)</f>
      </c>
      <c r="J585" s="11"/>
      <c r="K585" s="12"/>
      <c r="L585" s="11">
        <v>15819</v>
      </c>
      <c r="M585" s="13">
        <v>436279.05</v>
      </c>
      <c r="N585" s="11">
        <v>12</v>
      </c>
      <c r="O585" s="14">
        <v>36356.59</v>
      </c>
      <c r="P585" s="11"/>
      <c r="Q585" s="13"/>
      <c r="R585" s="11"/>
      <c r="S585" s="14"/>
      <c r="T585" s="12"/>
      <c r="U585" s="12"/>
      <c r="V585" s="12"/>
      <c r="W585" s="12"/>
      <c r="X585" s="11">
        <v>7599</v>
      </c>
      <c r="Y585" s="13">
        <v>211556.64</v>
      </c>
      <c r="Z585" s="11">
        <v>12</v>
      </c>
      <c r="AA585" s="11"/>
      <c r="AB585" s="13"/>
      <c r="AC585" s="11"/>
      <c r="AD585" s="12"/>
      <c r="AE585" s="12"/>
      <c r="AF585" s="11">
        <v>4334</v>
      </c>
      <c r="AG585" s="13">
        <v>110766.21</v>
      </c>
      <c r="AH585" s="11">
        <v>12</v>
      </c>
      <c r="AI585" s="11"/>
      <c r="AJ585" s="13"/>
      <c r="AK585" s="11"/>
      <c r="AL585" s="12"/>
      <c r="AM585" s="12"/>
      <c r="AN585" s="11">
        <v>722</v>
      </c>
      <c r="AO585" s="13">
        <v>22085.84</v>
      </c>
      <c r="AP585" s="11">
        <v>12</v>
      </c>
      <c r="AQ585" s="11"/>
      <c r="AR585" s="13"/>
      <c r="AS585" s="11"/>
      <c r="AT585" s="12"/>
      <c r="AU585" s="12"/>
      <c r="AV585" s="11">
        <v>753</v>
      </c>
      <c r="AW585" s="13">
        <v>20821.54</v>
      </c>
      <c r="AX585" s="11">
        <v>2</v>
      </c>
      <c r="AY585" s="11"/>
      <c r="AZ585" s="13"/>
      <c r="BA585" s="11"/>
      <c r="BB585" s="12"/>
      <c r="BC585" s="12"/>
      <c r="BD585" s="11"/>
      <c r="BE585" s="13"/>
      <c r="BF585" s="11"/>
      <c r="BG585" s="11"/>
      <c r="BH585" s="13"/>
      <c r="BI585" s="11"/>
      <c r="BJ585" s="12"/>
      <c r="BK585" s="12"/>
      <c r="BL585" s="11">
        <v>1139</v>
      </c>
      <c r="BM585" s="13">
        <v>34327.43</v>
      </c>
      <c r="BN585" s="11">
        <v>11</v>
      </c>
      <c r="BO585" s="11"/>
      <c r="BP585" s="13"/>
      <c r="BQ585" s="11"/>
      <c r="BR585" s="12"/>
      <c r="BS585" s="12"/>
      <c r="BT585" s="11">
        <v>185</v>
      </c>
      <c r="BU585" s="13">
        <v>5672.18</v>
      </c>
      <c r="BV585" s="11">
        <v>12</v>
      </c>
      <c r="BW585" s="11"/>
      <c r="BX585" s="13"/>
      <c r="BY585" s="11"/>
      <c r="BZ585" s="12"/>
      <c r="CA585" s="12"/>
      <c r="CB585" s="11">
        <v>116</v>
      </c>
      <c r="CC585" s="13">
        <v>3202.68</v>
      </c>
      <c r="CD585" s="11">
        <v>10</v>
      </c>
      <c r="CE585" s="11"/>
      <c r="CF585" s="13"/>
      <c r="CG585" s="11"/>
      <c r="CH585" s="12"/>
      <c r="CI585" s="12"/>
      <c r="CJ585" s="11">
        <v>33</v>
      </c>
      <c r="CK585" s="13">
        <v>1579.47</v>
      </c>
      <c r="CL585" s="11">
        <v>12</v>
      </c>
      <c r="CM585" s="11"/>
      <c r="CN585" s="13"/>
      <c r="CO585" s="11"/>
      <c r="CP585" s="12"/>
      <c r="CQ585" s="12"/>
      <c r="CR585" s="11"/>
      <c r="CS585" s="13"/>
      <c r="CT585" s="11"/>
      <c r="CU585" s="11"/>
      <c r="CV585" s="13"/>
      <c r="CW585" s="11"/>
      <c r="CX585" s="12"/>
      <c r="CY585" s="12"/>
      <c r="CZ585" s="11">
        <v>133</v>
      </c>
      <c r="DA585" s="13">
        <v>3923.61</v>
      </c>
      <c r="DB585" s="11">
        <v>9</v>
      </c>
      <c r="DC585" s="11"/>
      <c r="DD585" s="13"/>
      <c r="DE585" s="11"/>
      <c r="DF585" s="12"/>
      <c r="DG585" s="12"/>
      <c r="DH585" s="11">
        <v>419</v>
      </c>
      <c r="DI585" s="13">
        <v>10380.92</v>
      </c>
      <c r="DJ585" s="11">
        <v>8</v>
      </c>
      <c r="DK585" s="11"/>
      <c r="DL585" s="13"/>
      <c r="DM585" s="11"/>
      <c r="DN585" s="12"/>
      <c r="DO585" s="12"/>
      <c r="DP585" s="11">
        <v>31</v>
      </c>
      <c r="DQ585" s="13">
        <v>874.07</v>
      </c>
      <c r="DR585" s="11">
        <v>8</v>
      </c>
      <c r="DS585" s="11"/>
      <c r="DT585" s="13"/>
      <c r="DU585" s="11"/>
      <c r="DV585" s="12"/>
      <c r="DW585" s="12"/>
      <c r="DX585" s="11">
        <v>333</v>
      </c>
      <c r="DY585" s="13">
        <v>9545.68</v>
      </c>
      <c r="DZ585" s="11">
        <v>5</v>
      </c>
      <c r="EA585" s="11"/>
      <c r="EB585" s="13"/>
      <c r="EC585" s="11"/>
      <c r="ED585" s="12"/>
      <c r="EE585" s="12"/>
      <c r="EF585" s="11"/>
      <c r="EG585" s="13"/>
      <c r="EH585" s="11"/>
      <c r="EI585" s="11"/>
      <c r="EJ585" s="13"/>
      <c r="EK585" s="11"/>
      <c r="EL585" s="12"/>
      <c r="EM585" s="12"/>
      <c r="EN585" s="11">
        <v>19</v>
      </c>
      <c r="EO585" s="13">
        <v>1464.81</v>
      </c>
      <c r="EP585" s="11">
        <v>12</v>
      </c>
      <c r="EQ585" s="11"/>
      <c r="ER585" s="13"/>
      <c r="ES585" s="11"/>
      <c r="ET585" s="12"/>
      <c r="EU585" s="12"/>
      <c r="EV585" s="11"/>
      <c r="EW585" s="13"/>
      <c r="EX585" s="11"/>
      <c r="EY585" s="11"/>
      <c r="EZ585" s="13"/>
      <c r="FA585" s="11"/>
      <c r="FB585" s="12"/>
      <c r="FC585" s="12"/>
      <c r="FD585" s="11">
        <v>3</v>
      </c>
      <c r="FE585" s="13">
        <v>77.97</v>
      </c>
      <c r="FF585" s="11">
        <v>6</v>
      </c>
      <c r="FG585" s="11"/>
      <c r="FH585" s="13"/>
      <c r="FI585" s="11"/>
      <c r="FJ585" s="12"/>
      <c r="FK585" s="12"/>
      <c r="FL585" s="11"/>
      <c r="FM585" s="13"/>
      <c r="FN585" s="11"/>
      <c r="FO585" s="11"/>
      <c r="FP585" s="13"/>
      <c r="FQ585" s="11"/>
      <c r="FR585" s="12"/>
      <c r="FS585" s="12"/>
      <c r="FT585" s="11"/>
      <c r="FU585" s="13"/>
      <c r="FV585" s="11"/>
      <c r="FW585" s="11"/>
      <c r="FX585" s="13"/>
      <c r="FY585" s="11"/>
      <c r="FZ585" s="12"/>
      <c r="GA585" s="12"/>
      <c r="GB585" s="11"/>
      <c r="GC585" s="13"/>
      <c r="GD585" s="11"/>
      <c r="GE585" s="11"/>
      <c r="GF585" s="13"/>
      <c r="GG585" s="11"/>
      <c r="GH585" s="12"/>
      <c r="GI585" s="12"/>
      <c r="GJ585" s="11"/>
      <c r="GK585" s="13"/>
      <c r="GL585" s="11"/>
      <c r="GM585" s="11"/>
      <c r="GN585" s="13"/>
      <c r="GO585" s="11"/>
      <c r="GP585" s="12"/>
      <c r="GQ585" s="12"/>
      <c r="GR585" s="11"/>
      <c r="GS585" s="13"/>
      <c r="GT585" s="11">
        <v>5</v>
      </c>
      <c r="GU585" s="11"/>
      <c r="GV585" s="13"/>
      <c r="GW585" s="11"/>
      <c r="GX585" s="12"/>
      <c r="GY585" s="12"/>
      <c r="GZ585" s="11"/>
      <c r="HA585" s="13"/>
      <c r="HB585" s="11"/>
      <c r="HC585" s="11"/>
      <c r="HD585" s="13"/>
      <c r="HE585" s="11"/>
      <c r="HF585" s="12"/>
      <c r="HG585" s="12"/>
      <c r="HH585" s="11"/>
      <c r="HI585" s="13"/>
      <c r="HJ585" s="11"/>
      <c r="HK585" s="11"/>
      <c r="HL585" s="13"/>
      <c r="HM585" s="11"/>
      <c r="HN585" s="12"/>
      <c r="HO585" s="12"/>
      <c r="HP585" s="11"/>
      <c r="HQ585" s="13"/>
      <c r="HR585" s="11"/>
      <c r="HS585" s="11"/>
      <c r="HT585" s="13"/>
      <c r="HU585" s="11"/>
      <c r="HV585" s="12"/>
      <c r="HW585" s="12"/>
      <c r="HX585" s="11"/>
      <c r="HY585" s="13"/>
      <c r="HZ585" s="11"/>
      <c r="IA585" s="11"/>
      <c r="IB585" s="13"/>
      <c r="IC585" s="11"/>
      <c r="ID585" s="12"/>
      <c r="IE585" s="12"/>
      <c r="IF585" s="11"/>
      <c r="IG585" s="13"/>
      <c r="IH585" s="11"/>
      <c r="II585" s="11"/>
      <c r="IJ585" s="13"/>
      <c r="IK585" s="11"/>
      <c r="IL585" s="12"/>
      <c r="IM585" s="12"/>
      <c r="IN585" s="11"/>
      <c r="IO585" s="13"/>
      <c r="IP585" s="11"/>
      <c r="IQ585" s="11"/>
      <c r="IR585" s="13"/>
      <c r="IS585" s="11"/>
      <c r="IT585" s="12"/>
      <c r="IU585" s="12"/>
      <c r="IV585" s="11"/>
      <c r="IW585" s="13"/>
      <c r="IX585" s="11">
        <v>3</v>
      </c>
      <c r="IY585" s="11"/>
      <c r="IZ585" s="13"/>
      <c r="JA585" s="11"/>
      <c r="JB585" s="12"/>
      <c r="JC585" s="12"/>
      <c r="JD585" s="11"/>
      <c r="JE585" s="13"/>
      <c r="JF585" s="11"/>
      <c r="JG585" s="11"/>
      <c r="JH585" s="13"/>
      <c r="JI585" s="11"/>
      <c r="JJ585" s="12"/>
      <c r="JK585" s="12"/>
      <c r="JL585" s="11"/>
      <c r="JM585" s="13"/>
      <c r="JN585" s="11"/>
      <c r="JO585" s="11"/>
      <c r="JP585" s="13"/>
      <c r="JQ585" s="11"/>
      <c r="JR585" s="12"/>
      <c r="JS585" s="12"/>
      <c r="JT585" s="11"/>
      <c r="JU585" s="13"/>
      <c r="JV585" s="11"/>
      <c r="JW585" s="11"/>
      <c r="JX585" s="13"/>
      <c r="JY585" s="11"/>
      <c r="JZ585" s="12"/>
      <c r="KA585" s="12"/>
      <c r="KB585" s="11"/>
      <c r="KC585" s="13"/>
      <c r="KD585" s="11"/>
      <c r="KE585" s="11"/>
      <c r="KF585" s="13"/>
      <c r="KG585" s="11"/>
      <c r="KH585" s="12"/>
      <c r="KI585" s="12"/>
      <c r="KJ585" s="11"/>
      <c r="KK585" s="13"/>
      <c r="KL585" s="11"/>
      <c r="KM585" s="11"/>
      <c r="KN585" s="13"/>
      <c r="KO585" s="11"/>
      <c r="KP585" s="12"/>
      <c r="KQ585" s="12"/>
      <c r="KR585" s="11"/>
      <c r="KS585" s="13"/>
      <c r="KT585" s="11"/>
      <c r="KU585" s="11"/>
      <c r="KV585" s="13"/>
      <c r="KW585" s="11"/>
      <c r="KX585" s="12"/>
      <c r="KY585" s="12"/>
      <c r="KZ585" s="11"/>
      <c r="LA585" s="13"/>
      <c r="LB585" s="11"/>
      <c r="LC585" s="11"/>
      <c r="LD585" s="13"/>
      <c r="LE585" s="11"/>
      <c r="LF585" s="12"/>
      <c r="LG585" s="12"/>
      <c r="LH585" s="11"/>
      <c r="LI585" s="13"/>
      <c r="LJ585" s="11"/>
      <c r="LK585" s="11"/>
      <c r="LL585" s="13"/>
      <c r="LM585" s="11"/>
      <c r="LN585" s="12"/>
      <c r="LO585" s="12"/>
      <c r="LP585" s="11"/>
      <c r="LQ585" s="13"/>
      <c r="LR585" s="11"/>
      <c r="LS585" s="11"/>
      <c r="LT585" s="13"/>
      <c r="LU585" s="11"/>
      <c r="LV585" s="12"/>
      <c r="LW585" s="12"/>
    </row>
    <row r="586">
      <c r="A586" s="10" t="s">
        <v>289</v>
      </c>
      <c r="B586" s="10" t="s">
        <v>108</v>
      </c>
      <c r="C586" s="10" t="s">
        <v>77</v>
      </c>
      <c r="D586" s="11">
        <v>24549</v>
      </c>
      <c r="E586" s="11">
        <f>=ROUNDDOWN({0},0)</f>
      </c>
      <c r="F586" s="11">
        <v>24928</v>
      </c>
      <c r="G586" s="12"/>
      <c r="H586" s="11"/>
      <c r="I586" s="11">
        <f>=ROUNDDOWN({0},0)</f>
      </c>
      <c r="J586" s="11"/>
      <c r="K586" s="12"/>
      <c r="L586" s="11">
        <v>15819</v>
      </c>
      <c r="M586" s="13">
        <v>436279.05</v>
      </c>
      <c r="N586" s="11">
        <v>12</v>
      </c>
      <c r="O586" s="14">
        <v>36356.59</v>
      </c>
      <c r="P586" s="11"/>
      <c r="Q586" s="13"/>
      <c r="R586" s="11"/>
      <c r="S586" s="14"/>
      <c r="T586" s="12"/>
      <c r="U586" s="12"/>
      <c r="V586" s="12"/>
      <c r="W586" s="12"/>
      <c r="X586" s="11">
        <v>7599</v>
      </c>
      <c r="Y586" s="13">
        <v>211556.64</v>
      </c>
      <c r="Z586" s="11">
        <v>12</v>
      </c>
      <c r="AA586" s="11"/>
      <c r="AB586" s="13"/>
      <c r="AC586" s="11"/>
      <c r="AD586" s="12"/>
      <c r="AE586" s="12"/>
      <c r="AF586" s="11">
        <v>4334</v>
      </c>
      <c r="AG586" s="13">
        <v>110766.21</v>
      </c>
      <c r="AH586" s="11">
        <v>12</v>
      </c>
      <c r="AI586" s="11"/>
      <c r="AJ586" s="13"/>
      <c r="AK586" s="11"/>
      <c r="AL586" s="12"/>
      <c r="AM586" s="12"/>
      <c r="AN586" s="11">
        <v>722</v>
      </c>
      <c r="AO586" s="13">
        <v>22085.84</v>
      </c>
      <c r="AP586" s="11">
        <v>12</v>
      </c>
      <c r="AQ586" s="11"/>
      <c r="AR586" s="13"/>
      <c r="AS586" s="11"/>
      <c r="AT586" s="12"/>
      <c r="AU586" s="12"/>
      <c r="AV586" s="11">
        <v>753</v>
      </c>
      <c r="AW586" s="13">
        <v>20821.54</v>
      </c>
      <c r="AX586" s="11">
        <v>2</v>
      </c>
      <c r="AY586" s="11"/>
      <c r="AZ586" s="13"/>
      <c r="BA586" s="11"/>
      <c r="BB586" s="12"/>
      <c r="BC586" s="12"/>
      <c r="BD586" s="11"/>
      <c r="BE586" s="13"/>
      <c r="BF586" s="11"/>
      <c r="BG586" s="11"/>
      <c r="BH586" s="13"/>
      <c r="BI586" s="11"/>
      <c r="BJ586" s="12"/>
      <c r="BK586" s="12"/>
      <c r="BL586" s="11">
        <v>1139</v>
      </c>
      <c r="BM586" s="13">
        <v>34327.43</v>
      </c>
      <c r="BN586" s="11">
        <v>11</v>
      </c>
      <c r="BO586" s="11"/>
      <c r="BP586" s="13"/>
      <c r="BQ586" s="11"/>
      <c r="BR586" s="12"/>
      <c r="BS586" s="12"/>
      <c r="BT586" s="11">
        <v>185</v>
      </c>
      <c r="BU586" s="13">
        <v>5672.18</v>
      </c>
      <c r="BV586" s="11">
        <v>12</v>
      </c>
      <c r="BW586" s="11"/>
      <c r="BX586" s="13"/>
      <c r="BY586" s="11"/>
      <c r="BZ586" s="12"/>
      <c r="CA586" s="12"/>
      <c r="CB586" s="11">
        <v>116</v>
      </c>
      <c r="CC586" s="13">
        <v>3202.68</v>
      </c>
      <c r="CD586" s="11">
        <v>10</v>
      </c>
      <c r="CE586" s="11"/>
      <c r="CF586" s="13"/>
      <c r="CG586" s="11"/>
      <c r="CH586" s="12"/>
      <c r="CI586" s="12"/>
      <c r="CJ586" s="11">
        <v>33</v>
      </c>
      <c r="CK586" s="13">
        <v>1579.47</v>
      </c>
      <c r="CL586" s="11">
        <v>12</v>
      </c>
      <c r="CM586" s="11"/>
      <c r="CN586" s="13"/>
      <c r="CO586" s="11"/>
      <c r="CP586" s="12"/>
      <c r="CQ586" s="12"/>
      <c r="CR586" s="11"/>
      <c r="CS586" s="13"/>
      <c r="CT586" s="11"/>
      <c r="CU586" s="11"/>
      <c r="CV586" s="13"/>
      <c r="CW586" s="11"/>
      <c r="CX586" s="12"/>
      <c r="CY586" s="12"/>
      <c r="CZ586" s="11">
        <v>133</v>
      </c>
      <c r="DA586" s="13">
        <v>3923.61</v>
      </c>
      <c r="DB586" s="11">
        <v>9</v>
      </c>
      <c r="DC586" s="11"/>
      <c r="DD586" s="13"/>
      <c r="DE586" s="11"/>
      <c r="DF586" s="12"/>
      <c r="DG586" s="12"/>
      <c r="DH586" s="11">
        <v>419</v>
      </c>
      <c r="DI586" s="13">
        <v>10380.92</v>
      </c>
      <c r="DJ586" s="11">
        <v>8</v>
      </c>
      <c r="DK586" s="11"/>
      <c r="DL586" s="13"/>
      <c r="DM586" s="11"/>
      <c r="DN586" s="12"/>
      <c r="DO586" s="12"/>
      <c r="DP586" s="11">
        <v>31</v>
      </c>
      <c r="DQ586" s="13">
        <v>874.07</v>
      </c>
      <c r="DR586" s="11">
        <v>8</v>
      </c>
      <c r="DS586" s="11"/>
      <c r="DT586" s="13"/>
      <c r="DU586" s="11"/>
      <c r="DV586" s="12"/>
      <c r="DW586" s="12"/>
      <c r="DX586" s="11">
        <v>333</v>
      </c>
      <c r="DY586" s="13">
        <v>9545.68</v>
      </c>
      <c r="DZ586" s="11">
        <v>5</v>
      </c>
      <c r="EA586" s="11"/>
      <c r="EB586" s="13"/>
      <c r="EC586" s="11"/>
      <c r="ED586" s="12"/>
      <c r="EE586" s="12"/>
      <c r="EF586" s="11"/>
      <c r="EG586" s="13"/>
      <c r="EH586" s="11"/>
      <c r="EI586" s="11"/>
      <c r="EJ586" s="13"/>
      <c r="EK586" s="11"/>
      <c r="EL586" s="12"/>
      <c r="EM586" s="12"/>
      <c r="EN586" s="11">
        <v>19</v>
      </c>
      <c r="EO586" s="13">
        <v>1464.81</v>
      </c>
      <c r="EP586" s="11">
        <v>12</v>
      </c>
      <c r="EQ586" s="11"/>
      <c r="ER586" s="13"/>
      <c r="ES586" s="11"/>
      <c r="ET586" s="12"/>
      <c r="EU586" s="12"/>
      <c r="EV586" s="11"/>
      <c r="EW586" s="13"/>
      <c r="EX586" s="11"/>
      <c r="EY586" s="11"/>
      <c r="EZ586" s="13"/>
      <c r="FA586" s="11"/>
      <c r="FB586" s="12"/>
      <c r="FC586" s="12"/>
      <c r="FD586" s="11">
        <v>3</v>
      </c>
      <c r="FE586" s="13">
        <v>77.97</v>
      </c>
      <c r="FF586" s="11">
        <v>6</v>
      </c>
      <c r="FG586" s="11"/>
      <c r="FH586" s="13"/>
      <c r="FI586" s="11"/>
      <c r="FJ586" s="12"/>
      <c r="FK586" s="12"/>
      <c r="FL586" s="11"/>
      <c r="FM586" s="13"/>
      <c r="FN586" s="11"/>
      <c r="FO586" s="11"/>
      <c r="FP586" s="13"/>
      <c r="FQ586" s="11"/>
      <c r="FR586" s="12"/>
      <c r="FS586" s="12"/>
      <c r="FT586" s="11"/>
      <c r="FU586" s="13"/>
      <c r="FV586" s="11"/>
      <c r="FW586" s="11"/>
      <c r="FX586" s="13"/>
      <c r="FY586" s="11"/>
      <c r="FZ586" s="12"/>
      <c r="GA586" s="12"/>
      <c r="GB586" s="11"/>
      <c r="GC586" s="13"/>
      <c r="GD586" s="11"/>
      <c r="GE586" s="11"/>
      <c r="GF586" s="13"/>
      <c r="GG586" s="11"/>
      <c r="GH586" s="12"/>
      <c r="GI586" s="12"/>
      <c r="GJ586" s="11"/>
      <c r="GK586" s="13"/>
      <c r="GL586" s="11"/>
      <c r="GM586" s="11"/>
      <c r="GN586" s="13"/>
      <c r="GO586" s="11"/>
      <c r="GP586" s="12"/>
      <c r="GQ586" s="12"/>
      <c r="GR586" s="11"/>
      <c r="GS586" s="13"/>
      <c r="GT586" s="11">
        <v>5</v>
      </c>
      <c r="GU586" s="11"/>
      <c r="GV586" s="13"/>
      <c r="GW586" s="11"/>
      <c r="GX586" s="12"/>
      <c r="GY586" s="12"/>
      <c r="GZ586" s="11"/>
      <c r="HA586" s="13"/>
      <c r="HB586" s="11"/>
      <c r="HC586" s="11"/>
      <c r="HD586" s="13"/>
      <c r="HE586" s="11"/>
      <c r="HF586" s="12"/>
      <c r="HG586" s="12"/>
      <c r="HH586" s="11"/>
      <c r="HI586" s="13"/>
      <c r="HJ586" s="11"/>
      <c r="HK586" s="11"/>
      <c r="HL586" s="13"/>
      <c r="HM586" s="11"/>
      <c r="HN586" s="12"/>
      <c r="HO586" s="12"/>
      <c r="HP586" s="11"/>
      <c r="HQ586" s="13"/>
      <c r="HR586" s="11"/>
      <c r="HS586" s="11"/>
      <c r="HT586" s="13"/>
      <c r="HU586" s="11"/>
      <c r="HV586" s="12"/>
      <c r="HW586" s="12"/>
      <c r="HX586" s="11"/>
      <c r="HY586" s="13"/>
      <c r="HZ586" s="11"/>
      <c r="IA586" s="11"/>
      <c r="IB586" s="13"/>
      <c r="IC586" s="11"/>
      <c r="ID586" s="12"/>
      <c r="IE586" s="12"/>
      <c r="IF586" s="11"/>
      <c r="IG586" s="13"/>
      <c r="IH586" s="11"/>
      <c r="II586" s="11"/>
      <c r="IJ586" s="13"/>
      <c r="IK586" s="11"/>
      <c r="IL586" s="12"/>
      <c r="IM586" s="12"/>
      <c r="IN586" s="11"/>
      <c r="IO586" s="13"/>
      <c r="IP586" s="11"/>
      <c r="IQ586" s="11"/>
      <c r="IR586" s="13"/>
      <c r="IS586" s="11"/>
      <c r="IT586" s="12"/>
      <c r="IU586" s="12"/>
      <c r="IV586" s="11"/>
      <c r="IW586" s="13"/>
      <c r="IX586" s="11">
        <v>3</v>
      </c>
      <c r="IY586" s="11"/>
      <c r="IZ586" s="13"/>
      <c r="JA586" s="11"/>
      <c r="JB586" s="12"/>
      <c r="JC586" s="12"/>
      <c r="JD586" s="11"/>
      <c r="JE586" s="13"/>
      <c r="JF586" s="11"/>
      <c r="JG586" s="11"/>
      <c r="JH586" s="13"/>
      <c r="JI586" s="11"/>
      <c r="JJ586" s="12"/>
      <c r="JK586" s="12"/>
      <c r="JL586" s="11"/>
      <c r="JM586" s="13"/>
      <c r="JN586" s="11"/>
      <c r="JO586" s="11"/>
      <c r="JP586" s="13"/>
      <c r="JQ586" s="11"/>
      <c r="JR586" s="12"/>
      <c r="JS586" s="12"/>
      <c r="JT586" s="11"/>
      <c r="JU586" s="13"/>
      <c r="JV586" s="11"/>
      <c r="JW586" s="11"/>
      <c r="JX586" s="13"/>
      <c r="JY586" s="11"/>
      <c r="JZ586" s="12"/>
      <c r="KA586" s="12"/>
      <c r="KB586" s="11"/>
      <c r="KC586" s="13"/>
      <c r="KD586" s="11"/>
      <c r="KE586" s="11"/>
      <c r="KF586" s="13"/>
      <c r="KG586" s="11"/>
      <c r="KH586" s="12"/>
      <c r="KI586" s="12"/>
      <c r="KJ586" s="11"/>
      <c r="KK586" s="13"/>
      <c r="KL586" s="11"/>
      <c r="KM586" s="11"/>
      <c r="KN586" s="13"/>
      <c r="KO586" s="11"/>
      <c r="KP586" s="12"/>
      <c r="KQ586" s="12"/>
      <c r="KR586" s="11"/>
      <c r="KS586" s="13"/>
      <c r="KT586" s="11"/>
      <c r="KU586" s="11"/>
      <c r="KV586" s="13"/>
      <c r="KW586" s="11"/>
      <c r="KX586" s="12"/>
      <c r="KY586" s="12"/>
      <c r="KZ586" s="11"/>
      <c r="LA586" s="13"/>
      <c r="LB586" s="11"/>
      <c r="LC586" s="11"/>
      <c r="LD586" s="13"/>
      <c r="LE586" s="11"/>
      <c r="LF586" s="12"/>
      <c r="LG586" s="12"/>
      <c r="LH586" s="11"/>
      <c r="LI586" s="13"/>
      <c r="LJ586" s="11"/>
      <c r="LK586" s="11"/>
      <c r="LL586" s="13"/>
      <c r="LM586" s="11"/>
      <c r="LN586" s="12"/>
      <c r="LO586" s="12"/>
      <c r="LP586" s="11"/>
      <c r="LQ586" s="13"/>
      <c r="LR586" s="11"/>
      <c r="LS586" s="11"/>
      <c r="LT586" s="13"/>
      <c r="LU586" s="11"/>
      <c r="LV586" s="12"/>
      <c r="LW586" s="12"/>
    </row>
    <row r="587">
      <c r="A587" s="10" t="s">
        <v>289</v>
      </c>
      <c r="B587" s="10" t="s">
        <v>111</v>
      </c>
      <c r="C587" s="10" t="s">
        <v>292</v>
      </c>
      <c r="D587" s="11">
        <v>22568</v>
      </c>
      <c r="E587" s="11">
        <f>=ROUNDDOWN(24.6106870229008,0)</f>
      </c>
      <c r="F587" s="11">
        <v>16575</v>
      </c>
      <c r="G587" s="12">
        <v>1</v>
      </c>
      <c r="H587" s="11"/>
      <c r="I587" s="11">
        <f>=ROUNDDOWN({0},0)</f>
      </c>
      <c r="J587" s="11"/>
      <c r="K587" s="12"/>
      <c r="L587" s="11">
        <v>10499</v>
      </c>
      <c r="M587" s="13">
        <v>251442.98</v>
      </c>
      <c r="N587" s="11">
        <v>17</v>
      </c>
      <c r="O587" s="14">
        <v>14790.76</v>
      </c>
      <c r="P587" s="11"/>
      <c r="Q587" s="13"/>
      <c r="R587" s="11"/>
      <c r="S587" s="14"/>
      <c r="T587" s="12"/>
      <c r="U587" s="12"/>
      <c r="V587" s="12"/>
      <c r="W587" s="12"/>
      <c r="X587" s="11">
        <v>7205</v>
      </c>
      <c r="Y587" s="13">
        <v>167428.83</v>
      </c>
      <c r="Z587" s="11">
        <v>17</v>
      </c>
      <c r="AA587" s="11"/>
      <c r="AB587" s="13"/>
      <c r="AC587" s="11"/>
      <c r="AD587" s="12"/>
      <c r="AE587" s="12"/>
      <c r="AF587" s="11">
        <v>989</v>
      </c>
      <c r="AG587" s="13">
        <v>21125.97</v>
      </c>
      <c r="AH587" s="11">
        <v>17</v>
      </c>
      <c r="AI587" s="11"/>
      <c r="AJ587" s="13"/>
      <c r="AK587" s="11"/>
      <c r="AL587" s="12"/>
      <c r="AM587" s="12"/>
      <c r="AN587" s="11">
        <v>64</v>
      </c>
      <c r="AO587" s="13">
        <v>1477.15</v>
      </c>
      <c r="AP587" s="11">
        <v>15</v>
      </c>
      <c r="AQ587" s="11"/>
      <c r="AR587" s="13"/>
      <c r="AS587" s="11"/>
      <c r="AT587" s="12"/>
      <c r="AU587" s="12"/>
      <c r="AV587" s="11">
        <v>841</v>
      </c>
      <c r="AW587" s="13">
        <v>23512.22</v>
      </c>
      <c r="AX587" s="11">
        <v>13</v>
      </c>
      <c r="AY587" s="11"/>
      <c r="AZ587" s="13"/>
      <c r="BA587" s="11"/>
      <c r="BB587" s="12"/>
      <c r="BC587" s="12"/>
      <c r="BD587" s="11">
        <v>637</v>
      </c>
      <c r="BE587" s="13">
        <v>17445.94</v>
      </c>
      <c r="BF587" s="11">
        <v>17</v>
      </c>
      <c r="BG587" s="11"/>
      <c r="BH587" s="13"/>
      <c r="BI587" s="11"/>
      <c r="BJ587" s="12"/>
      <c r="BK587" s="12"/>
      <c r="BL587" s="11">
        <v>161</v>
      </c>
      <c r="BM587" s="13">
        <v>3989.14</v>
      </c>
      <c r="BN587" s="11">
        <v>17</v>
      </c>
      <c r="BO587" s="11"/>
      <c r="BP587" s="13"/>
      <c r="BQ587" s="11"/>
      <c r="BR587" s="12"/>
      <c r="BS587" s="12"/>
      <c r="BT587" s="11">
        <v>76</v>
      </c>
      <c r="BU587" s="13">
        <v>2055.36</v>
      </c>
      <c r="BV587" s="11">
        <v>17</v>
      </c>
      <c r="BW587" s="11"/>
      <c r="BX587" s="13"/>
      <c r="BY587" s="11"/>
      <c r="BZ587" s="12"/>
      <c r="CA587" s="12"/>
      <c r="CB587" s="11">
        <v>30</v>
      </c>
      <c r="CC587" s="13">
        <v>762.35</v>
      </c>
      <c r="CD587" s="11">
        <v>14</v>
      </c>
      <c r="CE587" s="11"/>
      <c r="CF587" s="13"/>
      <c r="CG587" s="11"/>
      <c r="CH587" s="12"/>
      <c r="CI587" s="12"/>
      <c r="CJ587" s="11">
        <v>39</v>
      </c>
      <c r="CK587" s="13">
        <v>1671.97</v>
      </c>
      <c r="CL587" s="11">
        <v>17</v>
      </c>
      <c r="CM587" s="11"/>
      <c r="CN587" s="13"/>
      <c r="CO587" s="11"/>
      <c r="CP587" s="12"/>
      <c r="CQ587" s="12"/>
      <c r="CR587" s="11"/>
      <c r="CS587" s="13"/>
      <c r="CT587" s="11"/>
      <c r="CU587" s="11"/>
      <c r="CV587" s="13"/>
      <c r="CW587" s="11"/>
      <c r="CX587" s="12"/>
      <c r="CY587" s="12"/>
      <c r="CZ587" s="11">
        <v>4</v>
      </c>
      <c r="DA587" s="13">
        <v>91.28</v>
      </c>
      <c r="DB587" s="11">
        <v>4</v>
      </c>
      <c r="DC587" s="11"/>
      <c r="DD587" s="13"/>
      <c r="DE587" s="11"/>
      <c r="DF587" s="12"/>
      <c r="DG587" s="12"/>
      <c r="DH587" s="11">
        <v>31</v>
      </c>
      <c r="DI587" s="13">
        <v>1121.39</v>
      </c>
      <c r="DJ587" s="11">
        <v>10</v>
      </c>
      <c r="DK587" s="11"/>
      <c r="DL587" s="13"/>
      <c r="DM587" s="11"/>
      <c r="DN587" s="12"/>
      <c r="DO587" s="12"/>
      <c r="DP587" s="11">
        <v>5</v>
      </c>
      <c r="DQ587" s="13">
        <v>114.1</v>
      </c>
      <c r="DR587" s="11">
        <v>15</v>
      </c>
      <c r="DS587" s="11"/>
      <c r="DT587" s="13"/>
      <c r="DU587" s="11"/>
      <c r="DV587" s="12"/>
      <c r="DW587" s="12"/>
      <c r="DX587" s="11">
        <v>53</v>
      </c>
      <c r="DY587" s="13">
        <v>1929.67</v>
      </c>
      <c r="DZ587" s="11">
        <v>16</v>
      </c>
      <c r="EA587" s="11"/>
      <c r="EB587" s="13"/>
      <c r="EC587" s="11"/>
      <c r="ED587" s="12"/>
      <c r="EE587" s="12"/>
      <c r="EF587" s="11"/>
      <c r="EG587" s="13"/>
      <c r="EH587" s="11"/>
      <c r="EI587" s="11"/>
      <c r="EJ587" s="13"/>
      <c r="EK587" s="11"/>
      <c r="EL587" s="12"/>
      <c r="EM587" s="12"/>
      <c r="EN587" s="11">
        <v>4</v>
      </c>
      <c r="EO587" s="13">
        <v>89.98</v>
      </c>
      <c r="EP587" s="11">
        <v>17</v>
      </c>
      <c r="EQ587" s="11"/>
      <c r="ER587" s="13"/>
      <c r="ES587" s="11"/>
      <c r="ET587" s="12"/>
      <c r="EU587" s="12"/>
      <c r="EV587" s="11"/>
      <c r="EW587" s="13"/>
      <c r="EX587" s="11"/>
      <c r="EY587" s="11"/>
      <c r="EZ587" s="13"/>
      <c r="FA587" s="11"/>
      <c r="FB587" s="12"/>
      <c r="FC587" s="12"/>
      <c r="FD587" s="11"/>
      <c r="FE587" s="13"/>
      <c r="FF587" s="11"/>
      <c r="FG587" s="11"/>
      <c r="FH587" s="13"/>
      <c r="FI587" s="11"/>
      <c r="FJ587" s="12"/>
      <c r="FK587" s="12"/>
      <c r="FL587" s="11"/>
      <c r="FM587" s="13"/>
      <c r="FN587" s="11"/>
      <c r="FO587" s="11"/>
      <c r="FP587" s="13"/>
      <c r="FQ587" s="11"/>
      <c r="FR587" s="12"/>
      <c r="FS587" s="12"/>
      <c r="FT587" s="11"/>
      <c r="FU587" s="13"/>
      <c r="FV587" s="11"/>
      <c r="FW587" s="11"/>
      <c r="FX587" s="13"/>
      <c r="FY587" s="11"/>
      <c r="FZ587" s="12"/>
      <c r="GA587" s="12"/>
      <c r="GB587" s="11"/>
      <c r="GC587" s="13"/>
      <c r="GD587" s="11"/>
      <c r="GE587" s="11"/>
      <c r="GF587" s="13"/>
      <c r="GG587" s="11"/>
      <c r="GH587" s="12"/>
      <c r="GI587" s="12"/>
      <c r="GJ587" s="11"/>
      <c r="GK587" s="13"/>
      <c r="GL587" s="11"/>
      <c r="GM587" s="11"/>
      <c r="GN587" s="13"/>
      <c r="GO587" s="11"/>
      <c r="GP587" s="12"/>
      <c r="GQ587" s="12"/>
      <c r="GR587" s="11">
        <v>6</v>
      </c>
      <c r="GS587" s="13">
        <v>163.49</v>
      </c>
      <c r="GT587" s="11">
        <v>14</v>
      </c>
      <c r="GU587" s="11"/>
      <c r="GV587" s="13"/>
      <c r="GW587" s="11"/>
      <c r="GX587" s="12"/>
      <c r="GY587" s="12"/>
      <c r="GZ587" s="11"/>
      <c r="HA587" s="13"/>
      <c r="HB587" s="11"/>
      <c r="HC587" s="11"/>
      <c r="HD587" s="13"/>
      <c r="HE587" s="11"/>
      <c r="HF587" s="12"/>
      <c r="HG587" s="12"/>
      <c r="HH587" s="11">
        <v>354</v>
      </c>
      <c r="HI587" s="13">
        <v>8464.14</v>
      </c>
      <c r="HJ587" s="11"/>
      <c r="HK587" s="11"/>
      <c r="HL587" s="13"/>
      <c r="HM587" s="11"/>
      <c r="HN587" s="12"/>
      <c r="HO587" s="12"/>
      <c r="HP587" s="11"/>
      <c r="HQ587" s="13"/>
      <c r="HR587" s="11"/>
      <c r="HS587" s="11"/>
      <c r="HT587" s="13"/>
      <c r="HU587" s="11"/>
      <c r="HV587" s="12"/>
      <c r="HW587" s="12"/>
      <c r="HX587" s="11"/>
      <c r="HY587" s="13"/>
      <c r="HZ587" s="11"/>
      <c r="IA587" s="11"/>
      <c r="IB587" s="13"/>
      <c r="IC587" s="11"/>
      <c r="ID587" s="12"/>
      <c r="IE587" s="12"/>
      <c r="IF587" s="11"/>
      <c r="IG587" s="13"/>
      <c r="IH587" s="11"/>
      <c r="II587" s="11"/>
      <c r="IJ587" s="13"/>
      <c r="IK587" s="11"/>
      <c r="IL587" s="12"/>
      <c r="IM587" s="12"/>
      <c r="IN587" s="11"/>
      <c r="IO587" s="13"/>
      <c r="IP587" s="11"/>
      <c r="IQ587" s="11"/>
      <c r="IR587" s="13"/>
      <c r="IS587" s="11"/>
      <c r="IT587" s="12"/>
      <c r="IU587" s="12"/>
      <c r="IV587" s="11"/>
      <c r="IW587" s="13"/>
      <c r="IX587" s="11">
        <v>8</v>
      </c>
      <c r="IY587" s="11"/>
      <c r="IZ587" s="13"/>
      <c r="JA587" s="11"/>
      <c r="JB587" s="12"/>
      <c r="JC587" s="12"/>
      <c r="JD587" s="11"/>
      <c r="JE587" s="13"/>
      <c r="JF587" s="11"/>
      <c r="JG587" s="11"/>
      <c r="JH587" s="13"/>
      <c r="JI587" s="11"/>
      <c r="JJ587" s="12"/>
      <c r="JK587" s="12"/>
      <c r="JL587" s="11"/>
      <c r="JM587" s="13"/>
      <c r="JN587" s="11"/>
      <c r="JO587" s="11"/>
      <c r="JP587" s="13"/>
      <c r="JQ587" s="11"/>
      <c r="JR587" s="12"/>
      <c r="JS587" s="12"/>
      <c r="JT587" s="11"/>
      <c r="JU587" s="13"/>
      <c r="JV587" s="11"/>
      <c r="JW587" s="11"/>
      <c r="JX587" s="13"/>
      <c r="JY587" s="11"/>
      <c r="JZ587" s="12"/>
      <c r="KA587" s="12"/>
      <c r="KB587" s="11"/>
      <c r="KC587" s="13"/>
      <c r="KD587" s="11"/>
      <c r="KE587" s="11"/>
      <c r="KF587" s="13"/>
      <c r="KG587" s="11"/>
      <c r="KH587" s="12"/>
      <c r="KI587" s="12"/>
      <c r="KJ587" s="11"/>
      <c r="KK587" s="13"/>
      <c r="KL587" s="11"/>
      <c r="KM587" s="11"/>
      <c r="KN587" s="13"/>
      <c r="KO587" s="11"/>
      <c r="KP587" s="12"/>
      <c r="KQ587" s="12"/>
      <c r="KR587" s="11"/>
      <c r="KS587" s="13"/>
      <c r="KT587" s="11"/>
      <c r="KU587" s="11"/>
      <c r="KV587" s="13"/>
      <c r="KW587" s="11"/>
      <c r="KX587" s="12"/>
      <c r="KY587" s="12"/>
      <c r="KZ587" s="11"/>
      <c r="LA587" s="13"/>
      <c r="LB587" s="11"/>
      <c r="LC587" s="11"/>
      <c r="LD587" s="13"/>
      <c r="LE587" s="11"/>
      <c r="LF587" s="12"/>
      <c r="LG587" s="12"/>
      <c r="LH587" s="11"/>
      <c r="LI587" s="13"/>
      <c r="LJ587" s="11"/>
      <c r="LK587" s="11"/>
      <c r="LL587" s="13"/>
      <c r="LM587" s="11"/>
      <c r="LN587" s="12"/>
      <c r="LO587" s="12"/>
      <c r="LP587" s="11"/>
      <c r="LQ587" s="13"/>
      <c r="LR587" s="11"/>
      <c r="LS587" s="11"/>
      <c r="LT587" s="13"/>
      <c r="LU587" s="11"/>
      <c r="LV587" s="12"/>
      <c r="LW587" s="12"/>
    </row>
    <row r="588">
      <c r="A588" s="10" t="s">
        <v>289</v>
      </c>
      <c r="B588" s="10" t="s">
        <v>111</v>
      </c>
      <c r="C588" s="10" t="s">
        <v>101</v>
      </c>
      <c r="D588" s="11">
        <v>26890</v>
      </c>
      <c r="E588" s="11">
        <f>=ROUNDDOWN(61.2807657247037,0)</f>
      </c>
      <c r="F588" s="11">
        <v>4324</v>
      </c>
      <c r="G588" s="12">
        <v>0.9891</v>
      </c>
      <c r="H588" s="11"/>
      <c r="I588" s="11">
        <f>=ROUNDDOWN({0},0)</f>
      </c>
      <c r="J588" s="11"/>
      <c r="K588" s="12"/>
      <c r="L588" s="11">
        <v>5981</v>
      </c>
      <c r="M588" s="13">
        <v>118453.31</v>
      </c>
      <c r="N588" s="11">
        <v>28</v>
      </c>
      <c r="O588" s="14">
        <v>4230.48</v>
      </c>
      <c r="P588" s="11"/>
      <c r="Q588" s="13"/>
      <c r="R588" s="11"/>
      <c r="S588" s="14"/>
      <c r="T588" s="12"/>
      <c r="U588" s="12"/>
      <c r="V588" s="12"/>
      <c r="W588" s="12"/>
      <c r="X588" s="11">
        <v>2422</v>
      </c>
      <c r="Y588" s="13">
        <v>46757.63</v>
      </c>
      <c r="Z588" s="11">
        <v>27</v>
      </c>
      <c r="AA588" s="11"/>
      <c r="AB588" s="13"/>
      <c r="AC588" s="11"/>
      <c r="AD588" s="12"/>
      <c r="AE588" s="12"/>
      <c r="AF588" s="11">
        <v>876</v>
      </c>
      <c r="AG588" s="13">
        <v>16297.18</v>
      </c>
      <c r="AH588" s="11">
        <v>28</v>
      </c>
      <c r="AI588" s="11"/>
      <c r="AJ588" s="13"/>
      <c r="AK588" s="11"/>
      <c r="AL588" s="12"/>
      <c r="AM588" s="12"/>
      <c r="AN588" s="11">
        <v>576</v>
      </c>
      <c r="AO588" s="13">
        <v>11358.38</v>
      </c>
      <c r="AP588" s="11">
        <v>28</v>
      </c>
      <c r="AQ588" s="11"/>
      <c r="AR588" s="13"/>
      <c r="AS588" s="11"/>
      <c r="AT588" s="12"/>
      <c r="AU588" s="12"/>
      <c r="AV588" s="11">
        <v>373</v>
      </c>
      <c r="AW588" s="13">
        <v>6246.52</v>
      </c>
      <c r="AX588" s="11">
        <v>15</v>
      </c>
      <c r="AY588" s="11"/>
      <c r="AZ588" s="13"/>
      <c r="BA588" s="11"/>
      <c r="BB588" s="12"/>
      <c r="BC588" s="12"/>
      <c r="BD588" s="11"/>
      <c r="BE588" s="13"/>
      <c r="BF588" s="11"/>
      <c r="BG588" s="11"/>
      <c r="BH588" s="13"/>
      <c r="BI588" s="11"/>
      <c r="BJ588" s="12"/>
      <c r="BK588" s="12"/>
      <c r="BL588" s="11">
        <v>61</v>
      </c>
      <c r="BM588" s="13">
        <v>1647.8</v>
      </c>
      <c r="BN588" s="11">
        <v>23</v>
      </c>
      <c r="BO588" s="11"/>
      <c r="BP588" s="13"/>
      <c r="BQ588" s="11"/>
      <c r="BR588" s="12"/>
      <c r="BS588" s="12"/>
      <c r="BT588" s="11">
        <v>49</v>
      </c>
      <c r="BU588" s="13">
        <v>1052.51</v>
      </c>
      <c r="BV588" s="11">
        <v>28</v>
      </c>
      <c r="BW588" s="11"/>
      <c r="BX588" s="13"/>
      <c r="BY588" s="11"/>
      <c r="BZ588" s="12"/>
      <c r="CA588" s="12"/>
      <c r="CB588" s="11">
        <v>635</v>
      </c>
      <c r="CC588" s="13">
        <v>12993.66</v>
      </c>
      <c r="CD588" s="11">
        <v>28</v>
      </c>
      <c r="CE588" s="11"/>
      <c r="CF588" s="13"/>
      <c r="CG588" s="11"/>
      <c r="CH588" s="12"/>
      <c r="CI588" s="12"/>
      <c r="CJ588" s="11">
        <v>60</v>
      </c>
      <c r="CK588" s="13">
        <v>2826</v>
      </c>
      <c r="CL588" s="11">
        <v>28</v>
      </c>
      <c r="CM588" s="11"/>
      <c r="CN588" s="13"/>
      <c r="CO588" s="11"/>
      <c r="CP588" s="12"/>
      <c r="CQ588" s="12"/>
      <c r="CR588" s="11"/>
      <c r="CS588" s="13"/>
      <c r="CT588" s="11"/>
      <c r="CU588" s="11"/>
      <c r="CV588" s="13"/>
      <c r="CW588" s="11"/>
      <c r="CX588" s="12"/>
      <c r="CY588" s="12"/>
      <c r="CZ588" s="11">
        <v>10</v>
      </c>
      <c r="DA588" s="13">
        <v>139.36</v>
      </c>
      <c r="DB588" s="11">
        <v>3</v>
      </c>
      <c r="DC588" s="11"/>
      <c r="DD588" s="13"/>
      <c r="DE588" s="11"/>
      <c r="DF588" s="12"/>
      <c r="DG588" s="12"/>
      <c r="DH588" s="11">
        <v>17</v>
      </c>
      <c r="DI588" s="13">
        <v>300.63</v>
      </c>
      <c r="DJ588" s="11">
        <v>10</v>
      </c>
      <c r="DK588" s="11"/>
      <c r="DL588" s="13"/>
      <c r="DM588" s="11"/>
      <c r="DN588" s="12"/>
      <c r="DO588" s="12"/>
      <c r="DP588" s="11">
        <v>14</v>
      </c>
      <c r="DQ588" s="13">
        <v>310.15</v>
      </c>
      <c r="DR588" s="11">
        <v>27</v>
      </c>
      <c r="DS588" s="11"/>
      <c r="DT588" s="13"/>
      <c r="DU588" s="11"/>
      <c r="DV588" s="12"/>
      <c r="DW588" s="12"/>
      <c r="DX588" s="11">
        <v>45</v>
      </c>
      <c r="DY588" s="13">
        <v>840.15</v>
      </c>
      <c r="DZ588" s="11">
        <v>13</v>
      </c>
      <c r="EA588" s="11"/>
      <c r="EB588" s="13"/>
      <c r="EC588" s="11"/>
      <c r="ED588" s="12"/>
      <c r="EE588" s="12"/>
      <c r="EF588" s="11"/>
      <c r="EG588" s="13"/>
      <c r="EH588" s="11"/>
      <c r="EI588" s="11"/>
      <c r="EJ588" s="13"/>
      <c r="EK588" s="11"/>
      <c r="EL588" s="12"/>
      <c r="EM588" s="12"/>
      <c r="EN588" s="11">
        <v>787</v>
      </c>
      <c r="EO588" s="13">
        <v>16580.75</v>
      </c>
      <c r="EP588" s="11">
        <v>28</v>
      </c>
      <c r="EQ588" s="11"/>
      <c r="ER588" s="13"/>
      <c r="ES588" s="11"/>
      <c r="ET588" s="12"/>
      <c r="EU588" s="12"/>
      <c r="EV588" s="11">
        <v>11</v>
      </c>
      <c r="EW588" s="13">
        <v>178.12</v>
      </c>
      <c r="EX588" s="11">
        <v>7</v>
      </c>
      <c r="EY588" s="11"/>
      <c r="EZ588" s="13"/>
      <c r="FA588" s="11"/>
      <c r="FB588" s="12"/>
      <c r="FC588" s="12"/>
      <c r="FD588" s="11"/>
      <c r="FE588" s="13"/>
      <c r="FF588" s="11"/>
      <c r="FG588" s="11"/>
      <c r="FH588" s="13"/>
      <c r="FI588" s="11"/>
      <c r="FJ588" s="12"/>
      <c r="FK588" s="12"/>
      <c r="FL588" s="11"/>
      <c r="FM588" s="13"/>
      <c r="FN588" s="11"/>
      <c r="FO588" s="11"/>
      <c r="FP588" s="13"/>
      <c r="FQ588" s="11"/>
      <c r="FR588" s="12"/>
      <c r="FS588" s="12"/>
      <c r="FT588" s="11"/>
      <c r="FU588" s="13"/>
      <c r="FV588" s="11"/>
      <c r="FW588" s="11"/>
      <c r="FX588" s="13"/>
      <c r="FY588" s="11"/>
      <c r="FZ588" s="12"/>
      <c r="GA588" s="12"/>
      <c r="GB588" s="11">
        <v>18</v>
      </c>
      <c r="GC588" s="13">
        <v>387.03</v>
      </c>
      <c r="GD588" s="11">
        <v>12</v>
      </c>
      <c r="GE588" s="11"/>
      <c r="GF588" s="13"/>
      <c r="GG588" s="11"/>
      <c r="GH588" s="12"/>
      <c r="GI588" s="12"/>
      <c r="GJ588" s="11"/>
      <c r="GK588" s="13"/>
      <c r="GL588" s="11"/>
      <c r="GM588" s="11"/>
      <c r="GN588" s="13"/>
      <c r="GO588" s="11"/>
      <c r="GP588" s="12"/>
      <c r="GQ588" s="12"/>
      <c r="GR588" s="11">
        <v>4</v>
      </c>
      <c r="GS588" s="13">
        <v>83.36</v>
      </c>
      <c r="GT588" s="11">
        <v>17</v>
      </c>
      <c r="GU588" s="11"/>
      <c r="GV588" s="13"/>
      <c r="GW588" s="11"/>
      <c r="GX588" s="12"/>
      <c r="GY588" s="12"/>
      <c r="GZ588" s="11"/>
      <c r="HA588" s="13"/>
      <c r="HB588" s="11">
        <v>3</v>
      </c>
      <c r="HC588" s="11"/>
      <c r="HD588" s="13"/>
      <c r="HE588" s="11"/>
      <c r="HF588" s="12"/>
      <c r="HG588" s="12"/>
      <c r="HH588" s="11"/>
      <c r="HI588" s="13"/>
      <c r="HJ588" s="11"/>
      <c r="HK588" s="11"/>
      <c r="HL588" s="13"/>
      <c r="HM588" s="11"/>
      <c r="HN588" s="12"/>
      <c r="HO588" s="12"/>
      <c r="HP588" s="11"/>
      <c r="HQ588" s="13"/>
      <c r="HR588" s="11"/>
      <c r="HS588" s="11"/>
      <c r="HT588" s="13"/>
      <c r="HU588" s="11"/>
      <c r="HV588" s="12"/>
      <c r="HW588" s="12"/>
      <c r="HX588" s="11"/>
      <c r="HY588" s="13"/>
      <c r="HZ588" s="11"/>
      <c r="IA588" s="11"/>
      <c r="IB588" s="13"/>
      <c r="IC588" s="11"/>
      <c r="ID588" s="12"/>
      <c r="IE588" s="12"/>
      <c r="IF588" s="11"/>
      <c r="IG588" s="13"/>
      <c r="IH588" s="11"/>
      <c r="II588" s="11"/>
      <c r="IJ588" s="13"/>
      <c r="IK588" s="11"/>
      <c r="IL588" s="12"/>
      <c r="IM588" s="12"/>
      <c r="IN588" s="11"/>
      <c r="IO588" s="13"/>
      <c r="IP588" s="11"/>
      <c r="IQ588" s="11"/>
      <c r="IR588" s="13"/>
      <c r="IS588" s="11"/>
      <c r="IT588" s="12"/>
      <c r="IU588" s="12"/>
      <c r="IV588" s="11">
        <v>23</v>
      </c>
      <c r="IW588" s="13">
        <v>454.08</v>
      </c>
      <c r="IX588" s="11">
        <v>16</v>
      </c>
      <c r="IY588" s="11"/>
      <c r="IZ588" s="13"/>
      <c r="JA588" s="11"/>
      <c r="JB588" s="12"/>
      <c r="JC588" s="12"/>
      <c r="JD588" s="11"/>
      <c r="JE588" s="13"/>
      <c r="JF588" s="11"/>
      <c r="JG588" s="11"/>
      <c r="JH588" s="13"/>
      <c r="JI588" s="11"/>
      <c r="JJ588" s="12"/>
      <c r="JK588" s="12"/>
      <c r="JL588" s="11"/>
      <c r="JM588" s="13"/>
      <c r="JN588" s="11"/>
      <c r="JO588" s="11"/>
      <c r="JP588" s="13"/>
      <c r="JQ588" s="11"/>
      <c r="JR588" s="12"/>
      <c r="JS588" s="12"/>
      <c r="JT588" s="11"/>
      <c r="JU588" s="13"/>
      <c r="JV588" s="11">
        <v>5</v>
      </c>
      <c r="JW588" s="11"/>
      <c r="JX588" s="13"/>
      <c r="JY588" s="11"/>
      <c r="JZ588" s="12"/>
      <c r="KA588" s="12"/>
      <c r="KB588" s="11"/>
      <c r="KC588" s="13"/>
      <c r="KD588" s="11"/>
      <c r="KE588" s="11"/>
      <c r="KF588" s="13"/>
      <c r="KG588" s="11"/>
      <c r="KH588" s="12"/>
      <c r="KI588" s="12"/>
      <c r="KJ588" s="11"/>
      <c r="KK588" s="13"/>
      <c r="KL588" s="11"/>
      <c r="KM588" s="11"/>
      <c r="KN588" s="13"/>
      <c r="KO588" s="11"/>
      <c r="KP588" s="12"/>
      <c r="KQ588" s="12"/>
      <c r="KR588" s="11"/>
      <c r="KS588" s="13"/>
      <c r="KT588" s="11"/>
      <c r="KU588" s="11"/>
      <c r="KV588" s="13"/>
      <c r="KW588" s="11"/>
      <c r="KX588" s="12"/>
      <c r="KY588" s="12"/>
      <c r="KZ588" s="11"/>
      <c r="LA588" s="13"/>
      <c r="LB588" s="11"/>
      <c r="LC588" s="11"/>
      <c r="LD588" s="13"/>
      <c r="LE588" s="11"/>
      <c r="LF588" s="12"/>
      <c r="LG588" s="12"/>
      <c r="LH588" s="11"/>
      <c r="LI588" s="13"/>
      <c r="LJ588" s="11"/>
      <c r="LK588" s="11"/>
      <c r="LL588" s="13"/>
      <c r="LM588" s="11"/>
      <c r="LN588" s="12"/>
      <c r="LO588" s="12"/>
      <c r="LP588" s="11"/>
      <c r="LQ588" s="13"/>
      <c r="LR588" s="11"/>
      <c r="LS588" s="11"/>
      <c r="LT588" s="13"/>
      <c r="LU588" s="11"/>
      <c r="LV588" s="12"/>
      <c r="LW588" s="12"/>
    </row>
    <row r="589">
      <c r="A589" s="10" t="s">
        <v>289</v>
      </c>
      <c r="B589" s="10" t="s">
        <v>112</v>
      </c>
      <c r="C589" s="10" t="s">
        <v>77</v>
      </c>
      <c r="D589" s="11">
        <v>49458</v>
      </c>
      <c r="E589" s="11">
        <f>=ROUNDDOWN({0},0)</f>
      </c>
      <c r="F589" s="11">
        <v>20899</v>
      </c>
      <c r="G589" s="12"/>
      <c r="H589" s="11"/>
      <c r="I589" s="11">
        <f>=ROUNDDOWN({0},0)</f>
      </c>
      <c r="J589" s="11"/>
      <c r="K589" s="12"/>
      <c r="L589" s="11">
        <v>16480</v>
      </c>
      <c r="M589" s="13">
        <v>369896.29</v>
      </c>
      <c r="N589" s="11">
        <v>45</v>
      </c>
      <c r="O589" s="14">
        <v>8219.92</v>
      </c>
      <c r="P589" s="11"/>
      <c r="Q589" s="13"/>
      <c r="R589" s="11"/>
      <c r="S589" s="14"/>
      <c r="T589" s="12"/>
      <c r="U589" s="12"/>
      <c r="V589" s="12"/>
      <c r="W589" s="12"/>
      <c r="X589" s="11">
        <v>9627</v>
      </c>
      <c r="Y589" s="13">
        <v>214186.46</v>
      </c>
      <c r="Z589" s="11">
        <v>44</v>
      </c>
      <c r="AA589" s="11"/>
      <c r="AB589" s="13"/>
      <c r="AC589" s="11"/>
      <c r="AD589" s="12"/>
      <c r="AE589" s="12"/>
      <c r="AF589" s="11">
        <v>1865</v>
      </c>
      <c r="AG589" s="13">
        <v>37423.15</v>
      </c>
      <c r="AH589" s="11">
        <v>45</v>
      </c>
      <c r="AI589" s="11"/>
      <c r="AJ589" s="13"/>
      <c r="AK589" s="11"/>
      <c r="AL589" s="12"/>
      <c r="AM589" s="12"/>
      <c r="AN589" s="11">
        <v>640</v>
      </c>
      <c r="AO589" s="13">
        <v>12835.53</v>
      </c>
      <c r="AP589" s="11">
        <v>43</v>
      </c>
      <c r="AQ589" s="11"/>
      <c r="AR589" s="13"/>
      <c r="AS589" s="11"/>
      <c r="AT589" s="12"/>
      <c r="AU589" s="12"/>
      <c r="AV589" s="11">
        <v>1214</v>
      </c>
      <c r="AW589" s="13">
        <v>29758.74</v>
      </c>
      <c r="AX589" s="11">
        <v>28</v>
      </c>
      <c r="AY589" s="11"/>
      <c r="AZ589" s="13"/>
      <c r="BA589" s="11"/>
      <c r="BB589" s="12"/>
      <c r="BC589" s="12"/>
      <c r="BD589" s="11">
        <v>637</v>
      </c>
      <c r="BE589" s="13">
        <v>17445.94</v>
      </c>
      <c r="BF589" s="11">
        <v>17</v>
      </c>
      <c r="BG589" s="11"/>
      <c r="BH589" s="13"/>
      <c r="BI589" s="11"/>
      <c r="BJ589" s="12"/>
      <c r="BK589" s="12"/>
      <c r="BL589" s="11">
        <v>222</v>
      </c>
      <c r="BM589" s="13">
        <v>5636.94</v>
      </c>
      <c r="BN589" s="11">
        <v>40</v>
      </c>
      <c r="BO589" s="11"/>
      <c r="BP589" s="13"/>
      <c r="BQ589" s="11"/>
      <c r="BR589" s="12"/>
      <c r="BS589" s="12"/>
      <c r="BT589" s="11">
        <v>125</v>
      </c>
      <c r="BU589" s="13">
        <v>3107.87</v>
      </c>
      <c r="BV589" s="11">
        <v>45</v>
      </c>
      <c r="BW589" s="11"/>
      <c r="BX589" s="13"/>
      <c r="BY589" s="11"/>
      <c r="BZ589" s="12"/>
      <c r="CA589" s="12"/>
      <c r="CB589" s="11">
        <v>665</v>
      </c>
      <c r="CC589" s="13">
        <v>13756.01</v>
      </c>
      <c r="CD589" s="11">
        <v>42</v>
      </c>
      <c r="CE589" s="11"/>
      <c r="CF589" s="13"/>
      <c r="CG589" s="11"/>
      <c r="CH589" s="12"/>
      <c r="CI589" s="12"/>
      <c r="CJ589" s="11">
        <v>99</v>
      </c>
      <c r="CK589" s="13">
        <v>4497.97</v>
      </c>
      <c r="CL589" s="11">
        <v>45</v>
      </c>
      <c r="CM589" s="11"/>
      <c r="CN589" s="13"/>
      <c r="CO589" s="11"/>
      <c r="CP589" s="12"/>
      <c r="CQ589" s="12"/>
      <c r="CR589" s="11"/>
      <c r="CS589" s="13"/>
      <c r="CT589" s="11"/>
      <c r="CU589" s="11"/>
      <c r="CV589" s="13"/>
      <c r="CW589" s="11"/>
      <c r="CX589" s="12"/>
      <c r="CY589" s="12"/>
      <c r="CZ589" s="11">
        <v>14</v>
      </c>
      <c r="DA589" s="13">
        <v>230.64</v>
      </c>
      <c r="DB589" s="11">
        <v>7</v>
      </c>
      <c r="DC589" s="11"/>
      <c r="DD589" s="13"/>
      <c r="DE589" s="11"/>
      <c r="DF589" s="12"/>
      <c r="DG589" s="12"/>
      <c r="DH589" s="11">
        <v>48</v>
      </c>
      <c r="DI589" s="13">
        <v>1422.02</v>
      </c>
      <c r="DJ589" s="11">
        <v>20</v>
      </c>
      <c r="DK589" s="11"/>
      <c r="DL589" s="13"/>
      <c r="DM589" s="11"/>
      <c r="DN589" s="12"/>
      <c r="DO589" s="12"/>
      <c r="DP589" s="11">
        <v>19</v>
      </c>
      <c r="DQ589" s="13">
        <v>424.25</v>
      </c>
      <c r="DR589" s="11">
        <v>42</v>
      </c>
      <c r="DS589" s="11"/>
      <c r="DT589" s="13"/>
      <c r="DU589" s="11"/>
      <c r="DV589" s="12"/>
      <c r="DW589" s="12"/>
      <c r="DX589" s="11">
        <v>98</v>
      </c>
      <c r="DY589" s="13">
        <v>2769.82</v>
      </c>
      <c r="DZ589" s="11">
        <v>29</v>
      </c>
      <c r="EA589" s="11"/>
      <c r="EB589" s="13"/>
      <c r="EC589" s="11"/>
      <c r="ED589" s="12"/>
      <c r="EE589" s="12"/>
      <c r="EF589" s="11"/>
      <c r="EG589" s="13"/>
      <c r="EH589" s="11"/>
      <c r="EI589" s="11"/>
      <c r="EJ589" s="13"/>
      <c r="EK589" s="11"/>
      <c r="EL589" s="12"/>
      <c r="EM589" s="12"/>
      <c r="EN589" s="11">
        <v>791</v>
      </c>
      <c r="EO589" s="13">
        <v>16670.73</v>
      </c>
      <c r="EP589" s="11">
        <v>45</v>
      </c>
      <c r="EQ589" s="11"/>
      <c r="ER589" s="13"/>
      <c r="ES589" s="11"/>
      <c r="ET589" s="12"/>
      <c r="EU589" s="12"/>
      <c r="EV589" s="11">
        <v>11</v>
      </c>
      <c r="EW589" s="13">
        <v>178.12</v>
      </c>
      <c r="EX589" s="11">
        <v>7</v>
      </c>
      <c r="EY589" s="11"/>
      <c r="EZ589" s="13"/>
      <c r="FA589" s="11"/>
      <c r="FB589" s="12"/>
      <c r="FC589" s="12"/>
      <c r="FD589" s="11"/>
      <c r="FE589" s="13"/>
      <c r="FF589" s="11"/>
      <c r="FG589" s="11"/>
      <c r="FH589" s="13"/>
      <c r="FI589" s="11"/>
      <c r="FJ589" s="12"/>
      <c r="FK589" s="12"/>
      <c r="FL589" s="11"/>
      <c r="FM589" s="13"/>
      <c r="FN589" s="11"/>
      <c r="FO589" s="11"/>
      <c r="FP589" s="13"/>
      <c r="FQ589" s="11"/>
      <c r="FR589" s="12"/>
      <c r="FS589" s="12"/>
      <c r="FT589" s="11"/>
      <c r="FU589" s="13"/>
      <c r="FV589" s="11"/>
      <c r="FW589" s="11"/>
      <c r="FX589" s="13"/>
      <c r="FY589" s="11"/>
      <c r="FZ589" s="12"/>
      <c r="GA589" s="12"/>
      <c r="GB589" s="11">
        <v>18</v>
      </c>
      <c r="GC589" s="13">
        <v>387.03</v>
      </c>
      <c r="GD589" s="11">
        <v>12</v>
      </c>
      <c r="GE589" s="11"/>
      <c r="GF589" s="13"/>
      <c r="GG589" s="11"/>
      <c r="GH589" s="12"/>
      <c r="GI589" s="12"/>
      <c r="GJ589" s="11"/>
      <c r="GK589" s="13"/>
      <c r="GL589" s="11"/>
      <c r="GM589" s="11"/>
      <c r="GN589" s="13"/>
      <c r="GO589" s="11"/>
      <c r="GP589" s="12"/>
      <c r="GQ589" s="12"/>
      <c r="GR589" s="11">
        <v>10</v>
      </c>
      <c r="GS589" s="13">
        <v>246.85</v>
      </c>
      <c r="GT589" s="11">
        <v>31</v>
      </c>
      <c r="GU589" s="11"/>
      <c r="GV589" s="13"/>
      <c r="GW589" s="11"/>
      <c r="GX589" s="12"/>
      <c r="GY589" s="12"/>
      <c r="GZ589" s="11"/>
      <c r="HA589" s="13"/>
      <c r="HB589" s="11">
        <v>3</v>
      </c>
      <c r="HC589" s="11"/>
      <c r="HD589" s="13"/>
      <c r="HE589" s="11"/>
      <c r="HF589" s="12"/>
      <c r="HG589" s="12"/>
      <c r="HH589" s="11">
        <v>354</v>
      </c>
      <c r="HI589" s="13">
        <v>8464.14</v>
      </c>
      <c r="HJ589" s="11"/>
      <c r="HK589" s="11"/>
      <c r="HL589" s="13"/>
      <c r="HM589" s="11"/>
      <c r="HN589" s="12"/>
      <c r="HO589" s="12"/>
      <c r="HP589" s="11"/>
      <c r="HQ589" s="13"/>
      <c r="HR589" s="11"/>
      <c r="HS589" s="11"/>
      <c r="HT589" s="13"/>
      <c r="HU589" s="11"/>
      <c r="HV589" s="12"/>
      <c r="HW589" s="12"/>
      <c r="HX589" s="11"/>
      <c r="HY589" s="13"/>
      <c r="HZ589" s="11"/>
      <c r="IA589" s="11"/>
      <c r="IB589" s="13"/>
      <c r="IC589" s="11"/>
      <c r="ID589" s="12"/>
      <c r="IE589" s="12"/>
      <c r="IF589" s="11"/>
      <c r="IG589" s="13"/>
      <c r="IH589" s="11"/>
      <c r="II589" s="11"/>
      <c r="IJ589" s="13"/>
      <c r="IK589" s="11"/>
      <c r="IL589" s="12"/>
      <c r="IM589" s="12"/>
      <c r="IN589" s="11"/>
      <c r="IO589" s="13"/>
      <c r="IP589" s="11"/>
      <c r="IQ589" s="11"/>
      <c r="IR589" s="13"/>
      <c r="IS589" s="11"/>
      <c r="IT589" s="12"/>
      <c r="IU589" s="12"/>
      <c r="IV589" s="11">
        <v>23</v>
      </c>
      <c r="IW589" s="13">
        <v>454.08</v>
      </c>
      <c r="IX589" s="11">
        <v>24</v>
      </c>
      <c r="IY589" s="11"/>
      <c r="IZ589" s="13"/>
      <c r="JA589" s="11"/>
      <c r="JB589" s="12"/>
      <c r="JC589" s="12"/>
      <c r="JD589" s="11"/>
      <c r="JE589" s="13"/>
      <c r="JF589" s="11"/>
      <c r="JG589" s="11"/>
      <c r="JH589" s="13"/>
      <c r="JI589" s="11"/>
      <c r="JJ589" s="12"/>
      <c r="JK589" s="12"/>
      <c r="JL589" s="11"/>
      <c r="JM589" s="13"/>
      <c r="JN589" s="11"/>
      <c r="JO589" s="11"/>
      <c r="JP589" s="13"/>
      <c r="JQ589" s="11"/>
      <c r="JR589" s="12"/>
      <c r="JS589" s="12"/>
      <c r="JT589" s="11"/>
      <c r="JU589" s="13"/>
      <c r="JV589" s="11">
        <v>5</v>
      </c>
      <c r="JW589" s="11"/>
      <c r="JX589" s="13"/>
      <c r="JY589" s="11"/>
      <c r="JZ589" s="12"/>
      <c r="KA589" s="12"/>
      <c r="KB589" s="11"/>
      <c r="KC589" s="13"/>
      <c r="KD589" s="11"/>
      <c r="KE589" s="11"/>
      <c r="KF589" s="13"/>
      <c r="KG589" s="11"/>
      <c r="KH589" s="12"/>
      <c r="KI589" s="12"/>
      <c r="KJ589" s="11"/>
      <c r="KK589" s="13"/>
      <c r="KL589" s="11"/>
      <c r="KM589" s="11"/>
      <c r="KN589" s="13"/>
      <c r="KO589" s="11"/>
      <c r="KP589" s="12"/>
      <c r="KQ589" s="12"/>
      <c r="KR589" s="11"/>
      <c r="KS589" s="13"/>
      <c r="KT589" s="11"/>
      <c r="KU589" s="11"/>
      <c r="KV589" s="13"/>
      <c r="KW589" s="11"/>
      <c r="KX589" s="12"/>
      <c r="KY589" s="12"/>
      <c r="KZ589" s="11"/>
      <c r="LA589" s="13"/>
      <c r="LB589" s="11"/>
      <c r="LC589" s="11"/>
      <c r="LD589" s="13"/>
      <c r="LE589" s="11"/>
      <c r="LF589" s="12"/>
      <c r="LG589" s="12"/>
      <c r="LH589" s="11"/>
      <c r="LI589" s="13"/>
      <c r="LJ589" s="11"/>
      <c r="LK589" s="11"/>
      <c r="LL589" s="13"/>
      <c r="LM589" s="11"/>
      <c r="LN589" s="12"/>
      <c r="LO589" s="12"/>
      <c r="LP589" s="11"/>
      <c r="LQ589" s="13"/>
      <c r="LR589" s="11"/>
      <c r="LS589" s="11"/>
      <c r="LT589" s="13"/>
      <c r="LU589" s="11"/>
      <c r="LV589" s="12"/>
      <c r="LW589" s="12"/>
    </row>
    <row r="590">
      <c r="A590" s="10" t="s">
        <v>289</v>
      </c>
      <c r="B590" s="10" t="s">
        <v>113</v>
      </c>
      <c r="C590" s="10" t="s">
        <v>93</v>
      </c>
      <c r="D590" s="11">
        <v>1</v>
      </c>
      <c r="E590" s="11">
        <f>=ROUNDDOWN({0},0)</f>
      </c>
      <c r="F590" s="11"/>
      <c r="G590" s="12"/>
      <c r="H590" s="11"/>
      <c r="I590" s="11">
        <f>=ROUNDDOWN({0},0)</f>
      </c>
      <c r="J590" s="11"/>
      <c r="K590" s="12"/>
      <c r="L590" s="11">
        <v>26</v>
      </c>
      <c r="M590" s="13">
        <v>88.2</v>
      </c>
      <c r="N590" s="11"/>
      <c r="O590" s="14"/>
      <c r="P590" s="11"/>
      <c r="Q590" s="13"/>
      <c r="R590" s="11"/>
      <c r="S590" s="14"/>
      <c r="T590" s="12"/>
      <c r="U590" s="12"/>
      <c r="V590" s="12"/>
      <c r="W590" s="12"/>
      <c r="X590" s="11"/>
      <c r="Y590" s="13"/>
      <c r="Z590" s="11"/>
      <c r="AA590" s="11"/>
      <c r="AB590" s="13"/>
      <c r="AC590" s="11"/>
      <c r="AD590" s="12"/>
      <c r="AE590" s="12"/>
      <c r="AF590" s="11">
        <v>1</v>
      </c>
      <c r="AG590" s="13">
        <v>6.45</v>
      </c>
      <c r="AH590" s="11"/>
      <c r="AI590" s="11"/>
      <c r="AJ590" s="13"/>
      <c r="AK590" s="11"/>
      <c r="AL590" s="12"/>
      <c r="AM590" s="12"/>
      <c r="AN590" s="11"/>
      <c r="AO590" s="13"/>
      <c r="AP590" s="11"/>
      <c r="AQ590" s="11"/>
      <c r="AR590" s="13"/>
      <c r="AS590" s="11"/>
      <c r="AT590" s="12"/>
      <c r="AU590" s="12"/>
      <c r="AV590" s="11"/>
      <c r="AW590" s="13"/>
      <c r="AX590" s="11"/>
      <c r="AY590" s="11"/>
      <c r="AZ590" s="13"/>
      <c r="BA590" s="11"/>
      <c r="BB590" s="12"/>
      <c r="BC590" s="12"/>
      <c r="BD590" s="11"/>
      <c r="BE590" s="13"/>
      <c r="BF590" s="11"/>
      <c r="BG590" s="11"/>
      <c r="BH590" s="13"/>
      <c r="BI590" s="11"/>
      <c r="BJ590" s="12"/>
      <c r="BK590" s="12"/>
      <c r="BL590" s="11">
        <v>25</v>
      </c>
      <c r="BM590" s="13">
        <v>81.75</v>
      </c>
      <c r="BN590" s="11"/>
      <c r="BO590" s="11"/>
      <c r="BP590" s="13"/>
      <c r="BQ590" s="11"/>
      <c r="BR590" s="12"/>
      <c r="BS590" s="12"/>
      <c r="BT590" s="11"/>
      <c r="BU590" s="13"/>
      <c r="BV590" s="11"/>
      <c r="BW590" s="11"/>
      <c r="BX590" s="13"/>
      <c r="BY590" s="11"/>
      <c r="BZ590" s="12"/>
      <c r="CA590" s="12"/>
      <c r="CB590" s="11"/>
      <c r="CC590" s="13"/>
      <c r="CD590" s="11"/>
      <c r="CE590" s="11"/>
      <c r="CF590" s="13"/>
      <c r="CG590" s="11"/>
      <c r="CH590" s="12"/>
      <c r="CI590" s="12"/>
      <c r="CJ590" s="11"/>
      <c r="CK590" s="13"/>
      <c r="CL590" s="11"/>
      <c r="CM590" s="11"/>
      <c r="CN590" s="13"/>
      <c r="CO590" s="11"/>
      <c r="CP590" s="12"/>
      <c r="CQ590" s="12"/>
      <c r="CR590" s="11"/>
      <c r="CS590" s="13"/>
      <c r="CT590" s="11"/>
      <c r="CU590" s="11"/>
      <c r="CV590" s="13"/>
      <c r="CW590" s="11"/>
      <c r="CX590" s="12"/>
      <c r="CY590" s="12"/>
      <c r="CZ590" s="11"/>
      <c r="DA590" s="13"/>
      <c r="DB590" s="11"/>
      <c r="DC590" s="11"/>
      <c r="DD590" s="13"/>
      <c r="DE590" s="11"/>
      <c r="DF590" s="12"/>
      <c r="DG590" s="12"/>
      <c r="DH590" s="11"/>
      <c r="DI590" s="13"/>
      <c r="DJ590" s="11"/>
      <c r="DK590" s="11"/>
      <c r="DL590" s="13"/>
      <c r="DM590" s="11"/>
      <c r="DN590" s="12"/>
      <c r="DO590" s="12"/>
      <c r="DP590" s="11"/>
      <c r="DQ590" s="13"/>
      <c r="DR590" s="11"/>
      <c r="DS590" s="11"/>
      <c r="DT590" s="13"/>
      <c r="DU590" s="11"/>
      <c r="DV590" s="12"/>
      <c r="DW590" s="12"/>
      <c r="DX590" s="11"/>
      <c r="DY590" s="13"/>
      <c r="DZ590" s="11"/>
      <c r="EA590" s="11"/>
      <c r="EB590" s="13"/>
      <c r="EC590" s="11"/>
      <c r="ED590" s="12"/>
      <c r="EE590" s="12"/>
      <c r="EF590" s="11"/>
      <c r="EG590" s="13"/>
      <c r="EH590" s="11"/>
      <c r="EI590" s="11"/>
      <c r="EJ590" s="13"/>
      <c r="EK590" s="11"/>
      <c r="EL590" s="12"/>
      <c r="EM590" s="12"/>
      <c r="EN590" s="11"/>
      <c r="EO590" s="13"/>
      <c r="EP590" s="11"/>
      <c r="EQ590" s="11"/>
      <c r="ER590" s="13"/>
      <c r="ES590" s="11"/>
      <c r="ET590" s="12"/>
      <c r="EU590" s="12"/>
      <c r="EV590" s="11"/>
      <c r="EW590" s="13"/>
      <c r="EX590" s="11"/>
      <c r="EY590" s="11"/>
      <c r="EZ590" s="13"/>
      <c r="FA590" s="11"/>
      <c r="FB590" s="12"/>
      <c r="FC590" s="12"/>
      <c r="FD590" s="11"/>
      <c r="FE590" s="13"/>
      <c r="FF590" s="11"/>
      <c r="FG590" s="11"/>
      <c r="FH590" s="13"/>
      <c r="FI590" s="11"/>
      <c r="FJ590" s="12"/>
      <c r="FK590" s="12"/>
      <c r="FL590" s="11"/>
      <c r="FM590" s="13"/>
      <c r="FN590" s="11"/>
      <c r="FO590" s="11"/>
      <c r="FP590" s="13"/>
      <c r="FQ590" s="11"/>
      <c r="FR590" s="12"/>
      <c r="FS590" s="12"/>
      <c r="FT590" s="11"/>
      <c r="FU590" s="13"/>
      <c r="FV590" s="11"/>
      <c r="FW590" s="11"/>
      <c r="FX590" s="13"/>
      <c r="FY590" s="11"/>
      <c r="FZ590" s="12"/>
      <c r="GA590" s="12"/>
      <c r="GB590" s="11"/>
      <c r="GC590" s="13"/>
      <c r="GD590" s="11"/>
      <c r="GE590" s="11"/>
      <c r="GF590" s="13"/>
      <c r="GG590" s="11"/>
      <c r="GH590" s="12"/>
      <c r="GI590" s="12"/>
      <c r="GJ590" s="11"/>
      <c r="GK590" s="13"/>
      <c r="GL590" s="11"/>
      <c r="GM590" s="11"/>
      <c r="GN590" s="13"/>
      <c r="GO590" s="11"/>
      <c r="GP590" s="12"/>
      <c r="GQ590" s="12"/>
      <c r="GR590" s="11"/>
      <c r="GS590" s="13"/>
      <c r="GT590" s="11"/>
      <c r="GU590" s="11"/>
      <c r="GV590" s="13"/>
      <c r="GW590" s="11"/>
      <c r="GX590" s="12"/>
      <c r="GY590" s="12"/>
      <c r="GZ590" s="11"/>
      <c r="HA590" s="13"/>
      <c r="HB590" s="11"/>
      <c r="HC590" s="11"/>
      <c r="HD590" s="13"/>
      <c r="HE590" s="11"/>
      <c r="HF590" s="12"/>
      <c r="HG590" s="12"/>
      <c r="HH590" s="11"/>
      <c r="HI590" s="13"/>
      <c r="HJ590" s="11"/>
      <c r="HK590" s="11"/>
      <c r="HL590" s="13"/>
      <c r="HM590" s="11"/>
      <c r="HN590" s="12"/>
      <c r="HO590" s="12"/>
      <c r="HP590" s="11"/>
      <c r="HQ590" s="13"/>
      <c r="HR590" s="11"/>
      <c r="HS590" s="11"/>
      <c r="HT590" s="13"/>
      <c r="HU590" s="11"/>
      <c r="HV590" s="12"/>
      <c r="HW590" s="12"/>
      <c r="HX590" s="11"/>
      <c r="HY590" s="13"/>
      <c r="HZ590" s="11"/>
      <c r="IA590" s="11"/>
      <c r="IB590" s="13"/>
      <c r="IC590" s="11"/>
      <c r="ID590" s="12"/>
      <c r="IE590" s="12"/>
      <c r="IF590" s="11"/>
      <c r="IG590" s="13"/>
      <c r="IH590" s="11"/>
      <c r="II590" s="11"/>
      <c r="IJ590" s="13"/>
      <c r="IK590" s="11"/>
      <c r="IL590" s="12"/>
      <c r="IM590" s="12"/>
      <c r="IN590" s="11"/>
      <c r="IO590" s="13"/>
      <c r="IP590" s="11"/>
      <c r="IQ590" s="11"/>
      <c r="IR590" s="13"/>
      <c r="IS590" s="11"/>
      <c r="IT590" s="12"/>
      <c r="IU590" s="12"/>
      <c r="IV590" s="11"/>
      <c r="IW590" s="13"/>
      <c r="IX590" s="11"/>
      <c r="IY590" s="11"/>
      <c r="IZ590" s="13"/>
      <c r="JA590" s="11"/>
      <c r="JB590" s="12"/>
      <c r="JC590" s="12"/>
      <c r="JD590" s="11"/>
      <c r="JE590" s="13"/>
      <c r="JF590" s="11"/>
      <c r="JG590" s="11"/>
      <c r="JH590" s="13"/>
      <c r="JI590" s="11"/>
      <c r="JJ590" s="12"/>
      <c r="JK590" s="12"/>
      <c r="JL590" s="11"/>
      <c r="JM590" s="13"/>
      <c r="JN590" s="11"/>
      <c r="JO590" s="11"/>
      <c r="JP590" s="13"/>
      <c r="JQ590" s="11"/>
      <c r="JR590" s="12"/>
      <c r="JS590" s="12"/>
      <c r="JT590" s="11"/>
      <c r="JU590" s="13"/>
      <c r="JV590" s="11"/>
      <c r="JW590" s="11"/>
      <c r="JX590" s="13"/>
      <c r="JY590" s="11"/>
      <c r="JZ590" s="12"/>
      <c r="KA590" s="12"/>
      <c r="KB590" s="11"/>
      <c r="KC590" s="13"/>
      <c r="KD590" s="11"/>
      <c r="KE590" s="11"/>
      <c r="KF590" s="13"/>
      <c r="KG590" s="11"/>
      <c r="KH590" s="12"/>
      <c r="KI590" s="12"/>
      <c r="KJ590" s="11"/>
      <c r="KK590" s="13"/>
      <c r="KL590" s="11"/>
      <c r="KM590" s="11"/>
      <c r="KN590" s="13"/>
      <c r="KO590" s="11"/>
      <c r="KP590" s="12"/>
      <c r="KQ590" s="12"/>
      <c r="KR590" s="11"/>
      <c r="KS590" s="13"/>
      <c r="KT590" s="11"/>
      <c r="KU590" s="11"/>
      <c r="KV590" s="13"/>
      <c r="KW590" s="11"/>
      <c r="KX590" s="12"/>
      <c r="KY590" s="12"/>
      <c r="KZ590" s="11"/>
      <c r="LA590" s="13"/>
      <c r="LB590" s="11"/>
      <c r="LC590" s="11"/>
      <c r="LD590" s="13"/>
      <c r="LE590" s="11"/>
      <c r="LF590" s="12"/>
      <c r="LG590" s="12"/>
      <c r="LH590" s="11"/>
      <c r="LI590" s="13"/>
      <c r="LJ590" s="11"/>
      <c r="LK590" s="11"/>
      <c r="LL590" s="13"/>
      <c r="LM590" s="11"/>
      <c r="LN590" s="12"/>
      <c r="LO590" s="12"/>
      <c r="LP590" s="11"/>
      <c r="LQ590" s="13"/>
      <c r="LR590" s="11"/>
      <c r="LS590" s="11"/>
      <c r="LT590" s="13"/>
      <c r="LU590" s="11"/>
      <c r="LV590" s="12"/>
      <c r="LW590" s="12"/>
    </row>
    <row r="591">
      <c r="A591" s="10" t="s">
        <v>289</v>
      </c>
      <c r="B591" s="10" t="s">
        <v>113</v>
      </c>
      <c r="C591" s="10" t="s">
        <v>100</v>
      </c>
      <c r="D591" s="11">
        <v>27774</v>
      </c>
      <c r="E591" s="11">
        <f>=ROUNDDOWN(26.5881677197013,0)</f>
      </c>
      <c r="F591" s="11">
        <v>13956</v>
      </c>
      <c r="G591" s="12">
        <v>0.9915</v>
      </c>
      <c r="H591" s="11"/>
      <c r="I591" s="11">
        <f>=ROUNDDOWN({0},0)</f>
      </c>
      <c r="J591" s="11"/>
      <c r="K591" s="12"/>
      <c r="L591" s="11">
        <v>12204</v>
      </c>
      <c r="M591" s="13">
        <v>145924.43</v>
      </c>
      <c r="N591" s="11">
        <v>59</v>
      </c>
      <c r="O591" s="14">
        <v>2473.3</v>
      </c>
      <c r="P591" s="11"/>
      <c r="Q591" s="13"/>
      <c r="R591" s="11"/>
      <c r="S591" s="14"/>
      <c r="T591" s="12"/>
      <c r="U591" s="12"/>
      <c r="V591" s="12"/>
      <c r="W591" s="12"/>
      <c r="X591" s="11">
        <v>3886</v>
      </c>
      <c r="Y591" s="13">
        <v>48876.79</v>
      </c>
      <c r="Z591" s="11">
        <v>58</v>
      </c>
      <c r="AA591" s="11"/>
      <c r="AB591" s="13"/>
      <c r="AC591" s="11"/>
      <c r="AD591" s="12"/>
      <c r="AE591" s="12"/>
      <c r="AF591" s="11">
        <v>1691</v>
      </c>
      <c r="AG591" s="13">
        <v>17325.26</v>
      </c>
      <c r="AH591" s="11">
        <v>59</v>
      </c>
      <c r="AI591" s="11"/>
      <c r="AJ591" s="13"/>
      <c r="AK591" s="11"/>
      <c r="AL591" s="12"/>
      <c r="AM591" s="12"/>
      <c r="AN591" s="11">
        <v>2696</v>
      </c>
      <c r="AO591" s="13">
        <v>29178.62</v>
      </c>
      <c r="AP591" s="11">
        <v>59</v>
      </c>
      <c r="AQ591" s="11"/>
      <c r="AR591" s="13"/>
      <c r="AS591" s="11"/>
      <c r="AT591" s="12"/>
      <c r="AU591" s="12"/>
      <c r="AV591" s="11">
        <v>555</v>
      </c>
      <c r="AW591" s="13">
        <v>6370.68</v>
      </c>
      <c r="AX591" s="11">
        <v>39</v>
      </c>
      <c r="AY591" s="11"/>
      <c r="AZ591" s="13"/>
      <c r="BA591" s="11"/>
      <c r="BB591" s="12"/>
      <c r="BC591" s="12"/>
      <c r="BD591" s="11"/>
      <c r="BE591" s="13"/>
      <c r="BF591" s="11"/>
      <c r="BG591" s="11"/>
      <c r="BH591" s="13"/>
      <c r="BI591" s="11"/>
      <c r="BJ591" s="12"/>
      <c r="BK591" s="12"/>
      <c r="BL591" s="11">
        <v>218</v>
      </c>
      <c r="BM591" s="13">
        <v>2645.27</v>
      </c>
      <c r="BN591" s="11">
        <v>50</v>
      </c>
      <c r="BO591" s="11"/>
      <c r="BP591" s="13"/>
      <c r="BQ591" s="11"/>
      <c r="BR591" s="12"/>
      <c r="BS591" s="12"/>
      <c r="BT591" s="11">
        <v>63</v>
      </c>
      <c r="BU591" s="13">
        <v>814.41</v>
      </c>
      <c r="BV591" s="11">
        <v>59</v>
      </c>
      <c r="BW591" s="11"/>
      <c r="BX591" s="13"/>
      <c r="BY591" s="11"/>
      <c r="BZ591" s="12"/>
      <c r="CA591" s="12"/>
      <c r="CB591" s="11">
        <v>2707</v>
      </c>
      <c r="CC591" s="13">
        <v>34200.17</v>
      </c>
      <c r="CD591" s="11">
        <v>59</v>
      </c>
      <c r="CE591" s="11"/>
      <c r="CF591" s="13"/>
      <c r="CG591" s="11"/>
      <c r="CH591" s="12"/>
      <c r="CI591" s="12"/>
      <c r="CJ591" s="11">
        <v>3</v>
      </c>
      <c r="CK591" s="13">
        <v>89.97</v>
      </c>
      <c r="CL591" s="11">
        <v>59</v>
      </c>
      <c r="CM591" s="11"/>
      <c r="CN591" s="13"/>
      <c r="CO591" s="11"/>
      <c r="CP591" s="12"/>
      <c r="CQ591" s="12"/>
      <c r="CR591" s="11"/>
      <c r="CS591" s="13"/>
      <c r="CT591" s="11"/>
      <c r="CU591" s="11"/>
      <c r="CV591" s="13"/>
      <c r="CW591" s="11"/>
      <c r="CX591" s="12"/>
      <c r="CY591" s="12"/>
      <c r="CZ591" s="11"/>
      <c r="DA591" s="13"/>
      <c r="DB591" s="11"/>
      <c r="DC591" s="11"/>
      <c r="DD591" s="13"/>
      <c r="DE591" s="11"/>
      <c r="DF591" s="12"/>
      <c r="DG591" s="12"/>
      <c r="DH591" s="11">
        <v>49</v>
      </c>
      <c r="DI591" s="13">
        <v>580.23</v>
      </c>
      <c r="DJ591" s="11">
        <v>18</v>
      </c>
      <c r="DK591" s="11"/>
      <c r="DL591" s="13"/>
      <c r="DM591" s="11"/>
      <c r="DN591" s="12"/>
      <c r="DO591" s="12"/>
      <c r="DP591" s="11">
        <v>173</v>
      </c>
      <c r="DQ591" s="13">
        <v>2031.23</v>
      </c>
      <c r="DR591" s="11">
        <v>59</v>
      </c>
      <c r="DS591" s="11"/>
      <c r="DT591" s="13"/>
      <c r="DU591" s="11"/>
      <c r="DV591" s="12"/>
      <c r="DW591" s="12"/>
      <c r="DX591" s="11">
        <v>29</v>
      </c>
      <c r="DY591" s="13">
        <v>379.22</v>
      </c>
      <c r="DZ591" s="11">
        <v>44</v>
      </c>
      <c r="EA591" s="11"/>
      <c r="EB591" s="13"/>
      <c r="EC591" s="11"/>
      <c r="ED591" s="12"/>
      <c r="EE591" s="12"/>
      <c r="EF591" s="11"/>
      <c r="EG591" s="13"/>
      <c r="EH591" s="11"/>
      <c r="EI591" s="11"/>
      <c r="EJ591" s="13"/>
      <c r="EK591" s="11"/>
      <c r="EL591" s="12"/>
      <c r="EM591" s="12"/>
      <c r="EN591" s="11">
        <v>51</v>
      </c>
      <c r="EO591" s="13">
        <v>2361.87</v>
      </c>
      <c r="EP591" s="11">
        <v>59</v>
      </c>
      <c r="EQ591" s="11"/>
      <c r="ER591" s="13"/>
      <c r="ES591" s="11"/>
      <c r="ET591" s="12"/>
      <c r="EU591" s="12"/>
      <c r="EV591" s="11">
        <v>16</v>
      </c>
      <c r="EW591" s="13">
        <v>187.64</v>
      </c>
      <c r="EX591" s="11">
        <v>23</v>
      </c>
      <c r="EY591" s="11"/>
      <c r="EZ591" s="13"/>
      <c r="FA591" s="11"/>
      <c r="FB591" s="12"/>
      <c r="FC591" s="12"/>
      <c r="FD591" s="11">
        <v>31</v>
      </c>
      <c r="FE591" s="13">
        <v>406.14</v>
      </c>
      <c r="FF591" s="11">
        <v>16</v>
      </c>
      <c r="FG591" s="11"/>
      <c r="FH591" s="13"/>
      <c r="FI591" s="11"/>
      <c r="FJ591" s="12"/>
      <c r="FK591" s="12"/>
      <c r="FL591" s="11"/>
      <c r="FM591" s="13"/>
      <c r="FN591" s="11"/>
      <c r="FO591" s="11"/>
      <c r="FP591" s="13"/>
      <c r="FQ591" s="11"/>
      <c r="FR591" s="12"/>
      <c r="FS591" s="12"/>
      <c r="FT591" s="11"/>
      <c r="FU591" s="13"/>
      <c r="FV591" s="11"/>
      <c r="FW591" s="11"/>
      <c r="FX591" s="13"/>
      <c r="FY591" s="11"/>
      <c r="FZ591" s="12"/>
      <c r="GA591" s="12"/>
      <c r="GB591" s="11"/>
      <c r="GC591" s="13"/>
      <c r="GD591" s="11">
        <v>2</v>
      </c>
      <c r="GE591" s="11"/>
      <c r="GF591" s="13"/>
      <c r="GG591" s="11"/>
      <c r="GH591" s="12"/>
      <c r="GI591" s="12"/>
      <c r="GJ591" s="11"/>
      <c r="GK591" s="13"/>
      <c r="GL591" s="11"/>
      <c r="GM591" s="11"/>
      <c r="GN591" s="13"/>
      <c r="GO591" s="11"/>
      <c r="GP591" s="12"/>
      <c r="GQ591" s="12"/>
      <c r="GR591" s="11">
        <v>2</v>
      </c>
      <c r="GS591" s="13">
        <v>28.58</v>
      </c>
      <c r="GT591" s="11">
        <v>30</v>
      </c>
      <c r="GU591" s="11"/>
      <c r="GV591" s="13"/>
      <c r="GW591" s="11"/>
      <c r="GX591" s="12"/>
      <c r="GY591" s="12"/>
      <c r="GZ591" s="11">
        <v>5</v>
      </c>
      <c r="HA591" s="13">
        <v>64.75</v>
      </c>
      <c r="HB591" s="11">
        <v>3</v>
      </c>
      <c r="HC591" s="11"/>
      <c r="HD591" s="13"/>
      <c r="HE591" s="11"/>
      <c r="HF591" s="12"/>
      <c r="HG591" s="12"/>
      <c r="HH591" s="11">
        <v>20</v>
      </c>
      <c r="HI591" s="13">
        <v>277.6</v>
      </c>
      <c r="HJ591" s="11"/>
      <c r="HK591" s="11"/>
      <c r="HL591" s="13"/>
      <c r="HM591" s="11"/>
      <c r="HN591" s="12"/>
      <c r="HO591" s="12"/>
      <c r="HP591" s="11"/>
      <c r="HQ591" s="13"/>
      <c r="HR591" s="11"/>
      <c r="HS591" s="11"/>
      <c r="HT591" s="13"/>
      <c r="HU591" s="11"/>
      <c r="HV591" s="12"/>
      <c r="HW591" s="12"/>
      <c r="HX591" s="11"/>
      <c r="HY591" s="13"/>
      <c r="HZ591" s="11"/>
      <c r="IA591" s="11"/>
      <c r="IB591" s="13"/>
      <c r="IC591" s="11"/>
      <c r="ID591" s="12"/>
      <c r="IE591" s="12"/>
      <c r="IF591" s="11"/>
      <c r="IG591" s="13"/>
      <c r="IH591" s="11"/>
      <c r="II591" s="11"/>
      <c r="IJ591" s="13"/>
      <c r="IK591" s="11"/>
      <c r="IL591" s="12"/>
      <c r="IM591" s="12"/>
      <c r="IN591" s="11"/>
      <c r="IO591" s="13"/>
      <c r="IP591" s="11"/>
      <c r="IQ591" s="11"/>
      <c r="IR591" s="13"/>
      <c r="IS591" s="11"/>
      <c r="IT591" s="12"/>
      <c r="IU591" s="12"/>
      <c r="IV591" s="11">
        <v>9</v>
      </c>
      <c r="IW591" s="13">
        <v>106</v>
      </c>
      <c r="IX591" s="11">
        <v>26</v>
      </c>
      <c r="IY591" s="11"/>
      <c r="IZ591" s="13"/>
      <c r="JA591" s="11"/>
      <c r="JB591" s="12"/>
      <c r="JC591" s="12"/>
      <c r="JD591" s="11"/>
      <c r="JE591" s="13"/>
      <c r="JF591" s="11"/>
      <c r="JG591" s="11"/>
      <c r="JH591" s="13"/>
      <c r="JI591" s="11"/>
      <c r="JJ591" s="12"/>
      <c r="JK591" s="12"/>
      <c r="JL591" s="11"/>
      <c r="JM591" s="13"/>
      <c r="JN591" s="11"/>
      <c r="JO591" s="11"/>
      <c r="JP591" s="13"/>
      <c r="JQ591" s="11"/>
      <c r="JR591" s="12"/>
      <c r="JS591" s="12"/>
      <c r="JT591" s="11"/>
      <c r="JU591" s="13"/>
      <c r="JV591" s="11"/>
      <c r="JW591" s="11"/>
      <c r="JX591" s="13"/>
      <c r="JY591" s="11"/>
      <c r="JZ591" s="12"/>
      <c r="KA591" s="12"/>
      <c r="KB591" s="11"/>
      <c r="KC591" s="13"/>
      <c r="KD591" s="11"/>
      <c r="KE591" s="11"/>
      <c r="KF591" s="13"/>
      <c r="KG591" s="11"/>
      <c r="KH591" s="12"/>
      <c r="KI591" s="12"/>
      <c r="KJ591" s="11"/>
      <c r="KK591" s="13"/>
      <c r="KL591" s="11"/>
      <c r="KM591" s="11"/>
      <c r="KN591" s="13"/>
      <c r="KO591" s="11"/>
      <c r="KP591" s="12"/>
      <c r="KQ591" s="12"/>
      <c r="KR591" s="11"/>
      <c r="KS591" s="13"/>
      <c r="KT591" s="11"/>
      <c r="KU591" s="11"/>
      <c r="KV591" s="13"/>
      <c r="KW591" s="11"/>
      <c r="KX591" s="12"/>
      <c r="KY591" s="12"/>
      <c r="KZ591" s="11"/>
      <c r="LA591" s="13"/>
      <c r="LB591" s="11"/>
      <c r="LC591" s="11"/>
      <c r="LD591" s="13"/>
      <c r="LE591" s="11"/>
      <c r="LF591" s="12"/>
      <c r="LG591" s="12"/>
      <c r="LH591" s="11"/>
      <c r="LI591" s="13"/>
      <c r="LJ591" s="11"/>
      <c r="LK591" s="11"/>
      <c r="LL591" s="13"/>
      <c r="LM591" s="11"/>
      <c r="LN591" s="12"/>
      <c r="LO591" s="12"/>
      <c r="LP591" s="11"/>
      <c r="LQ591" s="13"/>
      <c r="LR591" s="11"/>
      <c r="LS591" s="11"/>
      <c r="LT591" s="13"/>
      <c r="LU591" s="11"/>
      <c r="LV591" s="12"/>
      <c r="LW591" s="12"/>
    </row>
    <row r="592">
      <c r="A592" s="10" t="s">
        <v>289</v>
      </c>
      <c r="B592" s="10" t="s">
        <v>113</v>
      </c>
      <c r="C592" s="10" t="s">
        <v>101</v>
      </c>
      <c r="D592" s="11">
        <v>158833</v>
      </c>
      <c r="E592" s="11">
        <f>=ROUNDDOWN(27.0358644402458,0)</f>
      </c>
      <c r="F592" s="11">
        <v>105988</v>
      </c>
      <c r="G592" s="12">
        <v>0.9818</v>
      </c>
      <c r="H592" s="11"/>
      <c r="I592" s="11">
        <f>=ROUNDDOWN({0},0)</f>
      </c>
      <c r="J592" s="11"/>
      <c r="K592" s="12">
        <v>0.0587</v>
      </c>
      <c r="L592" s="11">
        <v>60905</v>
      </c>
      <c r="M592" s="13">
        <v>1298542.78</v>
      </c>
      <c r="N592" s="11">
        <v>347</v>
      </c>
      <c r="O592" s="14">
        <v>3742.2</v>
      </c>
      <c r="P592" s="11"/>
      <c r="Q592" s="13"/>
      <c r="R592" s="11"/>
      <c r="S592" s="14"/>
      <c r="T592" s="12"/>
      <c r="U592" s="12"/>
      <c r="V592" s="12"/>
      <c r="W592" s="12"/>
      <c r="X592" s="11">
        <v>24703</v>
      </c>
      <c r="Y592" s="13">
        <v>568377.58</v>
      </c>
      <c r="Z592" s="11">
        <v>337</v>
      </c>
      <c r="AA592" s="11"/>
      <c r="AB592" s="13"/>
      <c r="AC592" s="11"/>
      <c r="AD592" s="12"/>
      <c r="AE592" s="12"/>
      <c r="AF592" s="11">
        <v>9987</v>
      </c>
      <c r="AG592" s="13">
        <v>176991</v>
      </c>
      <c r="AH592" s="11">
        <v>344</v>
      </c>
      <c r="AI592" s="11"/>
      <c r="AJ592" s="13"/>
      <c r="AK592" s="11"/>
      <c r="AL592" s="12"/>
      <c r="AM592" s="12"/>
      <c r="AN592" s="11">
        <v>7577</v>
      </c>
      <c r="AO592" s="13">
        <v>144397.26</v>
      </c>
      <c r="AP592" s="11">
        <v>344</v>
      </c>
      <c r="AQ592" s="11"/>
      <c r="AR592" s="13"/>
      <c r="AS592" s="11"/>
      <c r="AT592" s="12"/>
      <c r="AU592" s="12"/>
      <c r="AV592" s="11">
        <v>5348</v>
      </c>
      <c r="AW592" s="13">
        <v>104796.29</v>
      </c>
      <c r="AX592" s="11">
        <v>124</v>
      </c>
      <c r="AY592" s="11"/>
      <c r="AZ592" s="13"/>
      <c r="BA592" s="11"/>
      <c r="BB592" s="12"/>
      <c r="BC592" s="12"/>
      <c r="BD592" s="11"/>
      <c r="BE592" s="13"/>
      <c r="BF592" s="11"/>
      <c r="BG592" s="11"/>
      <c r="BH592" s="13"/>
      <c r="BI592" s="11"/>
      <c r="BJ592" s="12"/>
      <c r="BK592" s="12"/>
      <c r="BL592" s="11">
        <v>1541</v>
      </c>
      <c r="BM592" s="13">
        <v>35688.84</v>
      </c>
      <c r="BN592" s="11">
        <v>308</v>
      </c>
      <c r="BO592" s="11"/>
      <c r="BP592" s="13"/>
      <c r="BQ592" s="11"/>
      <c r="BR592" s="12"/>
      <c r="BS592" s="12"/>
      <c r="BT592" s="11">
        <v>500</v>
      </c>
      <c r="BU592" s="13">
        <v>12769.4</v>
      </c>
      <c r="BV592" s="11">
        <v>346</v>
      </c>
      <c r="BW592" s="11"/>
      <c r="BX592" s="13"/>
      <c r="BY592" s="11"/>
      <c r="BZ592" s="12"/>
      <c r="CA592" s="12"/>
      <c r="CB592" s="11">
        <v>7056</v>
      </c>
      <c r="CC592" s="13">
        <v>136901.14</v>
      </c>
      <c r="CD592" s="11">
        <v>336</v>
      </c>
      <c r="CE592" s="11"/>
      <c r="CF592" s="13"/>
      <c r="CG592" s="11"/>
      <c r="CH592" s="12"/>
      <c r="CI592" s="12"/>
      <c r="CJ592" s="11">
        <v>175</v>
      </c>
      <c r="CK592" s="13">
        <v>13236.05</v>
      </c>
      <c r="CL592" s="11">
        <v>344</v>
      </c>
      <c r="CM592" s="11"/>
      <c r="CN592" s="13"/>
      <c r="CO592" s="11"/>
      <c r="CP592" s="12"/>
      <c r="CQ592" s="12"/>
      <c r="CR592" s="11"/>
      <c r="CS592" s="13"/>
      <c r="CT592" s="11"/>
      <c r="CU592" s="11"/>
      <c r="CV592" s="13"/>
      <c r="CW592" s="11"/>
      <c r="CX592" s="12"/>
      <c r="CY592" s="12"/>
      <c r="CZ592" s="11">
        <v>331</v>
      </c>
      <c r="DA592" s="13">
        <v>6461.79</v>
      </c>
      <c r="DB592" s="11">
        <v>74</v>
      </c>
      <c r="DC592" s="11"/>
      <c r="DD592" s="13"/>
      <c r="DE592" s="11"/>
      <c r="DF592" s="12"/>
      <c r="DG592" s="12"/>
      <c r="DH592" s="11">
        <v>403</v>
      </c>
      <c r="DI592" s="13">
        <v>6842.31</v>
      </c>
      <c r="DJ592" s="11">
        <v>133</v>
      </c>
      <c r="DK592" s="11"/>
      <c r="DL592" s="13"/>
      <c r="DM592" s="11"/>
      <c r="DN592" s="12"/>
      <c r="DO592" s="12"/>
      <c r="DP592" s="11">
        <v>546</v>
      </c>
      <c r="DQ592" s="13">
        <v>9954.4</v>
      </c>
      <c r="DR592" s="11">
        <v>260</v>
      </c>
      <c r="DS592" s="11"/>
      <c r="DT592" s="13"/>
      <c r="DU592" s="11"/>
      <c r="DV592" s="12"/>
      <c r="DW592" s="12"/>
      <c r="DX592" s="11">
        <v>1428</v>
      </c>
      <c r="DY592" s="13">
        <v>38502.41</v>
      </c>
      <c r="DZ592" s="11">
        <v>201</v>
      </c>
      <c r="EA592" s="11"/>
      <c r="EB592" s="13"/>
      <c r="EC592" s="11"/>
      <c r="ED592" s="12"/>
      <c r="EE592" s="12"/>
      <c r="EF592" s="11"/>
      <c r="EG592" s="13"/>
      <c r="EH592" s="11"/>
      <c r="EI592" s="11"/>
      <c r="EJ592" s="13"/>
      <c r="EK592" s="11"/>
      <c r="EL592" s="12"/>
      <c r="EM592" s="12"/>
      <c r="EN592" s="11">
        <v>539</v>
      </c>
      <c r="EO592" s="13">
        <v>29390.63</v>
      </c>
      <c r="EP592" s="11">
        <v>347</v>
      </c>
      <c r="EQ592" s="11"/>
      <c r="ER592" s="13"/>
      <c r="ES592" s="11"/>
      <c r="ET592" s="12"/>
      <c r="EU592" s="12"/>
      <c r="EV592" s="11">
        <v>393</v>
      </c>
      <c r="EW592" s="13">
        <v>6743.88</v>
      </c>
      <c r="EX592" s="11">
        <v>78</v>
      </c>
      <c r="EY592" s="11"/>
      <c r="EZ592" s="13"/>
      <c r="FA592" s="11"/>
      <c r="FB592" s="12"/>
      <c r="FC592" s="12"/>
      <c r="FD592" s="11">
        <v>105</v>
      </c>
      <c r="FE592" s="13">
        <v>1722.9</v>
      </c>
      <c r="FF592" s="11">
        <v>49</v>
      </c>
      <c r="FG592" s="11"/>
      <c r="FH592" s="13"/>
      <c r="FI592" s="11"/>
      <c r="FJ592" s="12"/>
      <c r="FK592" s="12"/>
      <c r="FL592" s="11"/>
      <c r="FM592" s="13"/>
      <c r="FN592" s="11"/>
      <c r="FO592" s="11"/>
      <c r="FP592" s="13"/>
      <c r="FQ592" s="11"/>
      <c r="FR592" s="12"/>
      <c r="FS592" s="12"/>
      <c r="FT592" s="11"/>
      <c r="FU592" s="13"/>
      <c r="FV592" s="11"/>
      <c r="FW592" s="11"/>
      <c r="FX592" s="13"/>
      <c r="FY592" s="11"/>
      <c r="FZ592" s="12"/>
      <c r="GA592" s="12"/>
      <c r="GB592" s="11">
        <v>67</v>
      </c>
      <c r="GC592" s="13">
        <v>1359.88</v>
      </c>
      <c r="GD592" s="11">
        <v>41</v>
      </c>
      <c r="GE592" s="11"/>
      <c r="GF592" s="13"/>
      <c r="GG592" s="11"/>
      <c r="GH592" s="12"/>
      <c r="GI592" s="12"/>
      <c r="GJ592" s="11"/>
      <c r="GK592" s="13"/>
      <c r="GL592" s="11"/>
      <c r="GM592" s="11"/>
      <c r="GN592" s="13"/>
      <c r="GO592" s="11"/>
      <c r="GP592" s="12"/>
      <c r="GQ592" s="12"/>
      <c r="GR592" s="11">
        <v>18</v>
      </c>
      <c r="GS592" s="13">
        <v>603.35</v>
      </c>
      <c r="GT592" s="11">
        <v>176</v>
      </c>
      <c r="GU592" s="11"/>
      <c r="GV592" s="13"/>
      <c r="GW592" s="11"/>
      <c r="GX592" s="12"/>
      <c r="GY592" s="12"/>
      <c r="GZ592" s="11">
        <v>102</v>
      </c>
      <c r="HA592" s="13">
        <v>1967.18</v>
      </c>
      <c r="HB592" s="11">
        <v>41</v>
      </c>
      <c r="HC592" s="11"/>
      <c r="HD592" s="13"/>
      <c r="HE592" s="11"/>
      <c r="HF592" s="12"/>
      <c r="HG592" s="12"/>
      <c r="HH592" s="11">
        <v>56</v>
      </c>
      <c r="HI592" s="13">
        <v>1246.42</v>
      </c>
      <c r="HJ592" s="11"/>
      <c r="HK592" s="11"/>
      <c r="HL592" s="13"/>
      <c r="HM592" s="11"/>
      <c r="HN592" s="12"/>
      <c r="HO592" s="12"/>
      <c r="HP592" s="11"/>
      <c r="HQ592" s="13"/>
      <c r="HR592" s="11"/>
      <c r="HS592" s="11"/>
      <c r="HT592" s="13"/>
      <c r="HU592" s="11"/>
      <c r="HV592" s="12"/>
      <c r="HW592" s="12"/>
      <c r="HX592" s="11"/>
      <c r="HY592" s="13"/>
      <c r="HZ592" s="11"/>
      <c r="IA592" s="11"/>
      <c r="IB592" s="13"/>
      <c r="IC592" s="11"/>
      <c r="ID592" s="12"/>
      <c r="IE592" s="12"/>
      <c r="IF592" s="11"/>
      <c r="IG592" s="13"/>
      <c r="IH592" s="11"/>
      <c r="II592" s="11"/>
      <c r="IJ592" s="13"/>
      <c r="IK592" s="11"/>
      <c r="IL592" s="12"/>
      <c r="IM592" s="12"/>
      <c r="IN592" s="11"/>
      <c r="IO592" s="13"/>
      <c r="IP592" s="11"/>
      <c r="IQ592" s="11"/>
      <c r="IR592" s="13"/>
      <c r="IS592" s="11"/>
      <c r="IT592" s="12"/>
      <c r="IU592" s="12"/>
      <c r="IV592" s="11">
        <v>14</v>
      </c>
      <c r="IW592" s="13">
        <v>248.21</v>
      </c>
      <c r="IX592" s="11">
        <v>103</v>
      </c>
      <c r="IY592" s="11"/>
      <c r="IZ592" s="13"/>
      <c r="JA592" s="11"/>
      <c r="JB592" s="12"/>
      <c r="JC592" s="12"/>
      <c r="JD592" s="11">
        <v>16</v>
      </c>
      <c r="JE592" s="13">
        <v>341.86</v>
      </c>
      <c r="JF592" s="11">
        <v>59</v>
      </c>
      <c r="JG592" s="11"/>
      <c r="JH592" s="13"/>
      <c r="JI592" s="11"/>
      <c r="JJ592" s="12"/>
      <c r="JK592" s="12"/>
      <c r="JL592" s="11"/>
      <c r="JM592" s="13"/>
      <c r="JN592" s="11"/>
      <c r="JO592" s="11"/>
      <c r="JP592" s="13"/>
      <c r="JQ592" s="11"/>
      <c r="JR592" s="12"/>
      <c r="JS592" s="12"/>
      <c r="JT592" s="11"/>
      <c r="JU592" s="13"/>
      <c r="JV592" s="11">
        <v>14</v>
      </c>
      <c r="JW592" s="11"/>
      <c r="JX592" s="13"/>
      <c r="JY592" s="11"/>
      <c r="JZ592" s="12"/>
      <c r="KA592" s="12"/>
      <c r="KB592" s="11"/>
      <c r="KC592" s="13"/>
      <c r="KD592" s="11"/>
      <c r="KE592" s="11"/>
      <c r="KF592" s="13"/>
      <c r="KG592" s="11"/>
      <c r="KH592" s="12"/>
      <c r="KI592" s="12"/>
      <c r="KJ592" s="11"/>
      <c r="KK592" s="13"/>
      <c r="KL592" s="11"/>
      <c r="KM592" s="11"/>
      <c r="KN592" s="13"/>
      <c r="KO592" s="11"/>
      <c r="KP592" s="12"/>
      <c r="KQ592" s="12"/>
      <c r="KR592" s="11"/>
      <c r="KS592" s="13"/>
      <c r="KT592" s="11"/>
      <c r="KU592" s="11"/>
      <c r="KV592" s="13"/>
      <c r="KW592" s="11"/>
      <c r="KX592" s="12"/>
      <c r="KY592" s="12"/>
      <c r="KZ592" s="11"/>
      <c r="LA592" s="13"/>
      <c r="LB592" s="11"/>
      <c r="LC592" s="11"/>
      <c r="LD592" s="13"/>
      <c r="LE592" s="11"/>
      <c r="LF592" s="12"/>
      <c r="LG592" s="12"/>
      <c r="LH592" s="11"/>
      <c r="LI592" s="13"/>
      <c r="LJ592" s="11"/>
      <c r="LK592" s="11"/>
      <c r="LL592" s="13"/>
      <c r="LM592" s="11"/>
      <c r="LN592" s="12"/>
      <c r="LO592" s="12"/>
      <c r="LP592" s="11"/>
      <c r="LQ592" s="13"/>
      <c r="LR592" s="11"/>
      <c r="LS592" s="11"/>
      <c r="LT592" s="13"/>
      <c r="LU592" s="11"/>
      <c r="LV592" s="12"/>
      <c r="LW592" s="12"/>
    </row>
    <row r="593">
      <c r="A593" s="10" t="s">
        <v>289</v>
      </c>
      <c r="B593" s="10" t="s">
        <v>116</v>
      </c>
      <c r="C593" s="10" t="s">
        <v>77</v>
      </c>
      <c r="D593" s="11">
        <v>186608</v>
      </c>
      <c r="E593" s="11">
        <f>=ROUNDDOWN({0},0)</f>
      </c>
      <c r="F593" s="11">
        <v>119944</v>
      </c>
      <c r="G593" s="12"/>
      <c r="H593" s="11"/>
      <c r="I593" s="11">
        <f>=ROUNDDOWN({0},0)</f>
      </c>
      <c r="J593" s="11"/>
      <c r="K593" s="12"/>
      <c r="L593" s="11">
        <v>73135</v>
      </c>
      <c r="M593" s="13">
        <v>1444555.41</v>
      </c>
      <c r="N593" s="11">
        <v>406</v>
      </c>
      <c r="O593" s="14">
        <v>3558.02</v>
      </c>
      <c r="P593" s="11"/>
      <c r="Q593" s="13"/>
      <c r="R593" s="11"/>
      <c r="S593" s="14"/>
      <c r="T593" s="12"/>
      <c r="U593" s="12"/>
      <c r="V593" s="12"/>
      <c r="W593" s="12"/>
      <c r="X593" s="11">
        <v>28589</v>
      </c>
      <c r="Y593" s="13">
        <v>617254.37</v>
      </c>
      <c r="Z593" s="11">
        <v>395</v>
      </c>
      <c r="AA593" s="11"/>
      <c r="AB593" s="13"/>
      <c r="AC593" s="11"/>
      <c r="AD593" s="12"/>
      <c r="AE593" s="12"/>
      <c r="AF593" s="11">
        <v>11679</v>
      </c>
      <c r="AG593" s="13">
        <v>194322.71</v>
      </c>
      <c r="AH593" s="11">
        <v>403</v>
      </c>
      <c r="AI593" s="11"/>
      <c r="AJ593" s="13"/>
      <c r="AK593" s="11"/>
      <c r="AL593" s="12"/>
      <c r="AM593" s="12"/>
      <c r="AN593" s="11">
        <v>10273</v>
      </c>
      <c r="AO593" s="13">
        <v>173575.88</v>
      </c>
      <c r="AP593" s="11">
        <v>403</v>
      </c>
      <c r="AQ593" s="11"/>
      <c r="AR593" s="13"/>
      <c r="AS593" s="11"/>
      <c r="AT593" s="12"/>
      <c r="AU593" s="12"/>
      <c r="AV593" s="11">
        <v>5903</v>
      </c>
      <c r="AW593" s="13">
        <v>111166.97</v>
      </c>
      <c r="AX593" s="11">
        <v>163</v>
      </c>
      <c r="AY593" s="11"/>
      <c r="AZ593" s="13"/>
      <c r="BA593" s="11"/>
      <c r="BB593" s="12"/>
      <c r="BC593" s="12"/>
      <c r="BD593" s="11"/>
      <c r="BE593" s="13"/>
      <c r="BF593" s="11"/>
      <c r="BG593" s="11"/>
      <c r="BH593" s="13"/>
      <c r="BI593" s="11"/>
      <c r="BJ593" s="12"/>
      <c r="BK593" s="12"/>
      <c r="BL593" s="11">
        <v>1784</v>
      </c>
      <c r="BM593" s="13">
        <v>38415.86</v>
      </c>
      <c r="BN593" s="11">
        <v>358</v>
      </c>
      <c r="BO593" s="11"/>
      <c r="BP593" s="13"/>
      <c r="BQ593" s="11"/>
      <c r="BR593" s="12"/>
      <c r="BS593" s="12"/>
      <c r="BT593" s="11">
        <v>563</v>
      </c>
      <c r="BU593" s="13">
        <v>13583.81</v>
      </c>
      <c r="BV593" s="11">
        <v>405</v>
      </c>
      <c r="BW593" s="11"/>
      <c r="BX593" s="13"/>
      <c r="BY593" s="11"/>
      <c r="BZ593" s="12"/>
      <c r="CA593" s="12"/>
      <c r="CB593" s="11">
        <v>9763</v>
      </c>
      <c r="CC593" s="13">
        <v>171101.31</v>
      </c>
      <c r="CD593" s="11">
        <v>395</v>
      </c>
      <c r="CE593" s="11"/>
      <c r="CF593" s="13"/>
      <c r="CG593" s="11"/>
      <c r="CH593" s="12"/>
      <c r="CI593" s="12"/>
      <c r="CJ593" s="11">
        <v>178</v>
      </c>
      <c r="CK593" s="13">
        <v>13326.02</v>
      </c>
      <c r="CL593" s="11">
        <v>403</v>
      </c>
      <c r="CM593" s="11"/>
      <c r="CN593" s="13"/>
      <c r="CO593" s="11"/>
      <c r="CP593" s="12"/>
      <c r="CQ593" s="12"/>
      <c r="CR593" s="11"/>
      <c r="CS593" s="13"/>
      <c r="CT593" s="11"/>
      <c r="CU593" s="11"/>
      <c r="CV593" s="13"/>
      <c r="CW593" s="11"/>
      <c r="CX593" s="12"/>
      <c r="CY593" s="12"/>
      <c r="CZ593" s="11">
        <v>331</v>
      </c>
      <c r="DA593" s="13">
        <v>6461.79</v>
      </c>
      <c r="DB593" s="11">
        <v>74</v>
      </c>
      <c r="DC593" s="11"/>
      <c r="DD593" s="13"/>
      <c r="DE593" s="11"/>
      <c r="DF593" s="12"/>
      <c r="DG593" s="12"/>
      <c r="DH593" s="11">
        <v>452</v>
      </c>
      <c r="DI593" s="13">
        <v>7422.54</v>
      </c>
      <c r="DJ593" s="11">
        <v>151</v>
      </c>
      <c r="DK593" s="11"/>
      <c r="DL593" s="13"/>
      <c r="DM593" s="11"/>
      <c r="DN593" s="12"/>
      <c r="DO593" s="12"/>
      <c r="DP593" s="11">
        <v>719</v>
      </c>
      <c r="DQ593" s="13">
        <v>11985.63</v>
      </c>
      <c r="DR593" s="11">
        <v>319</v>
      </c>
      <c r="DS593" s="11"/>
      <c r="DT593" s="13"/>
      <c r="DU593" s="11"/>
      <c r="DV593" s="12"/>
      <c r="DW593" s="12"/>
      <c r="DX593" s="11">
        <v>1457</v>
      </c>
      <c r="DY593" s="13">
        <v>38881.63</v>
      </c>
      <c r="DZ593" s="11">
        <v>245</v>
      </c>
      <c r="EA593" s="11"/>
      <c r="EB593" s="13"/>
      <c r="EC593" s="11"/>
      <c r="ED593" s="12"/>
      <c r="EE593" s="12"/>
      <c r="EF593" s="11"/>
      <c r="EG593" s="13"/>
      <c r="EH593" s="11"/>
      <c r="EI593" s="11"/>
      <c r="EJ593" s="13"/>
      <c r="EK593" s="11"/>
      <c r="EL593" s="12"/>
      <c r="EM593" s="12"/>
      <c r="EN593" s="11">
        <v>590</v>
      </c>
      <c r="EO593" s="13">
        <v>31752.5</v>
      </c>
      <c r="EP593" s="11">
        <v>406</v>
      </c>
      <c r="EQ593" s="11"/>
      <c r="ER593" s="13"/>
      <c r="ES593" s="11"/>
      <c r="ET593" s="12"/>
      <c r="EU593" s="12"/>
      <c r="EV593" s="11">
        <v>409</v>
      </c>
      <c r="EW593" s="13">
        <v>6931.52</v>
      </c>
      <c r="EX593" s="11">
        <v>101</v>
      </c>
      <c r="EY593" s="11"/>
      <c r="EZ593" s="13"/>
      <c r="FA593" s="11"/>
      <c r="FB593" s="12"/>
      <c r="FC593" s="12"/>
      <c r="FD593" s="11">
        <v>136</v>
      </c>
      <c r="FE593" s="13">
        <v>2129.04</v>
      </c>
      <c r="FF593" s="11">
        <v>65</v>
      </c>
      <c r="FG593" s="11"/>
      <c r="FH593" s="13"/>
      <c r="FI593" s="11"/>
      <c r="FJ593" s="12"/>
      <c r="FK593" s="12"/>
      <c r="FL593" s="11"/>
      <c r="FM593" s="13"/>
      <c r="FN593" s="11"/>
      <c r="FO593" s="11"/>
      <c r="FP593" s="13"/>
      <c r="FQ593" s="11"/>
      <c r="FR593" s="12"/>
      <c r="FS593" s="12"/>
      <c r="FT593" s="11"/>
      <c r="FU593" s="13"/>
      <c r="FV593" s="11"/>
      <c r="FW593" s="11"/>
      <c r="FX593" s="13"/>
      <c r="FY593" s="11"/>
      <c r="FZ593" s="12"/>
      <c r="GA593" s="12"/>
      <c r="GB593" s="11">
        <v>67</v>
      </c>
      <c r="GC593" s="13">
        <v>1359.88</v>
      </c>
      <c r="GD593" s="11">
        <v>43</v>
      </c>
      <c r="GE593" s="11"/>
      <c r="GF593" s="13"/>
      <c r="GG593" s="11"/>
      <c r="GH593" s="12"/>
      <c r="GI593" s="12"/>
      <c r="GJ593" s="11"/>
      <c r="GK593" s="13"/>
      <c r="GL593" s="11"/>
      <c r="GM593" s="11"/>
      <c r="GN593" s="13"/>
      <c r="GO593" s="11"/>
      <c r="GP593" s="12"/>
      <c r="GQ593" s="12"/>
      <c r="GR593" s="11">
        <v>20</v>
      </c>
      <c r="GS593" s="13">
        <v>631.93</v>
      </c>
      <c r="GT593" s="11">
        <v>206</v>
      </c>
      <c r="GU593" s="11"/>
      <c r="GV593" s="13"/>
      <c r="GW593" s="11"/>
      <c r="GX593" s="12"/>
      <c r="GY593" s="12"/>
      <c r="GZ593" s="11">
        <v>107</v>
      </c>
      <c r="HA593" s="13">
        <v>2031.93</v>
      </c>
      <c r="HB593" s="11">
        <v>44</v>
      </c>
      <c r="HC593" s="11"/>
      <c r="HD593" s="13"/>
      <c r="HE593" s="11"/>
      <c r="HF593" s="12"/>
      <c r="HG593" s="12"/>
      <c r="HH593" s="11">
        <v>76</v>
      </c>
      <c r="HI593" s="13">
        <v>1524.02</v>
      </c>
      <c r="HJ593" s="11"/>
      <c r="HK593" s="11"/>
      <c r="HL593" s="13"/>
      <c r="HM593" s="11"/>
      <c r="HN593" s="12"/>
      <c r="HO593" s="12"/>
      <c r="HP593" s="11"/>
      <c r="HQ593" s="13"/>
      <c r="HR593" s="11"/>
      <c r="HS593" s="11"/>
      <c r="HT593" s="13"/>
      <c r="HU593" s="11"/>
      <c r="HV593" s="12"/>
      <c r="HW593" s="12"/>
      <c r="HX593" s="11"/>
      <c r="HY593" s="13"/>
      <c r="HZ593" s="11"/>
      <c r="IA593" s="11"/>
      <c r="IB593" s="13"/>
      <c r="IC593" s="11"/>
      <c r="ID593" s="12"/>
      <c r="IE593" s="12"/>
      <c r="IF593" s="11"/>
      <c r="IG593" s="13"/>
      <c r="IH593" s="11"/>
      <c r="II593" s="11"/>
      <c r="IJ593" s="13"/>
      <c r="IK593" s="11"/>
      <c r="IL593" s="12"/>
      <c r="IM593" s="12"/>
      <c r="IN593" s="11"/>
      <c r="IO593" s="13"/>
      <c r="IP593" s="11"/>
      <c r="IQ593" s="11"/>
      <c r="IR593" s="13"/>
      <c r="IS593" s="11"/>
      <c r="IT593" s="12"/>
      <c r="IU593" s="12"/>
      <c r="IV593" s="11">
        <v>23</v>
      </c>
      <c r="IW593" s="13">
        <v>354.21</v>
      </c>
      <c r="IX593" s="11">
        <v>129</v>
      </c>
      <c r="IY593" s="11"/>
      <c r="IZ593" s="13"/>
      <c r="JA593" s="11"/>
      <c r="JB593" s="12"/>
      <c r="JC593" s="12"/>
      <c r="JD593" s="11">
        <v>16</v>
      </c>
      <c r="JE593" s="13">
        <v>341.86</v>
      </c>
      <c r="JF593" s="11">
        <v>59</v>
      </c>
      <c r="JG593" s="11"/>
      <c r="JH593" s="13"/>
      <c r="JI593" s="11"/>
      <c r="JJ593" s="12"/>
      <c r="JK593" s="12"/>
      <c r="JL593" s="11"/>
      <c r="JM593" s="13"/>
      <c r="JN593" s="11"/>
      <c r="JO593" s="11"/>
      <c r="JP593" s="13"/>
      <c r="JQ593" s="11"/>
      <c r="JR593" s="12"/>
      <c r="JS593" s="12"/>
      <c r="JT593" s="11"/>
      <c r="JU593" s="13"/>
      <c r="JV593" s="11">
        <v>14</v>
      </c>
      <c r="JW593" s="11"/>
      <c r="JX593" s="13"/>
      <c r="JY593" s="11"/>
      <c r="JZ593" s="12"/>
      <c r="KA593" s="12"/>
      <c r="KB593" s="11"/>
      <c r="KC593" s="13"/>
      <c r="KD593" s="11"/>
      <c r="KE593" s="11"/>
      <c r="KF593" s="13"/>
      <c r="KG593" s="11"/>
      <c r="KH593" s="12"/>
      <c r="KI593" s="12"/>
      <c r="KJ593" s="11"/>
      <c r="KK593" s="13"/>
      <c r="KL593" s="11"/>
      <c r="KM593" s="11"/>
      <c r="KN593" s="13"/>
      <c r="KO593" s="11"/>
      <c r="KP593" s="12"/>
      <c r="KQ593" s="12"/>
      <c r="KR593" s="11"/>
      <c r="KS593" s="13"/>
      <c r="KT593" s="11"/>
      <c r="KU593" s="11"/>
      <c r="KV593" s="13"/>
      <c r="KW593" s="11"/>
      <c r="KX593" s="12"/>
      <c r="KY593" s="12"/>
      <c r="KZ593" s="11"/>
      <c r="LA593" s="13"/>
      <c r="LB593" s="11"/>
      <c r="LC593" s="11"/>
      <c r="LD593" s="13"/>
      <c r="LE593" s="11"/>
      <c r="LF593" s="12"/>
      <c r="LG593" s="12"/>
      <c r="LH593" s="11"/>
      <c r="LI593" s="13"/>
      <c r="LJ593" s="11"/>
      <c r="LK593" s="11"/>
      <c r="LL593" s="13"/>
      <c r="LM593" s="11"/>
      <c r="LN593" s="12"/>
      <c r="LO593" s="12"/>
      <c r="LP593" s="11"/>
      <c r="LQ593" s="13"/>
      <c r="LR593" s="11"/>
      <c r="LS593" s="11"/>
      <c r="LT593" s="13"/>
      <c r="LU593" s="11"/>
      <c r="LV593" s="12"/>
      <c r="LW593" s="12"/>
    </row>
    <row r="594">
      <c r="A594" s="10" t="s">
        <v>289</v>
      </c>
      <c r="B594" s="10" t="s">
        <v>293</v>
      </c>
      <c r="C594" s="10" t="s">
        <v>101</v>
      </c>
      <c r="D594" s="11">
        <v>313</v>
      </c>
      <c r="E594" s="11">
        <f>=ROUNDDOWN(9.48484848484848,0)</f>
      </c>
      <c r="F594" s="11">
        <v>800</v>
      </c>
      <c r="G594" s="12">
        <v>1</v>
      </c>
      <c r="H594" s="11"/>
      <c r="I594" s="11">
        <f>=ROUNDDOWN({0},0)</f>
      </c>
      <c r="J594" s="11"/>
      <c r="K594" s="12"/>
      <c r="L594" s="11">
        <v>455</v>
      </c>
      <c r="M594" s="13">
        <v>7731.88</v>
      </c>
      <c r="N594" s="11">
        <v>3</v>
      </c>
      <c r="O594" s="14">
        <v>2577.29</v>
      </c>
      <c r="P594" s="11"/>
      <c r="Q594" s="13"/>
      <c r="R594" s="11"/>
      <c r="S594" s="14"/>
      <c r="T594" s="12"/>
      <c r="U594" s="12"/>
      <c r="V594" s="12"/>
      <c r="W594" s="12"/>
      <c r="X594" s="11">
        <v>139</v>
      </c>
      <c r="Y594" s="13">
        <v>2284.24</v>
      </c>
      <c r="Z594" s="11">
        <v>3</v>
      </c>
      <c r="AA594" s="11"/>
      <c r="AB594" s="13"/>
      <c r="AC594" s="11"/>
      <c r="AD594" s="12"/>
      <c r="AE594" s="12"/>
      <c r="AF594" s="11">
        <v>145</v>
      </c>
      <c r="AG594" s="13">
        <v>2377.32</v>
      </c>
      <c r="AH594" s="11">
        <v>3</v>
      </c>
      <c r="AI594" s="11"/>
      <c r="AJ594" s="13"/>
      <c r="AK594" s="11"/>
      <c r="AL594" s="12"/>
      <c r="AM594" s="12"/>
      <c r="AN594" s="11">
        <v>39</v>
      </c>
      <c r="AO594" s="13">
        <v>687.92</v>
      </c>
      <c r="AP594" s="11">
        <v>3</v>
      </c>
      <c r="AQ594" s="11"/>
      <c r="AR594" s="13"/>
      <c r="AS594" s="11"/>
      <c r="AT594" s="12"/>
      <c r="AU594" s="12"/>
      <c r="AV594" s="11">
        <v>54</v>
      </c>
      <c r="AW594" s="13">
        <v>1035.66</v>
      </c>
      <c r="AX594" s="11">
        <v>2</v>
      </c>
      <c r="AY594" s="11"/>
      <c r="AZ594" s="13"/>
      <c r="BA594" s="11"/>
      <c r="BB594" s="12"/>
      <c r="BC594" s="12"/>
      <c r="BD594" s="11"/>
      <c r="BE594" s="13"/>
      <c r="BF594" s="11"/>
      <c r="BG594" s="11"/>
      <c r="BH594" s="13"/>
      <c r="BI594" s="11"/>
      <c r="BJ594" s="12"/>
      <c r="BK594" s="12"/>
      <c r="BL594" s="11">
        <v>21</v>
      </c>
      <c r="BM594" s="13">
        <v>307.4</v>
      </c>
      <c r="BN594" s="11">
        <v>3</v>
      </c>
      <c r="BO594" s="11"/>
      <c r="BP594" s="13"/>
      <c r="BQ594" s="11"/>
      <c r="BR594" s="12"/>
      <c r="BS594" s="12"/>
      <c r="BT594" s="11">
        <v>4</v>
      </c>
      <c r="BU594" s="13">
        <v>87.2</v>
      </c>
      <c r="BV594" s="11">
        <v>3</v>
      </c>
      <c r="BW594" s="11"/>
      <c r="BX594" s="13"/>
      <c r="BY594" s="11"/>
      <c r="BZ594" s="12"/>
      <c r="CA594" s="12"/>
      <c r="CB594" s="11">
        <v>34</v>
      </c>
      <c r="CC594" s="13">
        <v>588.04</v>
      </c>
      <c r="CD594" s="11">
        <v>3</v>
      </c>
      <c r="CE594" s="11"/>
      <c r="CF594" s="13"/>
      <c r="CG594" s="11"/>
      <c r="CH594" s="12"/>
      <c r="CI594" s="12"/>
      <c r="CJ594" s="11">
        <v>3</v>
      </c>
      <c r="CK594" s="13">
        <v>103.65</v>
      </c>
      <c r="CL594" s="11">
        <v>3</v>
      </c>
      <c r="CM594" s="11"/>
      <c r="CN594" s="13"/>
      <c r="CO594" s="11"/>
      <c r="CP594" s="12"/>
      <c r="CQ594" s="12"/>
      <c r="CR594" s="11"/>
      <c r="CS594" s="13"/>
      <c r="CT594" s="11"/>
      <c r="CU594" s="11"/>
      <c r="CV594" s="13"/>
      <c r="CW594" s="11"/>
      <c r="CX594" s="12"/>
      <c r="CY594" s="12"/>
      <c r="CZ594" s="11"/>
      <c r="DA594" s="13"/>
      <c r="DB594" s="11"/>
      <c r="DC594" s="11"/>
      <c r="DD594" s="13"/>
      <c r="DE594" s="11"/>
      <c r="DF594" s="12"/>
      <c r="DG594" s="12"/>
      <c r="DH594" s="11"/>
      <c r="DI594" s="13"/>
      <c r="DJ594" s="11"/>
      <c r="DK594" s="11"/>
      <c r="DL594" s="13"/>
      <c r="DM594" s="11"/>
      <c r="DN594" s="12"/>
      <c r="DO594" s="12"/>
      <c r="DP594" s="11">
        <v>4</v>
      </c>
      <c r="DQ594" s="13">
        <v>74.62</v>
      </c>
      <c r="DR594" s="11">
        <v>3</v>
      </c>
      <c r="DS594" s="11"/>
      <c r="DT594" s="13"/>
      <c r="DU594" s="11"/>
      <c r="DV594" s="12"/>
      <c r="DW594" s="12"/>
      <c r="DX594" s="11"/>
      <c r="DY594" s="13"/>
      <c r="DZ594" s="11"/>
      <c r="EA594" s="11"/>
      <c r="EB594" s="13"/>
      <c r="EC594" s="11"/>
      <c r="ED594" s="12"/>
      <c r="EE594" s="12"/>
      <c r="EF594" s="11"/>
      <c r="EG594" s="13"/>
      <c r="EH594" s="11"/>
      <c r="EI594" s="11"/>
      <c r="EJ594" s="13"/>
      <c r="EK594" s="11"/>
      <c r="EL594" s="12"/>
      <c r="EM594" s="12"/>
      <c r="EN594" s="11"/>
      <c r="EO594" s="13"/>
      <c r="EP594" s="11">
        <v>3</v>
      </c>
      <c r="EQ594" s="11"/>
      <c r="ER594" s="13"/>
      <c r="ES594" s="11"/>
      <c r="ET594" s="12"/>
      <c r="EU594" s="12"/>
      <c r="EV594" s="11">
        <v>9</v>
      </c>
      <c r="EW594" s="13">
        <v>133.29</v>
      </c>
      <c r="EX594" s="11">
        <v>1</v>
      </c>
      <c r="EY594" s="11"/>
      <c r="EZ594" s="13"/>
      <c r="FA594" s="11"/>
      <c r="FB594" s="12"/>
      <c r="FC594" s="12"/>
      <c r="FD594" s="11"/>
      <c r="FE594" s="13"/>
      <c r="FF594" s="11"/>
      <c r="FG594" s="11"/>
      <c r="FH594" s="13"/>
      <c r="FI594" s="11"/>
      <c r="FJ594" s="12"/>
      <c r="FK594" s="12"/>
      <c r="FL594" s="11"/>
      <c r="FM594" s="13"/>
      <c r="FN594" s="11"/>
      <c r="FO594" s="11"/>
      <c r="FP594" s="13"/>
      <c r="FQ594" s="11"/>
      <c r="FR594" s="12"/>
      <c r="FS594" s="12"/>
      <c r="FT594" s="11"/>
      <c r="FU594" s="13"/>
      <c r="FV594" s="11"/>
      <c r="FW594" s="11"/>
      <c r="FX594" s="13"/>
      <c r="FY594" s="11"/>
      <c r="FZ594" s="12"/>
      <c r="GA594" s="12"/>
      <c r="GB594" s="11"/>
      <c r="GC594" s="13"/>
      <c r="GD594" s="11"/>
      <c r="GE594" s="11"/>
      <c r="GF594" s="13"/>
      <c r="GG594" s="11"/>
      <c r="GH594" s="12"/>
      <c r="GI594" s="12"/>
      <c r="GJ594" s="11"/>
      <c r="GK594" s="13"/>
      <c r="GL594" s="11"/>
      <c r="GM594" s="11"/>
      <c r="GN594" s="13"/>
      <c r="GO594" s="11"/>
      <c r="GP594" s="12"/>
      <c r="GQ594" s="12"/>
      <c r="GR594" s="11"/>
      <c r="GS594" s="13"/>
      <c r="GT594" s="11">
        <v>3</v>
      </c>
      <c r="GU594" s="11"/>
      <c r="GV594" s="13"/>
      <c r="GW594" s="11"/>
      <c r="GX594" s="12"/>
      <c r="GY594" s="12"/>
      <c r="GZ594" s="11"/>
      <c r="HA594" s="13"/>
      <c r="HB594" s="11"/>
      <c r="HC594" s="11"/>
      <c r="HD594" s="13"/>
      <c r="HE594" s="11"/>
      <c r="HF594" s="12"/>
      <c r="HG594" s="12"/>
      <c r="HH594" s="11">
        <v>3</v>
      </c>
      <c r="HI594" s="13">
        <v>52.54</v>
      </c>
      <c r="HJ594" s="11"/>
      <c r="HK594" s="11"/>
      <c r="HL594" s="13"/>
      <c r="HM594" s="11"/>
      <c r="HN594" s="12"/>
      <c r="HO594" s="12"/>
      <c r="HP594" s="11"/>
      <c r="HQ594" s="13"/>
      <c r="HR594" s="11"/>
      <c r="HS594" s="11"/>
      <c r="HT594" s="13"/>
      <c r="HU594" s="11"/>
      <c r="HV594" s="12"/>
      <c r="HW594" s="12"/>
      <c r="HX594" s="11"/>
      <c r="HY594" s="13"/>
      <c r="HZ594" s="11"/>
      <c r="IA594" s="11"/>
      <c r="IB594" s="13"/>
      <c r="IC594" s="11"/>
      <c r="ID594" s="12"/>
      <c r="IE594" s="12"/>
      <c r="IF594" s="11"/>
      <c r="IG594" s="13"/>
      <c r="IH594" s="11"/>
      <c r="II594" s="11"/>
      <c r="IJ594" s="13"/>
      <c r="IK594" s="11"/>
      <c r="IL594" s="12"/>
      <c r="IM594" s="12"/>
      <c r="IN594" s="11"/>
      <c r="IO594" s="13"/>
      <c r="IP594" s="11"/>
      <c r="IQ594" s="11"/>
      <c r="IR594" s="13"/>
      <c r="IS594" s="11"/>
      <c r="IT594" s="12"/>
      <c r="IU594" s="12"/>
      <c r="IV594" s="11"/>
      <c r="IW594" s="13"/>
      <c r="IX594" s="11"/>
      <c r="IY594" s="11"/>
      <c r="IZ594" s="13"/>
      <c r="JA594" s="11"/>
      <c r="JB594" s="12"/>
      <c r="JC594" s="12"/>
      <c r="JD594" s="11"/>
      <c r="JE594" s="13"/>
      <c r="JF594" s="11"/>
      <c r="JG594" s="11"/>
      <c r="JH594" s="13"/>
      <c r="JI594" s="11"/>
      <c r="JJ594" s="12"/>
      <c r="JK594" s="12"/>
      <c r="JL594" s="11"/>
      <c r="JM594" s="13"/>
      <c r="JN594" s="11"/>
      <c r="JO594" s="11"/>
      <c r="JP594" s="13"/>
      <c r="JQ594" s="11"/>
      <c r="JR594" s="12"/>
      <c r="JS594" s="12"/>
      <c r="JT594" s="11"/>
      <c r="JU594" s="13"/>
      <c r="JV594" s="11"/>
      <c r="JW594" s="11"/>
      <c r="JX594" s="13"/>
      <c r="JY594" s="11"/>
      <c r="JZ594" s="12"/>
      <c r="KA594" s="12"/>
      <c r="KB594" s="11"/>
      <c r="KC594" s="13"/>
      <c r="KD594" s="11"/>
      <c r="KE594" s="11"/>
      <c r="KF594" s="13"/>
      <c r="KG594" s="11"/>
      <c r="KH594" s="12"/>
      <c r="KI594" s="12"/>
      <c r="KJ594" s="11"/>
      <c r="KK594" s="13"/>
      <c r="KL594" s="11"/>
      <c r="KM594" s="11"/>
      <c r="KN594" s="13"/>
      <c r="KO594" s="11"/>
      <c r="KP594" s="12"/>
      <c r="KQ594" s="12"/>
      <c r="KR594" s="11"/>
      <c r="KS594" s="13"/>
      <c r="KT594" s="11"/>
      <c r="KU594" s="11"/>
      <c r="KV594" s="13"/>
      <c r="KW594" s="11"/>
      <c r="KX594" s="12"/>
      <c r="KY594" s="12"/>
      <c r="KZ594" s="11"/>
      <c r="LA594" s="13"/>
      <c r="LB594" s="11"/>
      <c r="LC594" s="11"/>
      <c r="LD594" s="13"/>
      <c r="LE594" s="11"/>
      <c r="LF594" s="12"/>
      <c r="LG594" s="12"/>
      <c r="LH594" s="11"/>
      <c r="LI594" s="13"/>
      <c r="LJ594" s="11"/>
      <c r="LK594" s="11"/>
      <c r="LL594" s="13"/>
      <c r="LM594" s="11"/>
      <c r="LN594" s="12"/>
      <c r="LO594" s="12"/>
      <c r="LP594" s="11"/>
      <c r="LQ594" s="13"/>
      <c r="LR594" s="11"/>
      <c r="LS594" s="11"/>
      <c r="LT594" s="13"/>
      <c r="LU594" s="11"/>
      <c r="LV594" s="12"/>
      <c r="LW594" s="12"/>
    </row>
    <row r="595">
      <c r="A595" s="10" t="s">
        <v>289</v>
      </c>
      <c r="B595" s="10" t="s">
        <v>294</v>
      </c>
      <c r="C595" s="10" t="s">
        <v>77</v>
      </c>
      <c r="D595" s="11">
        <v>313</v>
      </c>
      <c r="E595" s="11">
        <f>=ROUNDDOWN({0},0)</f>
      </c>
      <c r="F595" s="11">
        <v>800</v>
      </c>
      <c r="G595" s="12"/>
      <c r="H595" s="11"/>
      <c r="I595" s="11">
        <f>=ROUNDDOWN({0},0)</f>
      </c>
      <c r="J595" s="11"/>
      <c r="K595" s="12"/>
      <c r="L595" s="11">
        <v>455</v>
      </c>
      <c r="M595" s="13">
        <v>7731.88</v>
      </c>
      <c r="N595" s="11">
        <v>3</v>
      </c>
      <c r="O595" s="14">
        <v>2577.29</v>
      </c>
      <c r="P595" s="11"/>
      <c r="Q595" s="13"/>
      <c r="R595" s="11"/>
      <c r="S595" s="14"/>
      <c r="T595" s="12"/>
      <c r="U595" s="12"/>
      <c r="V595" s="12"/>
      <c r="W595" s="12"/>
      <c r="X595" s="11">
        <v>139</v>
      </c>
      <c r="Y595" s="13">
        <v>2284.24</v>
      </c>
      <c r="Z595" s="11">
        <v>3</v>
      </c>
      <c r="AA595" s="11"/>
      <c r="AB595" s="13"/>
      <c r="AC595" s="11"/>
      <c r="AD595" s="12"/>
      <c r="AE595" s="12"/>
      <c r="AF595" s="11">
        <v>145</v>
      </c>
      <c r="AG595" s="13">
        <v>2377.32</v>
      </c>
      <c r="AH595" s="11">
        <v>3</v>
      </c>
      <c r="AI595" s="11"/>
      <c r="AJ595" s="13"/>
      <c r="AK595" s="11"/>
      <c r="AL595" s="12"/>
      <c r="AM595" s="12"/>
      <c r="AN595" s="11">
        <v>39</v>
      </c>
      <c r="AO595" s="13">
        <v>687.92</v>
      </c>
      <c r="AP595" s="11">
        <v>3</v>
      </c>
      <c r="AQ595" s="11"/>
      <c r="AR595" s="13"/>
      <c r="AS595" s="11"/>
      <c r="AT595" s="12"/>
      <c r="AU595" s="12"/>
      <c r="AV595" s="11">
        <v>54</v>
      </c>
      <c r="AW595" s="13">
        <v>1035.66</v>
      </c>
      <c r="AX595" s="11">
        <v>2</v>
      </c>
      <c r="AY595" s="11"/>
      <c r="AZ595" s="13"/>
      <c r="BA595" s="11"/>
      <c r="BB595" s="12"/>
      <c r="BC595" s="12"/>
      <c r="BD595" s="11"/>
      <c r="BE595" s="13"/>
      <c r="BF595" s="11"/>
      <c r="BG595" s="11"/>
      <c r="BH595" s="13"/>
      <c r="BI595" s="11"/>
      <c r="BJ595" s="12"/>
      <c r="BK595" s="12"/>
      <c r="BL595" s="11">
        <v>21</v>
      </c>
      <c r="BM595" s="13">
        <v>307.4</v>
      </c>
      <c r="BN595" s="11">
        <v>3</v>
      </c>
      <c r="BO595" s="11"/>
      <c r="BP595" s="13"/>
      <c r="BQ595" s="11"/>
      <c r="BR595" s="12"/>
      <c r="BS595" s="12"/>
      <c r="BT595" s="11">
        <v>4</v>
      </c>
      <c r="BU595" s="13">
        <v>87.2</v>
      </c>
      <c r="BV595" s="11">
        <v>3</v>
      </c>
      <c r="BW595" s="11"/>
      <c r="BX595" s="13"/>
      <c r="BY595" s="11"/>
      <c r="BZ595" s="12"/>
      <c r="CA595" s="12"/>
      <c r="CB595" s="11">
        <v>34</v>
      </c>
      <c r="CC595" s="13">
        <v>588.04</v>
      </c>
      <c r="CD595" s="11">
        <v>3</v>
      </c>
      <c r="CE595" s="11"/>
      <c r="CF595" s="13"/>
      <c r="CG595" s="11"/>
      <c r="CH595" s="12"/>
      <c r="CI595" s="12"/>
      <c r="CJ595" s="11">
        <v>3</v>
      </c>
      <c r="CK595" s="13">
        <v>103.65</v>
      </c>
      <c r="CL595" s="11">
        <v>3</v>
      </c>
      <c r="CM595" s="11"/>
      <c r="CN595" s="13"/>
      <c r="CO595" s="11"/>
      <c r="CP595" s="12"/>
      <c r="CQ595" s="12"/>
      <c r="CR595" s="11"/>
      <c r="CS595" s="13"/>
      <c r="CT595" s="11"/>
      <c r="CU595" s="11"/>
      <c r="CV595" s="13"/>
      <c r="CW595" s="11"/>
      <c r="CX595" s="12"/>
      <c r="CY595" s="12"/>
      <c r="CZ595" s="11"/>
      <c r="DA595" s="13"/>
      <c r="DB595" s="11"/>
      <c r="DC595" s="11"/>
      <c r="DD595" s="13"/>
      <c r="DE595" s="11"/>
      <c r="DF595" s="12"/>
      <c r="DG595" s="12"/>
      <c r="DH595" s="11"/>
      <c r="DI595" s="13"/>
      <c r="DJ595" s="11"/>
      <c r="DK595" s="11"/>
      <c r="DL595" s="13"/>
      <c r="DM595" s="11"/>
      <c r="DN595" s="12"/>
      <c r="DO595" s="12"/>
      <c r="DP595" s="11">
        <v>4</v>
      </c>
      <c r="DQ595" s="13">
        <v>74.62</v>
      </c>
      <c r="DR595" s="11">
        <v>3</v>
      </c>
      <c r="DS595" s="11"/>
      <c r="DT595" s="13"/>
      <c r="DU595" s="11"/>
      <c r="DV595" s="12"/>
      <c r="DW595" s="12"/>
      <c r="DX595" s="11"/>
      <c r="DY595" s="13"/>
      <c r="DZ595" s="11"/>
      <c r="EA595" s="11"/>
      <c r="EB595" s="13"/>
      <c r="EC595" s="11"/>
      <c r="ED595" s="12"/>
      <c r="EE595" s="12"/>
      <c r="EF595" s="11"/>
      <c r="EG595" s="13"/>
      <c r="EH595" s="11"/>
      <c r="EI595" s="11"/>
      <c r="EJ595" s="13"/>
      <c r="EK595" s="11"/>
      <c r="EL595" s="12"/>
      <c r="EM595" s="12"/>
      <c r="EN595" s="11"/>
      <c r="EO595" s="13"/>
      <c r="EP595" s="11">
        <v>3</v>
      </c>
      <c r="EQ595" s="11"/>
      <c r="ER595" s="13"/>
      <c r="ES595" s="11"/>
      <c r="ET595" s="12"/>
      <c r="EU595" s="12"/>
      <c r="EV595" s="11">
        <v>9</v>
      </c>
      <c r="EW595" s="13">
        <v>133.29</v>
      </c>
      <c r="EX595" s="11">
        <v>1</v>
      </c>
      <c r="EY595" s="11"/>
      <c r="EZ595" s="13"/>
      <c r="FA595" s="11"/>
      <c r="FB595" s="12"/>
      <c r="FC595" s="12"/>
      <c r="FD595" s="11"/>
      <c r="FE595" s="13"/>
      <c r="FF595" s="11"/>
      <c r="FG595" s="11"/>
      <c r="FH595" s="13"/>
      <c r="FI595" s="11"/>
      <c r="FJ595" s="12"/>
      <c r="FK595" s="12"/>
      <c r="FL595" s="11"/>
      <c r="FM595" s="13"/>
      <c r="FN595" s="11"/>
      <c r="FO595" s="11"/>
      <c r="FP595" s="13"/>
      <c r="FQ595" s="11"/>
      <c r="FR595" s="12"/>
      <c r="FS595" s="12"/>
      <c r="FT595" s="11"/>
      <c r="FU595" s="13"/>
      <c r="FV595" s="11"/>
      <c r="FW595" s="11"/>
      <c r="FX595" s="13"/>
      <c r="FY595" s="11"/>
      <c r="FZ595" s="12"/>
      <c r="GA595" s="12"/>
      <c r="GB595" s="11"/>
      <c r="GC595" s="13"/>
      <c r="GD595" s="11"/>
      <c r="GE595" s="11"/>
      <c r="GF595" s="13"/>
      <c r="GG595" s="11"/>
      <c r="GH595" s="12"/>
      <c r="GI595" s="12"/>
      <c r="GJ595" s="11"/>
      <c r="GK595" s="13"/>
      <c r="GL595" s="11"/>
      <c r="GM595" s="11"/>
      <c r="GN595" s="13"/>
      <c r="GO595" s="11"/>
      <c r="GP595" s="12"/>
      <c r="GQ595" s="12"/>
      <c r="GR595" s="11"/>
      <c r="GS595" s="13"/>
      <c r="GT595" s="11">
        <v>3</v>
      </c>
      <c r="GU595" s="11"/>
      <c r="GV595" s="13"/>
      <c r="GW595" s="11"/>
      <c r="GX595" s="12"/>
      <c r="GY595" s="12"/>
      <c r="GZ595" s="11"/>
      <c r="HA595" s="13"/>
      <c r="HB595" s="11"/>
      <c r="HC595" s="11"/>
      <c r="HD595" s="13"/>
      <c r="HE595" s="11"/>
      <c r="HF595" s="12"/>
      <c r="HG595" s="12"/>
      <c r="HH595" s="11">
        <v>3</v>
      </c>
      <c r="HI595" s="13">
        <v>52.54</v>
      </c>
      <c r="HJ595" s="11"/>
      <c r="HK595" s="11"/>
      <c r="HL595" s="13"/>
      <c r="HM595" s="11"/>
      <c r="HN595" s="12"/>
      <c r="HO595" s="12"/>
      <c r="HP595" s="11"/>
      <c r="HQ595" s="13"/>
      <c r="HR595" s="11"/>
      <c r="HS595" s="11"/>
      <c r="HT595" s="13"/>
      <c r="HU595" s="11"/>
      <c r="HV595" s="12"/>
      <c r="HW595" s="12"/>
      <c r="HX595" s="11"/>
      <c r="HY595" s="13"/>
      <c r="HZ595" s="11"/>
      <c r="IA595" s="11"/>
      <c r="IB595" s="13"/>
      <c r="IC595" s="11"/>
      <c r="ID595" s="12"/>
      <c r="IE595" s="12"/>
      <c r="IF595" s="11"/>
      <c r="IG595" s="13"/>
      <c r="IH595" s="11"/>
      <c r="II595" s="11"/>
      <c r="IJ595" s="13"/>
      <c r="IK595" s="11"/>
      <c r="IL595" s="12"/>
      <c r="IM595" s="12"/>
      <c r="IN595" s="11"/>
      <c r="IO595" s="13"/>
      <c r="IP595" s="11"/>
      <c r="IQ595" s="11"/>
      <c r="IR595" s="13"/>
      <c r="IS595" s="11"/>
      <c r="IT595" s="12"/>
      <c r="IU595" s="12"/>
      <c r="IV595" s="11"/>
      <c r="IW595" s="13"/>
      <c r="IX595" s="11"/>
      <c r="IY595" s="11"/>
      <c r="IZ595" s="13"/>
      <c r="JA595" s="11"/>
      <c r="JB595" s="12"/>
      <c r="JC595" s="12"/>
      <c r="JD595" s="11"/>
      <c r="JE595" s="13"/>
      <c r="JF595" s="11"/>
      <c r="JG595" s="11"/>
      <c r="JH595" s="13"/>
      <c r="JI595" s="11"/>
      <c r="JJ595" s="12"/>
      <c r="JK595" s="12"/>
      <c r="JL595" s="11"/>
      <c r="JM595" s="13"/>
      <c r="JN595" s="11"/>
      <c r="JO595" s="11"/>
      <c r="JP595" s="13"/>
      <c r="JQ595" s="11"/>
      <c r="JR595" s="12"/>
      <c r="JS595" s="12"/>
      <c r="JT595" s="11"/>
      <c r="JU595" s="13"/>
      <c r="JV595" s="11"/>
      <c r="JW595" s="11"/>
      <c r="JX595" s="13"/>
      <c r="JY595" s="11"/>
      <c r="JZ595" s="12"/>
      <c r="KA595" s="12"/>
      <c r="KB595" s="11"/>
      <c r="KC595" s="13"/>
      <c r="KD595" s="11"/>
      <c r="KE595" s="11"/>
      <c r="KF595" s="13"/>
      <c r="KG595" s="11"/>
      <c r="KH595" s="12"/>
      <c r="KI595" s="12"/>
      <c r="KJ595" s="11"/>
      <c r="KK595" s="13"/>
      <c r="KL595" s="11"/>
      <c r="KM595" s="11"/>
      <c r="KN595" s="13"/>
      <c r="KO595" s="11"/>
      <c r="KP595" s="12"/>
      <c r="KQ595" s="12"/>
      <c r="KR595" s="11"/>
      <c r="KS595" s="13"/>
      <c r="KT595" s="11"/>
      <c r="KU595" s="11"/>
      <c r="KV595" s="13"/>
      <c r="KW595" s="11"/>
      <c r="KX595" s="12"/>
      <c r="KY595" s="12"/>
      <c r="KZ595" s="11"/>
      <c r="LA595" s="13"/>
      <c r="LB595" s="11"/>
      <c r="LC595" s="11"/>
      <c r="LD595" s="13"/>
      <c r="LE595" s="11"/>
      <c r="LF595" s="12"/>
      <c r="LG595" s="12"/>
      <c r="LH595" s="11"/>
      <c r="LI595" s="13"/>
      <c r="LJ595" s="11"/>
      <c r="LK595" s="11"/>
      <c r="LL595" s="13"/>
      <c r="LM595" s="11"/>
      <c r="LN595" s="12"/>
      <c r="LO595" s="12"/>
      <c r="LP595" s="11"/>
      <c r="LQ595" s="13"/>
      <c r="LR595" s="11"/>
      <c r="LS595" s="11"/>
      <c r="LT595" s="13"/>
      <c r="LU595" s="11"/>
      <c r="LV595" s="12"/>
      <c r="LW595" s="12"/>
    </row>
    <row r="596">
      <c r="A596" s="10" t="s">
        <v>289</v>
      </c>
      <c r="B596" s="10" t="s">
        <v>295</v>
      </c>
      <c r="C596" s="10" t="s">
        <v>100</v>
      </c>
      <c r="D596" s="11">
        <v>6</v>
      </c>
      <c r="E596" s="11">
        <f>=ROUNDDOWN(6.66666666666667,0)</f>
      </c>
      <c r="F596" s="11"/>
      <c r="G596" s="12"/>
      <c r="H596" s="11"/>
      <c r="I596" s="11">
        <f>=ROUNDDOWN({0},0)</f>
      </c>
      <c r="J596" s="11"/>
      <c r="K596" s="12"/>
      <c r="L596" s="11">
        <v>10</v>
      </c>
      <c r="M596" s="13">
        <v>255.34</v>
      </c>
      <c r="N596" s="11"/>
      <c r="O596" s="14"/>
      <c r="P596" s="11"/>
      <c r="Q596" s="13"/>
      <c r="R596" s="11"/>
      <c r="S596" s="14"/>
      <c r="T596" s="12"/>
      <c r="U596" s="12"/>
      <c r="V596" s="12"/>
      <c r="W596" s="12"/>
      <c r="X596" s="11">
        <v>8</v>
      </c>
      <c r="Y596" s="13">
        <v>154.16</v>
      </c>
      <c r="Z596" s="11"/>
      <c r="AA596" s="11"/>
      <c r="AB596" s="13"/>
      <c r="AC596" s="11"/>
      <c r="AD596" s="12"/>
      <c r="AE596" s="12"/>
      <c r="AF596" s="11"/>
      <c r="AG596" s="13"/>
      <c r="AH596" s="11"/>
      <c r="AI596" s="11"/>
      <c r="AJ596" s="13"/>
      <c r="AK596" s="11"/>
      <c r="AL596" s="12"/>
      <c r="AM596" s="12"/>
      <c r="AN596" s="11"/>
      <c r="AO596" s="13"/>
      <c r="AP596" s="11"/>
      <c r="AQ596" s="11"/>
      <c r="AR596" s="13"/>
      <c r="AS596" s="11"/>
      <c r="AT596" s="12"/>
      <c r="AU596" s="12"/>
      <c r="AV596" s="11"/>
      <c r="AW596" s="13"/>
      <c r="AX596" s="11"/>
      <c r="AY596" s="11"/>
      <c r="AZ596" s="13"/>
      <c r="BA596" s="11"/>
      <c r="BB596" s="12"/>
      <c r="BC596" s="12"/>
      <c r="BD596" s="11"/>
      <c r="BE596" s="13"/>
      <c r="BF596" s="11"/>
      <c r="BG596" s="11"/>
      <c r="BH596" s="13"/>
      <c r="BI596" s="11"/>
      <c r="BJ596" s="12"/>
      <c r="BK596" s="12"/>
      <c r="BL596" s="11"/>
      <c r="BM596" s="13"/>
      <c r="BN596" s="11"/>
      <c r="BO596" s="11"/>
      <c r="BP596" s="13"/>
      <c r="BQ596" s="11"/>
      <c r="BR596" s="12"/>
      <c r="BS596" s="12"/>
      <c r="BT596" s="11"/>
      <c r="BU596" s="13"/>
      <c r="BV596" s="11"/>
      <c r="BW596" s="11"/>
      <c r="BX596" s="13"/>
      <c r="BY596" s="11"/>
      <c r="BZ596" s="12"/>
      <c r="CA596" s="12"/>
      <c r="CB596" s="11"/>
      <c r="CC596" s="13"/>
      <c r="CD596" s="11"/>
      <c r="CE596" s="11"/>
      <c r="CF596" s="13"/>
      <c r="CG596" s="11"/>
      <c r="CH596" s="12"/>
      <c r="CI596" s="12"/>
      <c r="CJ596" s="11"/>
      <c r="CK596" s="13"/>
      <c r="CL596" s="11"/>
      <c r="CM596" s="11"/>
      <c r="CN596" s="13"/>
      <c r="CO596" s="11"/>
      <c r="CP596" s="12"/>
      <c r="CQ596" s="12"/>
      <c r="CR596" s="11"/>
      <c r="CS596" s="13"/>
      <c r="CT596" s="11"/>
      <c r="CU596" s="11"/>
      <c r="CV596" s="13"/>
      <c r="CW596" s="11"/>
      <c r="CX596" s="12"/>
      <c r="CY596" s="12"/>
      <c r="CZ596" s="11"/>
      <c r="DA596" s="13"/>
      <c r="DB596" s="11"/>
      <c r="DC596" s="11"/>
      <c r="DD596" s="13"/>
      <c r="DE596" s="11"/>
      <c r="DF596" s="12"/>
      <c r="DG596" s="12"/>
      <c r="DH596" s="11"/>
      <c r="DI596" s="13"/>
      <c r="DJ596" s="11"/>
      <c r="DK596" s="11"/>
      <c r="DL596" s="13"/>
      <c r="DM596" s="11"/>
      <c r="DN596" s="12"/>
      <c r="DO596" s="12"/>
      <c r="DP596" s="11"/>
      <c r="DQ596" s="13"/>
      <c r="DR596" s="11"/>
      <c r="DS596" s="11"/>
      <c r="DT596" s="13"/>
      <c r="DU596" s="11"/>
      <c r="DV596" s="12"/>
      <c r="DW596" s="12"/>
      <c r="DX596" s="11"/>
      <c r="DY596" s="13"/>
      <c r="DZ596" s="11"/>
      <c r="EA596" s="11"/>
      <c r="EB596" s="13"/>
      <c r="EC596" s="11"/>
      <c r="ED596" s="12"/>
      <c r="EE596" s="12"/>
      <c r="EF596" s="11"/>
      <c r="EG596" s="13"/>
      <c r="EH596" s="11"/>
      <c r="EI596" s="11"/>
      <c r="EJ596" s="13"/>
      <c r="EK596" s="11"/>
      <c r="EL596" s="12"/>
      <c r="EM596" s="12"/>
      <c r="EN596" s="11">
        <v>2</v>
      </c>
      <c r="EO596" s="13">
        <v>101.18</v>
      </c>
      <c r="EP596" s="11"/>
      <c r="EQ596" s="11"/>
      <c r="ER596" s="13"/>
      <c r="ES596" s="11"/>
      <c r="ET596" s="12"/>
      <c r="EU596" s="12"/>
      <c r="EV596" s="11"/>
      <c r="EW596" s="13"/>
      <c r="EX596" s="11"/>
      <c r="EY596" s="11"/>
      <c r="EZ596" s="13"/>
      <c r="FA596" s="11"/>
      <c r="FB596" s="12"/>
      <c r="FC596" s="12"/>
      <c r="FD596" s="11"/>
      <c r="FE596" s="13"/>
      <c r="FF596" s="11"/>
      <c r="FG596" s="11"/>
      <c r="FH596" s="13"/>
      <c r="FI596" s="11"/>
      <c r="FJ596" s="12"/>
      <c r="FK596" s="12"/>
      <c r="FL596" s="11"/>
      <c r="FM596" s="13"/>
      <c r="FN596" s="11"/>
      <c r="FO596" s="11"/>
      <c r="FP596" s="13"/>
      <c r="FQ596" s="11"/>
      <c r="FR596" s="12"/>
      <c r="FS596" s="12"/>
      <c r="FT596" s="11"/>
      <c r="FU596" s="13"/>
      <c r="FV596" s="11"/>
      <c r="FW596" s="11"/>
      <c r="FX596" s="13"/>
      <c r="FY596" s="11"/>
      <c r="FZ596" s="12"/>
      <c r="GA596" s="12"/>
      <c r="GB596" s="11"/>
      <c r="GC596" s="13"/>
      <c r="GD596" s="11"/>
      <c r="GE596" s="11"/>
      <c r="GF596" s="13"/>
      <c r="GG596" s="11"/>
      <c r="GH596" s="12"/>
      <c r="GI596" s="12"/>
      <c r="GJ596" s="11"/>
      <c r="GK596" s="13"/>
      <c r="GL596" s="11"/>
      <c r="GM596" s="11"/>
      <c r="GN596" s="13"/>
      <c r="GO596" s="11"/>
      <c r="GP596" s="12"/>
      <c r="GQ596" s="12"/>
      <c r="GR596" s="11"/>
      <c r="GS596" s="13"/>
      <c r="GT596" s="11"/>
      <c r="GU596" s="11"/>
      <c r="GV596" s="13"/>
      <c r="GW596" s="11"/>
      <c r="GX596" s="12"/>
      <c r="GY596" s="12"/>
      <c r="GZ596" s="11"/>
      <c r="HA596" s="13"/>
      <c r="HB596" s="11"/>
      <c r="HC596" s="11"/>
      <c r="HD596" s="13"/>
      <c r="HE596" s="11"/>
      <c r="HF596" s="12"/>
      <c r="HG596" s="12"/>
      <c r="HH596" s="11"/>
      <c r="HI596" s="13"/>
      <c r="HJ596" s="11"/>
      <c r="HK596" s="11"/>
      <c r="HL596" s="13"/>
      <c r="HM596" s="11"/>
      <c r="HN596" s="12"/>
      <c r="HO596" s="12"/>
      <c r="HP596" s="11"/>
      <c r="HQ596" s="13"/>
      <c r="HR596" s="11"/>
      <c r="HS596" s="11"/>
      <c r="HT596" s="13"/>
      <c r="HU596" s="11"/>
      <c r="HV596" s="12"/>
      <c r="HW596" s="12"/>
      <c r="HX596" s="11"/>
      <c r="HY596" s="13"/>
      <c r="HZ596" s="11"/>
      <c r="IA596" s="11"/>
      <c r="IB596" s="13"/>
      <c r="IC596" s="11"/>
      <c r="ID596" s="12"/>
      <c r="IE596" s="12"/>
      <c r="IF596" s="11"/>
      <c r="IG596" s="13"/>
      <c r="IH596" s="11"/>
      <c r="II596" s="11"/>
      <c r="IJ596" s="13"/>
      <c r="IK596" s="11"/>
      <c r="IL596" s="12"/>
      <c r="IM596" s="12"/>
      <c r="IN596" s="11"/>
      <c r="IO596" s="13"/>
      <c r="IP596" s="11"/>
      <c r="IQ596" s="11"/>
      <c r="IR596" s="13"/>
      <c r="IS596" s="11"/>
      <c r="IT596" s="12"/>
      <c r="IU596" s="12"/>
      <c r="IV596" s="11"/>
      <c r="IW596" s="13"/>
      <c r="IX596" s="11"/>
      <c r="IY596" s="11"/>
      <c r="IZ596" s="13"/>
      <c r="JA596" s="11"/>
      <c r="JB596" s="12"/>
      <c r="JC596" s="12"/>
      <c r="JD596" s="11"/>
      <c r="JE596" s="13"/>
      <c r="JF596" s="11"/>
      <c r="JG596" s="11"/>
      <c r="JH596" s="13"/>
      <c r="JI596" s="11"/>
      <c r="JJ596" s="12"/>
      <c r="JK596" s="12"/>
      <c r="JL596" s="11"/>
      <c r="JM596" s="13"/>
      <c r="JN596" s="11"/>
      <c r="JO596" s="11"/>
      <c r="JP596" s="13"/>
      <c r="JQ596" s="11"/>
      <c r="JR596" s="12"/>
      <c r="JS596" s="12"/>
      <c r="JT596" s="11"/>
      <c r="JU596" s="13"/>
      <c r="JV596" s="11"/>
      <c r="JW596" s="11"/>
      <c r="JX596" s="13"/>
      <c r="JY596" s="11"/>
      <c r="JZ596" s="12"/>
      <c r="KA596" s="12"/>
      <c r="KB596" s="11"/>
      <c r="KC596" s="13"/>
      <c r="KD596" s="11"/>
      <c r="KE596" s="11"/>
      <c r="KF596" s="13"/>
      <c r="KG596" s="11"/>
      <c r="KH596" s="12"/>
      <c r="KI596" s="12"/>
      <c r="KJ596" s="11"/>
      <c r="KK596" s="13"/>
      <c r="KL596" s="11"/>
      <c r="KM596" s="11"/>
      <c r="KN596" s="13"/>
      <c r="KO596" s="11"/>
      <c r="KP596" s="12"/>
      <c r="KQ596" s="12"/>
      <c r="KR596" s="11"/>
      <c r="KS596" s="13"/>
      <c r="KT596" s="11"/>
      <c r="KU596" s="11"/>
      <c r="KV596" s="13"/>
      <c r="KW596" s="11"/>
      <c r="KX596" s="12"/>
      <c r="KY596" s="12"/>
      <c r="KZ596" s="11"/>
      <c r="LA596" s="13"/>
      <c r="LB596" s="11"/>
      <c r="LC596" s="11"/>
      <c r="LD596" s="13"/>
      <c r="LE596" s="11"/>
      <c r="LF596" s="12"/>
      <c r="LG596" s="12"/>
      <c r="LH596" s="11"/>
      <c r="LI596" s="13"/>
      <c r="LJ596" s="11"/>
      <c r="LK596" s="11"/>
      <c r="LL596" s="13"/>
      <c r="LM596" s="11"/>
      <c r="LN596" s="12"/>
      <c r="LO596" s="12"/>
      <c r="LP596" s="11"/>
      <c r="LQ596" s="13"/>
      <c r="LR596" s="11"/>
      <c r="LS596" s="11"/>
      <c r="LT596" s="13"/>
      <c r="LU596" s="11"/>
      <c r="LV596" s="12"/>
      <c r="LW596" s="12"/>
    </row>
    <row r="597">
      <c r="A597" s="10" t="s">
        <v>289</v>
      </c>
      <c r="B597" s="10" t="s">
        <v>295</v>
      </c>
      <c r="C597" s="10" t="s">
        <v>101</v>
      </c>
      <c r="D597" s="11">
        <v>27158</v>
      </c>
      <c r="E597" s="11">
        <f>=ROUNDDOWN(23.2020504058095,0)</f>
      </c>
      <c r="F597" s="11">
        <v>11300</v>
      </c>
      <c r="G597" s="12">
        <v>0.9745</v>
      </c>
      <c r="H597" s="11"/>
      <c r="I597" s="11">
        <f>=ROUNDDOWN({0},0)</f>
      </c>
      <c r="J597" s="11"/>
      <c r="K597" s="12"/>
      <c r="L597" s="11">
        <v>13259</v>
      </c>
      <c r="M597" s="13">
        <v>278647.06</v>
      </c>
      <c r="N597" s="11">
        <v>74</v>
      </c>
      <c r="O597" s="14">
        <v>3765.5</v>
      </c>
      <c r="P597" s="11"/>
      <c r="Q597" s="13"/>
      <c r="R597" s="11"/>
      <c r="S597" s="14"/>
      <c r="T597" s="12"/>
      <c r="U597" s="12"/>
      <c r="V597" s="12"/>
      <c r="W597" s="12"/>
      <c r="X597" s="11">
        <v>2003</v>
      </c>
      <c r="Y597" s="13">
        <v>42522.08</v>
      </c>
      <c r="Z597" s="11">
        <v>65</v>
      </c>
      <c r="AA597" s="11"/>
      <c r="AB597" s="13"/>
      <c r="AC597" s="11"/>
      <c r="AD597" s="12"/>
      <c r="AE597" s="12"/>
      <c r="AF597" s="11">
        <v>3330</v>
      </c>
      <c r="AG597" s="13">
        <v>57255.72</v>
      </c>
      <c r="AH597" s="11">
        <v>73</v>
      </c>
      <c r="AI597" s="11"/>
      <c r="AJ597" s="13"/>
      <c r="AK597" s="11"/>
      <c r="AL597" s="12"/>
      <c r="AM597" s="12"/>
      <c r="AN597" s="11">
        <v>1958</v>
      </c>
      <c r="AO597" s="13">
        <v>39063.31</v>
      </c>
      <c r="AP597" s="11">
        <v>73</v>
      </c>
      <c r="AQ597" s="11"/>
      <c r="AR597" s="13"/>
      <c r="AS597" s="11"/>
      <c r="AT597" s="12"/>
      <c r="AU597" s="12"/>
      <c r="AV597" s="11">
        <v>1807</v>
      </c>
      <c r="AW597" s="13">
        <v>34635.39</v>
      </c>
      <c r="AX597" s="11">
        <v>42</v>
      </c>
      <c r="AY597" s="11"/>
      <c r="AZ597" s="13"/>
      <c r="BA597" s="11"/>
      <c r="BB597" s="12"/>
      <c r="BC597" s="12"/>
      <c r="BD597" s="11"/>
      <c r="BE597" s="13"/>
      <c r="BF597" s="11"/>
      <c r="BG597" s="11"/>
      <c r="BH597" s="13"/>
      <c r="BI597" s="11"/>
      <c r="BJ597" s="12"/>
      <c r="BK597" s="12"/>
      <c r="BL597" s="11">
        <v>333</v>
      </c>
      <c r="BM597" s="13">
        <v>6613.68</v>
      </c>
      <c r="BN597" s="11">
        <v>59</v>
      </c>
      <c r="BO597" s="11"/>
      <c r="BP597" s="13"/>
      <c r="BQ597" s="11"/>
      <c r="BR597" s="12"/>
      <c r="BS597" s="12"/>
      <c r="BT597" s="11">
        <v>312</v>
      </c>
      <c r="BU597" s="13">
        <v>7614.04</v>
      </c>
      <c r="BV597" s="11">
        <v>73</v>
      </c>
      <c r="BW597" s="11"/>
      <c r="BX597" s="13"/>
      <c r="BY597" s="11"/>
      <c r="BZ597" s="12"/>
      <c r="CA597" s="12"/>
      <c r="CB597" s="11">
        <v>2416</v>
      </c>
      <c r="CC597" s="13">
        <v>52877.99</v>
      </c>
      <c r="CD597" s="11">
        <v>73</v>
      </c>
      <c r="CE597" s="11"/>
      <c r="CF597" s="13"/>
      <c r="CG597" s="11"/>
      <c r="CH597" s="12"/>
      <c r="CI597" s="12"/>
      <c r="CJ597" s="11">
        <v>4</v>
      </c>
      <c r="CK597" s="13">
        <v>323.96</v>
      </c>
      <c r="CL597" s="11">
        <v>10</v>
      </c>
      <c r="CM597" s="11"/>
      <c r="CN597" s="13"/>
      <c r="CO597" s="11"/>
      <c r="CP597" s="12"/>
      <c r="CQ597" s="12"/>
      <c r="CR597" s="11"/>
      <c r="CS597" s="13"/>
      <c r="CT597" s="11"/>
      <c r="CU597" s="11"/>
      <c r="CV597" s="13"/>
      <c r="CW597" s="11"/>
      <c r="CX597" s="12"/>
      <c r="CY597" s="12"/>
      <c r="CZ597" s="11"/>
      <c r="DA597" s="13"/>
      <c r="DB597" s="11"/>
      <c r="DC597" s="11"/>
      <c r="DD597" s="13"/>
      <c r="DE597" s="11"/>
      <c r="DF597" s="12"/>
      <c r="DG597" s="12"/>
      <c r="DH597" s="11">
        <v>169</v>
      </c>
      <c r="DI597" s="13">
        <v>3607.89</v>
      </c>
      <c r="DJ597" s="11">
        <v>44</v>
      </c>
      <c r="DK597" s="11"/>
      <c r="DL597" s="13"/>
      <c r="DM597" s="11"/>
      <c r="DN597" s="12"/>
      <c r="DO597" s="12"/>
      <c r="DP597" s="11">
        <v>78</v>
      </c>
      <c r="DQ597" s="13">
        <v>1770.56</v>
      </c>
      <c r="DR597" s="11">
        <v>73</v>
      </c>
      <c r="DS597" s="11"/>
      <c r="DT597" s="13"/>
      <c r="DU597" s="11"/>
      <c r="DV597" s="12"/>
      <c r="DW597" s="12"/>
      <c r="DX597" s="11">
        <v>332</v>
      </c>
      <c r="DY597" s="13">
        <v>7227.15</v>
      </c>
      <c r="DZ597" s="11">
        <v>50</v>
      </c>
      <c r="EA597" s="11"/>
      <c r="EB597" s="13"/>
      <c r="EC597" s="11"/>
      <c r="ED597" s="12"/>
      <c r="EE597" s="12"/>
      <c r="EF597" s="11"/>
      <c r="EG597" s="13"/>
      <c r="EH597" s="11"/>
      <c r="EI597" s="11"/>
      <c r="EJ597" s="13"/>
      <c r="EK597" s="11"/>
      <c r="EL597" s="12"/>
      <c r="EM597" s="12"/>
      <c r="EN597" s="11">
        <v>304</v>
      </c>
      <c r="EO597" s="13">
        <v>21210.64</v>
      </c>
      <c r="EP597" s="11">
        <v>74</v>
      </c>
      <c r="EQ597" s="11"/>
      <c r="ER597" s="13"/>
      <c r="ES597" s="11"/>
      <c r="ET597" s="12"/>
      <c r="EU597" s="12"/>
      <c r="EV597" s="11">
        <v>128</v>
      </c>
      <c r="EW597" s="13">
        <v>2056.71</v>
      </c>
      <c r="EX597" s="11">
        <v>6</v>
      </c>
      <c r="EY597" s="11"/>
      <c r="EZ597" s="13"/>
      <c r="FA597" s="11"/>
      <c r="FB597" s="12"/>
      <c r="FC597" s="12"/>
      <c r="FD597" s="11"/>
      <c r="FE597" s="13"/>
      <c r="FF597" s="11"/>
      <c r="FG597" s="11"/>
      <c r="FH597" s="13"/>
      <c r="FI597" s="11"/>
      <c r="FJ597" s="12"/>
      <c r="FK597" s="12"/>
      <c r="FL597" s="11"/>
      <c r="FM597" s="13"/>
      <c r="FN597" s="11"/>
      <c r="FO597" s="11"/>
      <c r="FP597" s="13"/>
      <c r="FQ597" s="11"/>
      <c r="FR597" s="12"/>
      <c r="FS597" s="12"/>
      <c r="FT597" s="11"/>
      <c r="FU597" s="13"/>
      <c r="FV597" s="11"/>
      <c r="FW597" s="11"/>
      <c r="FX597" s="13"/>
      <c r="FY597" s="11"/>
      <c r="FZ597" s="12"/>
      <c r="GA597" s="12"/>
      <c r="GB597" s="11">
        <v>26</v>
      </c>
      <c r="GC597" s="13">
        <v>612.5</v>
      </c>
      <c r="GD597" s="11">
        <v>18</v>
      </c>
      <c r="GE597" s="11"/>
      <c r="GF597" s="13"/>
      <c r="GG597" s="11"/>
      <c r="GH597" s="12"/>
      <c r="GI597" s="12"/>
      <c r="GJ597" s="11"/>
      <c r="GK597" s="13"/>
      <c r="GL597" s="11"/>
      <c r="GM597" s="11"/>
      <c r="GN597" s="13"/>
      <c r="GO597" s="11"/>
      <c r="GP597" s="12"/>
      <c r="GQ597" s="12"/>
      <c r="GR597" s="11">
        <v>3</v>
      </c>
      <c r="GS597" s="13">
        <v>63.28</v>
      </c>
      <c r="GT597" s="11">
        <v>67</v>
      </c>
      <c r="GU597" s="11"/>
      <c r="GV597" s="13"/>
      <c r="GW597" s="11"/>
      <c r="GX597" s="12"/>
      <c r="GY597" s="12"/>
      <c r="GZ597" s="11"/>
      <c r="HA597" s="13"/>
      <c r="HB597" s="11"/>
      <c r="HC597" s="11"/>
      <c r="HD597" s="13"/>
      <c r="HE597" s="11"/>
      <c r="HF597" s="12"/>
      <c r="HG597" s="12"/>
      <c r="HH597" s="11"/>
      <c r="HI597" s="13"/>
      <c r="HJ597" s="11"/>
      <c r="HK597" s="11"/>
      <c r="HL597" s="13"/>
      <c r="HM597" s="11"/>
      <c r="HN597" s="12"/>
      <c r="HO597" s="12"/>
      <c r="HP597" s="11"/>
      <c r="HQ597" s="13"/>
      <c r="HR597" s="11"/>
      <c r="HS597" s="11"/>
      <c r="HT597" s="13"/>
      <c r="HU597" s="11"/>
      <c r="HV597" s="12"/>
      <c r="HW597" s="12"/>
      <c r="HX597" s="11"/>
      <c r="HY597" s="13"/>
      <c r="HZ597" s="11"/>
      <c r="IA597" s="11"/>
      <c r="IB597" s="13"/>
      <c r="IC597" s="11"/>
      <c r="ID597" s="12"/>
      <c r="IE597" s="12"/>
      <c r="IF597" s="11"/>
      <c r="IG597" s="13"/>
      <c r="IH597" s="11"/>
      <c r="II597" s="11"/>
      <c r="IJ597" s="13"/>
      <c r="IK597" s="11"/>
      <c r="IL597" s="12"/>
      <c r="IM597" s="12"/>
      <c r="IN597" s="11"/>
      <c r="IO597" s="13"/>
      <c r="IP597" s="11"/>
      <c r="IQ597" s="11"/>
      <c r="IR597" s="13"/>
      <c r="IS597" s="11"/>
      <c r="IT597" s="12"/>
      <c r="IU597" s="12"/>
      <c r="IV597" s="11">
        <v>7</v>
      </c>
      <c r="IW597" s="13">
        <v>122.3</v>
      </c>
      <c r="IX597" s="11">
        <v>14</v>
      </c>
      <c r="IY597" s="11"/>
      <c r="IZ597" s="13"/>
      <c r="JA597" s="11"/>
      <c r="JB597" s="12"/>
      <c r="JC597" s="12"/>
      <c r="JD597" s="11">
        <v>49</v>
      </c>
      <c r="JE597" s="13">
        <v>1069.86</v>
      </c>
      <c r="JF597" s="11">
        <v>32</v>
      </c>
      <c r="JG597" s="11"/>
      <c r="JH597" s="13"/>
      <c r="JI597" s="11"/>
      <c r="JJ597" s="12"/>
      <c r="JK597" s="12"/>
      <c r="JL597" s="11"/>
      <c r="JM597" s="13"/>
      <c r="JN597" s="11"/>
      <c r="JO597" s="11"/>
      <c r="JP597" s="13"/>
      <c r="JQ597" s="11"/>
      <c r="JR597" s="12"/>
      <c r="JS597" s="12"/>
      <c r="JT597" s="11"/>
      <c r="JU597" s="13"/>
      <c r="JV597" s="11"/>
      <c r="JW597" s="11"/>
      <c r="JX597" s="13"/>
      <c r="JY597" s="11"/>
      <c r="JZ597" s="12"/>
      <c r="KA597" s="12"/>
      <c r="KB597" s="11"/>
      <c r="KC597" s="13"/>
      <c r="KD597" s="11"/>
      <c r="KE597" s="11"/>
      <c r="KF597" s="13"/>
      <c r="KG597" s="11"/>
      <c r="KH597" s="12"/>
      <c r="KI597" s="12"/>
      <c r="KJ597" s="11"/>
      <c r="KK597" s="13"/>
      <c r="KL597" s="11"/>
      <c r="KM597" s="11"/>
      <c r="KN597" s="13"/>
      <c r="KO597" s="11"/>
      <c r="KP597" s="12"/>
      <c r="KQ597" s="12"/>
      <c r="KR597" s="11"/>
      <c r="KS597" s="13"/>
      <c r="KT597" s="11"/>
      <c r="KU597" s="11"/>
      <c r="KV597" s="13"/>
      <c r="KW597" s="11"/>
      <c r="KX597" s="12"/>
      <c r="KY597" s="12"/>
      <c r="KZ597" s="11"/>
      <c r="LA597" s="13"/>
      <c r="LB597" s="11"/>
      <c r="LC597" s="11"/>
      <c r="LD597" s="13"/>
      <c r="LE597" s="11"/>
      <c r="LF597" s="12"/>
      <c r="LG597" s="12"/>
      <c r="LH597" s="11"/>
      <c r="LI597" s="13"/>
      <c r="LJ597" s="11"/>
      <c r="LK597" s="11"/>
      <c r="LL597" s="13"/>
      <c r="LM597" s="11"/>
      <c r="LN597" s="12"/>
      <c r="LO597" s="12"/>
      <c r="LP597" s="11"/>
      <c r="LQ597" s="13"/>
      <c r="LR597" s="11"/>
      <c r="LS597" s="11"/>
      <c r="LT597" s="13"/>
      <c r="LU597" s="11"/>
      <c r="LV597" s="12"/>
      <c r="LW597" s="12"/>
    </row>
    <row r="598">
      <c r="A598" s="10" t="s">
        <v>289</v>
      </c>
      <c r="B598" s="10" t="s">
        <v>296</v>
      </c>
      <c r="C598" s="10" t="s">
        <v>77</v>
      </c>
      <c r="D598" s="11">
        <v>27164</v>
      </c>
      <c r="E598" s="11">
        <f>=ROUNDDOWN({0},0)</f>
      </c>
      <c r="F598" s="11">
        <v>11300</v>
      </c>
      <c r="G598" s="12"/>
      <c r="H598" s="11"/>
      <c r="I598" s="11">
        <f>=ROUNDDOWN({0},0)</f>
      </c>
      <c r="J598" s="11"/>
      <c r="K598" s="12"/>
      <c r="L598" s="11">
        <v>13269</v>
      </c>
      <c r="M598" s="13">
        <v>278902.4</v>
      </c>
      <c r="N598" s="11">
        <v>74</v>
      </c>
      <c r="O598" s="14">
        <v>3768.95</v>
      </c>
      <c r="P598" s="11"/>
      <c r="Q598" s="13"/>
      <c r="R598" s="11"/>
      <c r="S598" s="14"/>
      <c r="T598" s="12"/>
      <c r="U598" s="12"/>
      <c r="V598" s="12"/>
      <c r="W598" s="12"/>
      <c r="X598" s="11">
        <v>2011</v>
      </c>
      <c r="Y598" s="13">
        <v>42676.24</v>
      </c>
      <c r="Z598" s="11">
        <v>65</v>
      </c>
      <c r="AA598" s="11"/>
      <c r="AB598" s="13"/>
      <c r="AC598" s="11"/>
      <c r="AD598" s="12"/>
      <c r="AE598" s="12"/>
      <c r="AF598" s="11">
        <v>3330</v>
      </c>
      <c r="AG598" s="13">
        <v>57255.72</v>
      </c>
      <c r="AH598" s="11">
        <v>73</v>
      </c>
      <c r="AI598" s="11"/>
      <c r="AJ598" s="13"/>
      <c r="AK598" s="11"/>
      <c r="AL598" s="12"/>
      <c r="AM598" s="12"/>
      <c r="AN598" s="11">
        <v>1958</v>
      </c>
      <c r="AO598" s="13">
        <v>39063.31</v>
      </c>
      <c r="AP598" s="11">
        <v>73</v>
      </c>
      <c r="AQ598" s="11"/>
      <c r="AR598" s="13"/>
      <c r="AS598" s="11"/>
      <c r="AT598" s="12"/>
      <c r="AU598" s="12"/>
      <c r="AV598" s="11">
        <v>1807</v>
      </c>
      <c r="AW598" s="13">
        <v>34635.39</v>
      </c>
      <c r="AX598" s="11">
        <v>42</v>
      </c>
      <c r="AY598" s="11"/>
      <c r="AZ598" s="13"/>
      <c r="BA598" s="11"/>
      <c r="BB598" s="12"/>
      <c r="BC598" s="12"/>
      <c r="BD598" s="11"/>
      <c r="BE598" s="13"/>
      <c r="BF598" s="11"/>
      <c r="BG598" s="11"/>
      <c r="BH598" s="13"/>
      <c r="BI598" s="11"/>
      <c r="BJ598" s="12"/>
      <c r="BK598" s="12"/>
      <c r="BL598" s="11">
        <v>333</v>
      </c>
      <c r="BM598" s="13">
        <v>6613.68</v>
      </c>
      <c r="BN598" s="11">
        <v>59</v>
      </c>
      <c r="BO598" s="11"/>
      <c r="BP598" s="13"/>
      <c r="BQ598" s="11"/>
      <c r="BR598" s="12"/>
      <c r="BS598" s="12"/>
      <c r="BT598" s="11">
        <v>312</v>
      </c>
      <c r="BU598" s="13">
        <v>7614.04</v>
      </c>
      <c r="BV598" s="11">
        <v>73</v>
      </c>
      <c r="BW598" s="11"/>
      <c r="BX598" s="13"/>
      <c r="BY598" s="11"/>
      <c r="BZ598" s="12"/>
      <c r="CA598" s="12"/>
      <c r="CB598" s="11">
        <v>2416</v>
      </c>
      <c r="CC598" s="13">
        <v>52877.99</v>
      </c>
      <c r="CD598" s="11">
        <v>73</v>
      </c>
      <c r="CE598" s="11"/>
      <c r="CF598" s="13"/>
      <c r="CG598" s="11"/>
      <c r="CH598" s="12"/>
      <c r="CI598" s="12"/>
      <c r="CJ598" s="11">
        <v>4</v>
      </c>
      <c r="CK598" s="13">
        <v>323.96</v>
      </c>
      <c r="CL598" s="11">
        <v>10</v>
      </c>
      <c r="CM598" s="11"/>
      <c r="CN598" s="13"/>
      <c r="CO598" s="11"/>
      <c r="CP598" s="12"/>
      <c r="CQ598" s="12"/>
      <c r="CR598" s="11"/>
      <c r="CS598" s="13"/>
      <c r="CT598" s="11"/>
      <c r="CU598" s="11"/>
      <c r="CV598" s="13"/>
      <c r="CW598" s="11"/>
      <c r="CX598" s="12"/>
      <c r="CY598" s="12"/>
      <c r="CZ598" s="11"/>
      <c r="DA598" s="13"/>
      <c r="DB598" s="11"/>
      <c r="DC598" s="11"/>
      <c r="DD598" s="13"/>
      <c r="DE598" s="11"/>
      <c r="DF598" s="12"/>
      <c r="DG598" s="12"/>
      <c r="DH598" s="11">
        <v>169</v>
      </c>
      <c r="DI598" s="13">
        <v>3607.89</v>
      </c>
      <c r="DJ598" s="11">
        <v>44</v>
      </c>
      <c r="DK598" s="11"/>
      <c r="DL598" s="13"/>
      <c r="DM598" s="11"/>
      <c r="DN598" s="12"/>
      <c r="DO598" s="12"/>
      <c r="DP598" s="11">
        <v>78</v>
      </c>
      <c r="DQ598" s="13">
        <v>1770.56</v>
      </c>
      <c r="DR598" s="11">
        <v>73</v>
      </c>
      <c r="DS598" s="11"/>
      <c r="DT598" s="13"/>
      <c r="DU598" s="11"/>
      <c r="DV598" s="12"/>
      <c r="DW598" s="12"/>
      <c r="DX598" s="11">
        <v>332</v>
      </c>
      <c r="DY598" s="13">
        <v>7227.15</v>
      </c>
      <c r="DZ598" s="11">
        <v>50</v>
      </c>
      <c r="EA598" s="11"/>
      <c r="EB598" s="13"/>
      <c r="EC598" s="11"/>
      <c r="ED598" s="12"/>
      <c r="EE598" s="12"/>
      <c r="EF598" s="11"/>
      <c r="EG598" s="13"/>
      <c r="EH598" s="11"/>
      <c r="EI598" s="11"/>
      <c r="EJ598" s="13"/>
      <c r="EK598" s="11"/>
      <c r="EL598" s="12"/>
      <c r="EM598" s="12"/>
      <c r="EN598" s="11">
        <v>306</v>
      </c>
      <c r="EO598" s="13">
        <v>21311.82</v>
      </c>
      <c r="EP598" s="11">
        <v>74</v>
      </c>
      <c r="EQ598" s="11"/>
      <c r="ER598" s="13"/>
      <c r="ES598" s="11"/>
      <c r="ET598" s="12"/>
      <c r="EU598" s="12"/>
      <c r="EV598" s="11">
        <v>128</v>
      </c>
      <c r="EW598" s="13">
        <v>2056.71</v>
      </c>
      <c r="EX598" s="11">
        <v>6</v>
      </c>
      <c r="EY598" s="11"/>
      <c r="EZ598" s="13"/>
      <c r="FA598" s="11"/>
      <c r="FB598" s="12"/>
      <c r="FC598" s="12"/>
      <c r="FD598" s="11"/>
      <c r="FE598" s="13"/>
      <c r="FF598" s="11"/>
      <c r="FG598" s="11"/>
      <c r="FH598" s="13"/>
      <c r="FI598" s="11"/>
      <c r="FJ598" s="12"/>
      <c r="FK598" s="12"/>
      <c r="FL598" s="11"/>
      <c r="FM598" s="13"/>
      <c r="FN598" s="11"/>
      <c r="FO598" s="11"/>
      <c r="FP598" s="13"/>
      <c r="FQ598" s="11"/>
      <c r="FR598" s="12"/>
      <c r="FS598" s="12"/>
      <c r="FT598" s="11"/>
      <c r="FU598" s="13"/>
      <c r="FV598" s="11"/>
      <c r="FW598" s="11"/>
      <c r="FX598" s="13"/>
      <c r="FY598" s="11"/>
      <c r="FZ598" s="12"/>
      <c r="GA598" s="12"/>
      <c r="GB598" s="11">
        <v>26</v>
      </c>
      <c r="GC598" s="13">
        <v>612.5</v>
      </c>
      <c r="GD598" s="11">
        <v>18</v>
      </c>
      <c r="GE598" s="11"/>
      <c r="GF598" s="13"/>
      <c r="GG598" s="11"/>
      <c r="GH598" s="12"/>
      <c r="GI598" s="12"/>
      <c r="GJ598" s="11"/>
      <c r="GK598" s="13"/>
      <c r="GL598" s="11"/>
      <c r="GM598" s="11"/>
      <c r="GN598" s="13"/>
      <c r="GO598" s="11"/>
      <c r="GP598" s="12"/>
      <c r="GQ598" s="12"/>
      <c r="GR598" s="11">
        <v>3</v>
      </c>
      <c r="GS598" s="13">
        <v>63.28</v>
      </c>
      <c r="GT598" s="11">
        <v>67</v>
      </c>
      <c r="GU598" s="11"/>
      <c r="GV598" s="13"/>
      <c r="GW598" s="11"/>
      <c r="GX598" s="12"/>
      <c r="GY598" s="12"/>
      <c r="GZ598" s="11"/>
      <c r="HA598" s="13"/>
      <c r="HB598" s="11"/>
      <c r="HC598" s="11"/>
      <c r="HD598" s="13"/>
      <c r="HE598" s="11"/>
      <c r="HF598" s="12"/>
      <c r="HG598" s="12"/>
      <c r="HH598" s="11"/>
      <c r="HI598" s="13"/>
      <c r="HJ598" s="11"/>
      <c r="HK598" s="11"/>
      <c r="HL598" s="13"/>
      <c r="HM598" s="11"/>
      <c r="HN598" s="12"/>
      <c r="HO598" s="12"/>
      <c r="HP598" s="11"/>
      <c r="HQ598" s="13"/>
      <c r="HR598" s="11"/>
      <c r="HS598" s="11"/>
      <c r="HT598" s="13"/>
      <c r="HU598" s="11"/>
      <c r="HV598" s="12"/>
      <c r="HW598" s="12"/>
      <c r="HX598" s="11"/>
      <c r="HY598" s="13"/>
      <c r="HZ598" s="11"/>
      <c r="IA598" s="11"/>
      <c r="IB598" s="13"/>
      <c r="IC598" s="11"/>
      <c r="ID598" s="12"/>
      <c r="IE598" s="12"/>
      <c r="IF598" s="11"/>
      <c r="IG598" s="13"/>
      <c r="IH598" s="11"/>
      <c r="II598" s="11"/>
      <c r="IJ598" s="13"/>
      <c r="IK598" s="11"/>
      <c r="IL598" s="12"/>
      <c r="IM598" s="12"/>
      <c r="IN598" s="11"/>
      <c r="IO598" s="13"/>
      <c r="IP598" s="11"/>
      <c r="IQ598" s="11"/>
      <c r="IR598" s="13"/>
      <c r="IS598" s="11"/>
      <c r="IT598" s="12"/>
      <c r="IU598" s="12"/>
      <c r="IV598" s="11">
        <v>7</v>
      </c>
      <c r="IW598" s="13">
        <v>122.3</v>
      </c>
      <c r="IX598" s="11">
        <v>14</v>
      </c>
      <c r="IY598" s="11"/>
      <c r="IZ598" s="13"/>
      <c r="JA598" s="11"/>
      <c r="JB598" s="12"/>
      <c r="JC598" s="12"/>
      <c r="JD598" s="11">
        <v>49</v>
      </c>
      <c r="JE598" s="13">
        <v>1069.86</v>
      </c>
      <c r="JF598" s="11">
        <v>32</v>
      </c>
      <c r="JG598" s="11"/>
      <c r="JH598" s="13"/>
      <c r="JI598" s="11"/>
      <c r="JJ598" s="12"/>
      <c r="JK598" s="12"/>
      <c r="JL598" s="11"/>
      <c r="JM598" s="13"/>
      <c r="JN598" s="11"/>
      <c r="JO598" s="11"/>
      <c r="JP598" s="13"/>
      <c r="JQ598" s="11"/>
      <c r="JR598" s="12"/>
      <c r="JS598" s="12"/>
      <c r="JT598" s="11"/>
      <c r="JU598" s="13"/>
      <c r="JV598" s="11"/>
      <c r="JW598" s="11"/>
      <c r="JX598" s="13"/>
      <c r="JY598" s="11"/>
      <c r="JZ598" s="12"/>
      <c r="KA598" s="12"/>
      <c r="KB598" s="11"/>
      <c r="KC598" s="13"/>
      <c r="KD598" s="11"/>
      <c r="KE598" s="11"/>
      <c r="KF598" s="13"/>
      <c r="KG598" s="11"/>
      <c r="KH598" s="12"/>
      <c r="KI598" s="12"/>
      <c r="KJ598" s="11"/>
      <c r="KK598" s="13"/>
      <c r="KL598" s="11"/>
      <c r="KM598" s="11"/>
      <c r="KN598" s="13"/>
      <c r="KO598" s="11"/>
      <c r="KP598" s="12"/>
      <c r="KQ598" s="12"/>
      <c r="KR598" s="11"/>
      <c r="KS598" s="13"/>
      <c r="KT598" s="11"/>
      <c r="KU598" s="11"/>
      <c r="KV598" s="13"/>
      <c r="KW598" s="11"/>
      <c r="KX598" s="12"/>
      <c r="KY598" s="12"/>
      <c r="KZ598" s="11"/>
      <c r="LA598" s="13"/>
      <c r="LB598" s="11"/>
      <c r="LC598" s="11"/>
      <c r="LD598" s="13"/>
      <c r="LE598" s="11"/>
      <c r="LF598" s="12"/>
      <c r="LG598" s="12"/>
      <c r="LH598" s="11"/>
      <c r="LI598" s="13"/>
      <c r="LJ598" s="11"/>
      <c r="LK598" s="11"/>
      <c r="LL598" s="13"/>
      <c r="LM598" s="11"/>
      <c r="LN598" s="12"/>
      <c r="LO598" s="12"/>
      <c r="LP598" s="11"/>
      <c r="LQ598" s="13"/>
      <c r="LR598" s="11"/>
      <c r="LS598" s="11"/>
      <c r="LT598" s="13"/>
      <c r="LU598" s="11"/>
      <c r="LV598" s="12"/>
      <c r="LW598" s="12"/>
    </row>
    <row r="599">
      <c r="A599" s="10" t="s">
        <v>289</v>
      </c>
      <c r="B599" s="10" t="s">
        <v>165</v>
      </c>
      <c r="C599" s="10" t="s">
        <v>93</v>
      </c>
      <c r="D599" s="11">
        <v>68</v>
      </c>
      <c r="E599" s="11">
        <f>=ROUNDDOWN(52.3076923076923,0)</f>
      </c>
      <c r="F599" s="11"/>
      <c r="G599" s="12"/>
      <c r="H599" s="11"/>
      <c r="I599" s="11">
        <f>=ROUNDDOWN({0},0)</f>
      </c>
      <c r="J599" s="11"/>
      <c r="K599" s="12"/>
      <c r="L599" s="11">
        <v>16</v>
      </c>
      <c r="M599" s="13">
        <v>130.23</v>
      </c>
      <c r="N599" s="11"/>
      <c r="O599" s="14"/>
      <c r="P599" s="11"/>
      <c r="Q599" s="13"/>
      <c r="R599" s="11"/>
      <c r="S599" s="14"/>
      <c r="T599" s="12"/>
      <c r="U599" s="12"/>
      <c r="V599" s="12"/>
      <c r="W599" s="12"/>
      <c r="X599" s="11"/>
      <c r="Y599" s="13"/>
      <c r="Z599" s="11"/>
      <c r="AA599" s="11"/>
      <c r="AB599" s="13"/>
      <c r="AC599" s="11"/>
      <c r="AD599" s="12"/>
      <c r="AE599" s="12"/>
      <c r="AF599" s="11">
        <v>4</v>
      </c>
      <c r="AG599" s="13">
        <v>20.64</v>
      </c>
      <c r="AH599" s="11"/>
      <c r="AI599" s="11"/>
      <c r="AJ599" s="13"/>
      <c r="AK599" s="11"/>
      <c r="AL599" s="12"/>
      <c r="AM599" s="12"/>
      <c r="AN599" s="11">
        <v>9</v>
      </c>
      <c r="AO599" s="13">
        <v>93.15</v>
      </c>
      <c r="AP599" s="11"/>
      <c r="AQ599" s="11"/>
      <c r="AR599" s="13"/>
      <c r="AS599" s="11"/>
      <c r="AT599" s="12"/>
      <c r="AU599" s="12"/>
      <c r="AV599" s="11">
        <v>1</v>
      </c>
      <c r="AW599" s="13">
        <v>10.96</v>
      </c>
      <c r="AX599" s="11"/>
      <c r="AY599" s="11"/>
      <c r="AZ599" s="13"/>
      <c r="BA599" s="11"/>
      <c r="BB599" s="12"/>
      <c r="BC599" s="12"/>
      <c r="BD599" s="11"/>
      <c r="BE599" s="13"/>
      <c r="BF599" s="11"/>
      <c r="BG599" s="11"/>
      <c r="BH599" s="13"/>
      <c r="BI599" s="11"/>
      <c r="BJ599" s="12"/>
      <c r="BK599" s="12"/>
      <c r="BL599" s="11">
        <v>2</v>
      </c>
      <c r="BM599" s="13">
        <v>5.48</v>
      </c>
      <c r="BN599" s="11"/>
      <c r="BO599" s="11"/>
      <c r="BP599" s="13"/>
      <c r="BQ599" s="11"/>
      <c r="BR599" s="12"/>
      <c r="BS599" s="12"/>
      <c r="BT599" s="11"/>
      <c r="BU599" s="13"/>
      <c r="BV599" s="11"/>
      <c r="BW599" s="11"/>
      <c r="BX599" s="13"/>
      <c r="BY599" s="11"/>
      <c r="BZ599" s="12"/>
      <c r="CA599" s="12"/>
      <c r="CB599" s="11"/>
      <c r="CC599" s="13"/>
      <c r="CD599" s="11"/>
      <c r="CE599" s="11"/>
      <c r="CF599" s="13"/>
      <c r="CG599" s="11"/>
      <c r="CH599" s="12"/>
      <c r="CI599" s="12"/>
      <c r="CJ599" s="11"/>
      <c r="CK599" s="13"/>
      <c r="CL599" s="11"/>
      <c r="CM599" s="11"/>
      <c r="CN599" s="13"/>
      <c r="CO599" s="11"/>
      <c r="CP599" s="12"/>
      <c r="CQ599" s="12"/>
      <c r="CR599" s="11"/>
      <c r="CS599" s="13"/>
      <c r="CT599" s="11"/>
      <c r="CU599" s="11"/>
      <c r="CV599" s="13"/>
      <c r="CW599" s="11"/>
      <c r="CX599" s="12"/>
      <c r="CY599" s="12"/>
      <c r="CZ599" s="11"/>
      <c r="DA599" s="13"/>
      <c r="DB599" s="11"/>
      <c r="DC599" s="11"/>
      <c r="DD599" s="13"/>
      <c r="DE599" s="11"/>
      <c r="DF599" s="12"/>
      <c r="DG599" s="12"/>
      <c r="DH599" s="11"/>
      <c r="DI599" s="13"/>
      <c r="DJ599" s="11"/>
      <c r="DK599" s="11"/>
      <c r="DL599" s="13"/>
      <c r="DM599" s="11"/>
      <c r="DN599" s="12"/>
      <c r="DO599" s="12"/>
      <c r="DP599" s="11"/>
      <c r="DQ599" s="13"/>
      <c r="DR599" s="11"/>
      <c r="DS599" s="11"/>
      <c r="DT599" s="13"/>
      <c r="DU599" s="11"/>
      <c r="DV599" s="12"/>
      <c r="DW599" s="12"/>
      <c r="DX599" s="11"/>
      <c r="DY599" s="13"/>
      <c r="DZ599" s="11"/>
      <c r="EA599" s="11"/>
      <c r="EB599" s="13"/>
      <c r="EC599" s="11"/>
      <c r="ED599" s="12"/>
      <c r="EE599" s="12"/>
      <c r="EF599" s="11"/>
      <c r="EG599" s="13"/>
      <c r="EH599" s="11"/>
      <c r="EI599" s="11"/>
      <c r="EJ599" s="13"/>
      <c r="EK599" s="11"/>
      <c r="EL599" s="12"/>
      <c r="EM599" s="12"/>
      <c r="EN599" s="11"/>
      <c r="EO599" s="13"/>
      <c r="EP599" s="11"/>
      <c r="EQ599" s="11"/>
      <c r="ER599" s="13"/>
      <c r="ES599" s="11"/>
      <c r="ET599" s="12"/>
      <c r="EU599" s="12"/>
      <c r="EV599" s="11"/>
      <c r="EW599" s="13"/>
      <c r="EX599" s="11"/>
      <c r="EY599" s="11"/>
      <c r="EZ599" s="13"/>
      <c r="FA599" s="11"/>
      <c r="FB599" s="12"/>
      <c r="FC599" s="12"/>
      <c r="FD599" s="11"/>
      <c r="FE599" s="13"/>
      <c r="FF599" s="11"/>
      <c r="FG599" s="11"/>
      <c r="FH599" s="13"/>
      <c r="FI599" s="11"/>
      <c r="FJ599" s="12"/>
      <c r="FK599" s="12"/>
      <c r="FL599" s="11"/>
      <c r="FM599" s="13"/>
      <c r="FN599" s="11"/>
      <c r="FO599" s="11"/>
      <c r="FP599" s="13"/>
      <c r="FQ599" s="11"/>
      <c r="FR599" s="12"/>
      <c r="FS599" s="12"/>
      <c r="FT599" s="11"/>
      <c r="FU599" s="13"/>
      <c r="FV599" s="11"/>
      <c r="FW599" s="11"/>
      <c r="FX599" s="13"/>
      <c r="FY599" s="11"/>
      <c r="FZ599" s="12"/>
      <c r="GA599" s="12"/>
      <c r="GB599" s="11"/>
      <c r="GC599" s="13"/>
      <c r="GD599" s="11"/>
      <c r="GE599" s="11"/>
      <c r="GF599" s="13"/>
      <c r="GG599" s="11"/>
      <c r="GH599" s="12"/>
      <c r="GI599" s="12"/>
      <c r="GJ599" s="11"/>
      <c r="GK599" s="13"/>
      <c r="GL599" s="11"/>
      <c r="GM599" s="11"/>
      <c r="GN599" s="13"/>
      <c r="GO599" s="11"/>
      <c r="GP599" s="12"/>
      <c r="GQ599" s="12"/>
      <c r="GR599" s="11"/>
      <c r="GS599" s="13"/>
      <c r="GT599" s="11"/>
      <c r="GU599" s="11"/>
      <c r="GV599" s="13"/>
      <c r="GW599" s="11"/>
      <c r="GX599" s="12"/>
      <c r="GY599" s="12"/>
      <c r="GZ599" s="11"/>
      <c r="HA599" s="13"/>
      <c r="HB599" s="11"/>
      <c r="HC599" s="11"/>
      <c r="HD599" s="13"/>
      <c r="HE599" s="11"/>
      <c r="HF599" s="12"/>
      <c r="HG599" s="12"/>
      <c r="HH599" s="11"/>
      <c r="HI599" s="13"/>
      <c r="HJ599" s="11"/>
      <c r="HK599" s="11"/>
      <c r="HL599" s="13"/>
      <c r="HM599" s="11"/>
      <c r="HN599" s="12"/>
      <c r="HO599" s="12"/>
      <c r="HP599" s="11"/>
      <c r="HQ599" s="13"/>
      <c r="HR599" s="11"/>
      <c r="HS599" s="11"/>
      <c r="HT599" s="13"/>
      <c r="HU599" s="11"/>
      <c r="HV599" s="12"/>
      <c r="HW599" s="12"/>
      <c r="HX599" s="11"/>
      <c r="HY599" s="13"/>
      <c r="HZ599" s="11"/>
      <c r="IA599" s="11"/>
      <c r="IB599" s="13"/>
      <c r="IC599" s="11"/>
      <c r="ID599" s="12"/>
      <c r="IE599" s="12"/>
      <c r="IF599" s="11"/>
      <c r="IG599" s="13"/>
      <c r="IH599" s="11"/>
      <c r="II599" s="11"/>
      <c r="IJ599" s="13"/>
      <c r="IK599" s="11"/>
      <c r="IL599" s="12"/>
      <c r="IM599" s="12"/>
      <c r="IN599" s="11"/>
      <c r="IO599" s="13"/>
      <c r="IP599" s="11"/>
      <c r="IQ599" s="11"/>
      <c r="IR599" s="13"/>
      <c r="IS599" s="11"/>
      <c r="IT599" s="12"/>
      <c r="IU599" s="12"/>
      <c r="IV599" s="11"/>
      <c r="IW599" s="13"/>
      <c r="IX599" s="11"/>
      <c r="IY599" s="11"/>
      <c r="IZ599" s="13"/>
      <c r="JA599" s="11"/>
      <c r="JB599" s="12"/>
      <c r="JC599" s="12"/>
      <c r="JD599" s="11"/>
      <c r="JE599" s="13"/>
      <c r="JF599" s="11"/>
      <c r="JG599" s="11"/>
      <c r="JH599" s="13"/>
      <c r="JI599" s="11"/>
      <c r="JJ599" s="12"/>
      <c r="JK599" s="12"/>
      <c r="JL599" s="11"/>
      <c r="JM599" s="13"/>
      <c r="JN599" s="11"/>
      <c r="JO599" s="11"/>
      <c r="JP599" s="13"/>
      <c r="JQ599" s="11"/>
      <c r="JR599" s="12"/>
      <c r="JS599" s="12"/>
      <c r="JT599" s="11"/>
      <c r="JU599" s="13"/>
      <c r="JV599" s="11"/>
      <c r="JW599" s="11"/>
      <c r="JX599" s="13"/>
      <c r="JY599" s="11"/>
      <c r="JZ599" s="12"/>
      <c r="KA599" s="12"/>
      <c r="KB599" s="11"/>
      <c r="KC599" s="13"/>
      <c r="KD599" s="11"/>
      <c r="KE599" s="11"/>
      <c r="KF599" s="13"/>
      <c r="KG599" s="11"/>
      <c r="KH599" s="12"/>
      <c r="KI599" s="12"/>
      <c r="KJ599" s="11"/>
      <c r="KK599" s="13"/>
      <c r="KL599" s="11"/>
      <c r="KM599" s="11"/>
      <c r="KN599" s="13"/>
      <c r="KO599" s="11"/>
      <c r="KP599" s="12"/>
      <c r="KQ599" s="12"/>
      <c r="KR599" s="11"/>
      <c r="KS599" s="13"/>
      <c r="KT599" s="11"/>
      <c r="KU599" s="11"/>
      <c r="KV599" s="13"/>
      <c r="KW599" s="11"/>
      <c r="KX599" s="12"/>
      <c r="KY599" s="12"/>
      <c r="KZ599" s="11"/>
      <c r="LA599" s="13"/>
      <c r="LB599" s="11"/>
      <c r="LC599" s="11"/>
      <c r="LD599" s="13"/>
      <c r="LE599" s="11"/>
      <c r="LF599" s="12"/>
      <c r="LG599" s="12"/>
      <c r="LH599" s="11"/>
      <c r="LI599" s="13"/>
      <c r="LJ599" s="11"/>
      <c r="LK599" s="11"/>
      <c r="LL599" s="13"/>
      <c r="LM599" s="11"/>
      <c r="LN599" s="12"/>
      <c r="LO599" s="12"/>
      <c r="LP599" s="11"/>
      <c r="LQ599" s="13"/>
      <c r="LR599" s="11"/>
      <c r="LS599" s="11"/>
      <c r="LT599" s="13"/>
      <c r="LU599" s="11"/>
      <c r="LV599" s="12"/>
      <c r="LW599" s="12"/>
    </row>
    <row r="600">
      <c r="A600" s="10" t="s">
        <v>289</v>
      </c>
      <c r="B600" s="10" t="s">
        <v>166</v>
      </c>
      <c r="C600" s="10" t="s">
        <v>77</v>
      </c>
      <c r="D600" s="11">
        <v>68</v>
      </c>
      <c r="E600" s="11">
        <f>=ROUNDDOWN({0},0)</f>
      </c>
      <c r="F600" s="11"/>
      <c r="G600" s="12"/>
      <c r="H600" s="11"/>
      <c r="I600" s="11">
        <f>=ROUNDDOWN({0},0)</f>
      </c>
      <c r="J600" s="11"/>
      <c r="K600" s="12"/>
      <c r="L600" s="11">
        <v>16</v>
      </c>
      <c r="M600" s="13">
        <v>130.23</v>
      </c>
      <c r="N600" s="11"/>
      <c r="O600" s="14"/>
      <c r="P600" s="11"/>
      <c r="Q600" s="13"/>
      <c r="R600" s="11"/>
      <c r="S600" s="14"/>
      <c r="T600" s="12"/>
      <c r="U600" s="12"/>
      <c r="V600" s="12"/>
      <c r="W600" s="12"/>
      <c r="X600" s="11"/>
      <c r="Y600" s="13"/>
      <c r="Z600" s="11"/>
      <c r="AA600" s="11"/>
      <c r="AB600" s="13"/>
      <c r="AC600" s="11"/>
      <c r="AD600" s="12"/>
      <c r="AE600" s="12"/>
      <c r="AF600" s="11">
        <v>4</v>
      </c>
      <c r="AG600" s="13">
        <v>20.64</v>
      </c>
      <c r="AH600" s="11"/>
      <c r="AI600" s="11"/>
      <c r="AJ600" s="13"/>
      <c r="AK600" s="11"/>
      <c r="AL600" s="12"/>
      <c r="AM600" s="12"/>
      <c r="AN600" s="11">
        <v>9</v>
      </c>
      <c r="AO600" s="13">
        <v>93.15</v>
      </c>
      <c r="AP600" s="11"/>
      <c r="AQ600" s="11"/>
      <c r="AR600" s="13"/>
      <c r="AS600" s="11"/>
      <c r="AT600" s="12"/>
      <c r="AU600" s="12"/>
      <c r="AV600" s="11">
        <v>1</v>
      </c>
      <c r="AW600" s="13">
        <v>10.96</v>
      </c>
      <c r="AX600" s="11"/>
      <c r="AY600" s="11"/>
      <c r="AZ600" s="13"/>
      <c r="BA600" s="11"/>
      <c r="BB600" s="12"/>
      <c r="BC600" s="12"/>
      <c r="BD600" s="11"/>
      <c r="BE600" s="13"/>
      <c r="BF600" s="11"/>
      <c r="BG600" s="11"/>
      <c r="BH600" s="13"/>
      <c r="BI600" s="11"/>
      <c r="BJ600" s="12"/>
      <c r="BK600" s="12"/>
      <c r="BL600" s="11">
        <v>2</v>
      </c>
      <c r="BM600" s="13">
        <v>5.48</v>
      </c>
      <c r="BN600" s="11"/>
      <c r="BO600" s="11"/>
      <c r="BP600" s="13"/>
      <c r="BQ600" s="11"/>
      <c r="BR600" s="12"/>
      <c r="BS600" s="12"/>
      <c r="BT600" s="11"/>
      <c r="BU600" s="13"/>
      <c r="BV600" s="11"/>
      <c r="BW600" s="11"/>
      <c r="BX600" s="13"/>
      <c r="BY600" s="11"/>
      <c r="BZ600" s="12"/>
      <c r="CA600" s="12"/>
      <c r="CB600" s="11"/>
      <c r="CC600" s="13"/>
      <c r="CD600" s="11"/>
      <c r="CE600" s="11"/>
      <c r="CF600" s="13"/>
      <c r="CG600" s="11"/>
      <c r="CH600" s="12"/>
      <c r="CI600" s="12"/>
      <c r="CJ600" s="11"/>
      <c r="CK600" s="13"/>
      <c r="CL600" s="11"/>
      <c r="CM600" s="11"/>
      <c r="CN600" s="13"/>
      <c r="CO600" s="11"/>
      <c r="CP600" s="12"/>
      <c r="CQ600" s="12"/>
      <c r="CR600" s="11"/>
      <c r="CS600" s="13"/>
      <c r="CT600" s="11"/>
      <c r="CU600" s="11"/>
      <c r="CV600" s="13"/>
      <c r="CW600" s="11"/>
      <c r="CX600" s="12"/>
      <c r="CY600" s="12"/>
      <c r="CZ600" s="11"/>
      <c r="DA600" s="13"/>
      <c r="DB600" s="11"/>
      <c r="DC600" s="11"/>
      <c r="DD600" s="13"/>
      <c r="DE600" s="11"/>
      <c r="DF600" s="12"/>
      <c r="DG600" s="12"/>
      <c r="DH600" s="11"/>
      <c r="DI600" s="13"/>
      <c r="DJ600" s="11"/>
      <c r="DK600" s="11"/>
      <c r="DL600" s="13"/>
      <c r="DM600" s="11"/>
      <c r="DN600" s="12"/>
      <c r="DO600" s="12"/>
      <c r="DP600" s="11"/>
      <c r="DQ600" s="13"/>
      <c r="DR600" s="11"/>
      <c r="DS600" s="11"/>
      <c r="DT600" s="13"/>
      <c r="DU600" s="11"/>
      <c r="DV600" s="12"/>
      <c r="DW600" s="12"/>
      <c r="DX600" s="11"/>
      <c r="DY600" s="13"/>
      <c r="DZ600" s="11"/>
      <c r="EA600" s="11"/>
      <c r="EB600" s="13"/>
      <c r="EC600" s="11"/>
      <c r="ED600" s="12"/>
      <c r="EE600" s="12"/>
      <c r="EF600" s="11"/>
      <c r="EG600" s="13"/>
      <c r="EH600" s="11"/>
      <c r="EI600" s="11"/>
      <c r="EJ600" s="13"/>
      <c r="EK600" s="11"/>
      <c r="EL600" s="12"/>
      <c r="EM600" s="12"/>
      <c r="EN600" s="11"/>
      <c r="EO600" s="13"/>
      <c r="EP600" s="11"/>
      <c r="EQ600" s="11"/>
      <c r="ER600" s="13"/>
      <c r="ES600" s="11"/>
      <c r="ET600" s="12"/>
      <c r="EU600" s="12"/>
      <c r="EV600" s="11"/>
      <c r="EW600" s="13"/>
      <c r="EX600" s="11"/>
      <c r="EY600" s="11"/>
      <c r="EZ600" s="13"/>
      <c r="FA600" s="11"/>
      <c r="FB600" s="12"/>
      <c r="FC600" s="12"/>
      <c r="FD600" s="11"/>
      <c r="FE600" s="13"/>
      <c r="FF600" s="11"/>
      <c r="FG600" s="11"/>
      <c r="FH600" s="13"/>
      <c r="FI600" s="11"/>
      <c r="FJ600" s="12"/>
      <c r="FK600" s="12"/>
      <c r="FL600" s="11"/>
      <c r="FM600" s="13"/>
      <c r="FN600" s="11"/>
      <c r="FO600" s="11"/>
      <c r="FP600" s="13"/>
      <c r="FQ600" s="11"/>
      <c r="FR600" s="12"/>
      <c r="FS600" s="12"/>
      <c r="FT600" s="11"/>
      <c r="FU600" s="13"/>
      <c r="FV600" s="11"/>
      <c r="FW600" s="11"/>
      <c r="FX600" s="13"/>
      <c r="FY600" s="11"/>
      <c r="FZ600" s="12"/>
      <c r="GA600" s="12"/>
      <c r="GB600" s="11"/>
      <c r="GC600" s="13"/>
      <c r="GD600" s="11"/>
      <c r="GE600" s="11"/>
      <c r="GF600" s="13"/>
      <c r="GG600" s="11"/>
      <c r="GH600" s="12"/>
      <c r="GI600" s="12"/>
      <c r="GJ600" s="11"/>
      <c r="GK600" s="13"/>
      <c r="GL600" s="11"/>
      <c r="GM600" s="11"/>
      <c r="GN600" s="13"/>
      <c r="GO600" s="11"/>
      <c r="GP600" s="12"/>
      <c r="GQ600" s="12"/>
      <c r="GR600" s="11"/>
      <c r="GS600" s="13"/>
      <c r="GT600" s="11"/>
      <c r="GU600" s="11"/>
      <c r="GV600" s="13"/>
      <c r="GW600" s="11"/>
      <c r="GX600" s="12"/>
      <c r="GY600" s="12"/>
      <c r="GZ600" s="11"/>
      <c r="HA600" s="13"/>
      <c r="HB600" s="11"/>
      <c r="HC600" s="11"/>
      <c r="HD600" s="13"/>
      <c r="HE600" s="11"/>
      <c r="HF600" s="12"/>
      <c r="HG600" s="12"/>
      <c r="HH600" s="11"/>
      <c r="HI600" s="13"/>
      <c r="HJ600" s="11"/>
      <c r="HK600" s="11"/>
      <c r="HL600" s="13"/>
      <c r="HM600" s="11"/>
      <c r="HN600" s="12"/>
      <c r="HO600" s="12"/>
      <c r="HP600" s="11"/>
      <c r="HQ600" s="13"/>
      <c r="HR600" s="11"/>
      <c r="HS600" s="11"/>
      <c r="HT600" s="13"/>
      <c r="HU600" s="11"/>
      <c r="HV600" s="12"/>
      <c r="HW600" s="12"/>
      <c r="HX600" s="11"/>
      <c r="HY600" s="13"/>
      <c r="HZ600" s="11"/>
      <c r="IA600" s="11"/>
      <c r="IB600" s="13"/>
      <c r="IC600" s="11"/>
      <c r="ID600" s="12"/>
      <c r="IE600" s="12"/>
      <c r="IF600" s="11"/>
      <c r="IG600" s="13"/>
      <c r="IH600" s="11"/>
      <c r="II600" s="11"/>
      <c r="IJ600" s="13"/>
      <c r="IK600" s="11"/>
      <c r="IL600" s="12"/>
      <c r="IM600" s="12"/>
      <c r="IN600" s="11"/>
      <c r="IO600" s="13"/>
      <c r="IP600" s="11"/>
      <c r="IQ600" s="11"/>
      <c r="IR600" s="13"/>
      <c r="IS600" s="11"/>
      <c r="IT600" s="12"/>
      <c r="IU600" s="12"/>
      <c r="IV600" s="11"/>
      <c r="IW600" s="13"/>
      <c r="IX600" s="11"/>
      <c r="IY600" s="11"/>
      <c r="IZ600" s="13"/>
      <c r="JA600" s="11"/>
      <c r="JB600" s="12"/>
      <c r="JC600" s="12"/>
      <c r="JD600" s="11"/>
      <c r="JE600" s="13"/>
      <c r="JF600" s="11"/>
      <c r="JG600" s="11"/>
      <c r="JH600" s="13"/>
      <c r="JI600" s="11"/>
      <c r="JJ600" s="12"/>
      <c r="JK600" s="12"/>
      <c r="JL600" s="11"/>
      <c r="JM600" s="13"/>
      <c r="JN600" s="11"/>
      <c r="JO600" s="11"/>
      <c r="JP600" s="13"/>
      <c r="JQ600" s="11"/>
      <c r="JR600" s="12"/>
      <c r="JS600" s="12"/>
      <c r="JT600" s="11"/>
      <c r="JU600" s="13"/>
      <c r="JV600" s="11"/>
      <c r="JW600" s="11"/>
      <c r="JX600" s="13"/>
      <c r="JY600" s="11"/>
      <c r="JZ600" s="12"/>
      <c r="KA600" s="12"/>
      <c r="KB600" s="11"/>
      <c r="KC600" s="13"/>
      <c r="KD600" s="11"/>
      <c r="KE600" s="11"/>
      <c r="KF600" s="13"/>
      <c r="KG600" s="11"/>
      <c r="KH600" s="12"/>
      <c r="KI600" s="12"/>
      <c r="KJ600" s="11"/>
      <c r="KK600" s="13"/>
      <c r="KL600" s="11"/>
      <c r="KM600" s="11"/>
      <c r="KN600" s="13"/>
      <c r="KO600" s="11"/>
      <c r="KP600" s="12"/>
      <c r="KQ600" s="12"/>
      <c r="KR600" s="11"/>
      <c r="KS600" s="13"/>
      <c r="KT600" s="11"/>
      <c r="KU600" s="11"/>
      <c r="KV600" s="13"/>
      <c r="KW600" s="11"/>
      <c r="KX600" s="12"/>
      <c r="KY600" s="12"/>
      <c r="KZ600" s="11"/>
      <c r="LA600" s="13"/>
      <c r="LB600" s="11"/>
      <c r="LC600" s="11"/>
      <c r="LD600" s="13"/>
      <c r="LE600" s="11"/>
      <c r="LF600" s="12"/>
      <c r="LG600" s="12"/>
      <c r="LH600" s="11"/>
      <c r="LI600" s="13"/>
      <c r="LJ600" s="11"/>
      <c r="LK600" s="11"/>
      <c r="LL600" s="13"/>
      <c r="LM600" s="11"/>
      <c r="LN600" s="12"/>
      <c r="LO600" s="12"/>
      <c r="LP600" s="11"/>
      <c r="LQ600" s="13"/>
      <c r="LR600" s="11"/>
      <c r="LS600" s="11"/>
      <c r="LT600" s="13"/>
      <c r="LU600" s="11"/>
      <c r="LV600" s="12"/>
      <c r="LW600" s="12"/>
    </row>
    <row r="601">
      <c r="A601" s="10" t="s">
        <v>289</v>
      </c>
      <c r="B601" s="10" t="s">
        <v>297</v>
      </c>
      <c r="C601" s="10" t="s">
        <v>101</v>
      </c>
      <c r="D601" s="11">
        <v>2400</v>
      </c>
      <c r="E601" s="11">
        <f>=ROUNDDOWN({0},0)</f>
      </c>
      <c r="F601" s="11"/>
      <c r="G601" s="12">
        <v>1</v>
      </c>
      <c r="H601" s="11"/>
      <c r="I601" s="11">
        <f>=ROUNDDOWN({0},0)</f>
      </c>
      <c r="J601" s="11"/>
      <c r="K601" s="12"/>
      <c r="L601" s="11"/>
      <c r="M601" s="13"/>
      <c r="N601" s="11"/>
      <c r="O601" s="14"/>
      <c r="P601" s="11"/>
      <c r="Q601" s="13"/>
      <c r="R601" s="11"/>
      <c r="S601" s="14"/>
      <c r="T601" s="12"/>
      <c r="U601" s="12"/>
      <c r="V601" s="12"/>
      <c r="W601" s="12"/>
      <c r="X601" s="11"/>
      <c r="Y601" s="13"/>
      <c r="Z601" s="11"/>
      <c r="AA601" s="11"/>
      <c r="AB601" s="13"/>
      <c r="AC601" s="11"/>
      <c r="AD601" s="12"/>
      <c r="AE601" s="12"/>
      <c r="AF601" s="11"/>
      <c r="AG601" s="13"/>
      <c r="AH601" s="11"/>
      <c r="AI601" s="11"/>
      <c r="AJ601" s="13"/>
      <c r="AK601" s="11"/>
      <c r="AL601" s="12"/>
      <c r="AM601" s="12"/>
      <c r="AN601" s="11"/>
      <c r="AO601" s="13"/>
      <c r="AP601" s="11"/>
      <c r="AQ601" s="11"/>
      <c r="AR601" s="13"/>
      <c r="AS601" s="11"/>
      <c r="AT601" s="12"/>
      <c r="AU601" s="12"/>
      <c r="AV601" s="11"/>
      <c r="AW601" s="13"/>
      <c r="AX601" s="11"/>
      <c r="AY601" s="11"/>
      <c r="AZ601" s="13"/>
      <c r="BA601" s="11"/>
      <c r="BB601" s="12"/>
      <c r="BC601" s="12"/>
      <c r="BD601" s="11"/>
      <c r="BE601" s="13"/>
      <c r="BF601" s="11"/>
      <c r="BG601" s="11"/>
      <c r="BH601" s="13"/>
      <c r="BI601" s="11"/>
      <c r="BJ601" s="12"/>
      <c r="BK601" s="12"/>
      <c r="BL601" s="11"/>
      <c r="BM601" s="13"/>
      <c r="BN601" s="11"/>
      <c r="BO601" s="11"/>
      <c r="BP601" s="13"/>
      <c r="BQ601" s="11"/>
      <c r="BR601" s="12"/>
      <c r="BS601" s="12"/>
      <c r="BT601" s="11"/>
      <c r="BU601" s="13"/>
      <c r="BV601" s="11"/>
      <c r="BW601" s="11"/>
      <c r="BX601" s="13"/>
      <c r="BY601" s="11"/>
      <c r="BZ601" s="12"/>
      <c r="CA601" s="12"/>
      <c r="CB601" s="11"/>
      <c r="CC601" s="13"/>
      <c r="CD601" s="11"/>
      <c r="CE601" s="11"/>
      <c r="CF601" s="13"/>
      <c r="CG601" s="11"/>
      <c r="CH601" s="12"/>
      <c r="CI601" s="12"/>
      <c r="CJ601" s="11"/>
      <c r="CK601" s="13"/>
      <c r="CL601" s="11"/>
      <c r="CM601" s="11"/>
      <c r="CN601" s="13"/>
      <c r="CO601" s="11"/>
      <c r="CP601" s="12"/>
      <c r="CQ601" s="12"/>
      <c r="CR601" s="11"/>
      <c r="CS601" s="13"/>
      <c r="CT601" s="11"/>
      <c r="CU601" s="11"/>
      <c r="CV601" s="13"/>
      <c r="CW601" s="11"/>
      <c r="CX601" s="12"/>
      <c r="CY601" s="12"/>
      <c r="CZ601" s="11"/>
      <c r="DA601" s="13"/>
      <c r="DB601" s="11"/>
      <c r="DC601" s="11"/>
      <c r="DD601" s="13"/>
      <c r="DE601" s="11"/>
      <c r="DF601" s="12"/>
      <c r="DG601" s="12"/>
      <c r="DH601" s="11"/>
      <c r="DI601" s="13"/>
      <c r="DJ601" s="11"/>
      <c r="DK601" s="11"/>
      <c r="DL601" s="13"/>
      <c r="DM601" s="11"/>
      <c r="DN601" s="12"/>
      <c r="DO601" s="12"/>
      <c r="DP601" s="11"/>
      <c r="DQ601" s="13"/>
      <c r="DR601" s="11"/>
      <c r="DS601" s="11"/>
      <c r="DT601" s="13"/>
      <c r="DU601" s="11"/>
      <c r="DV601" s="12"/>
      <c r="DW601" s="12"/>
      <c r="DX601" s="11"/>
      <c r="DY601" s="13"/>
      <c r="DZ601" s="11"/>
      <c r="EA601" s="11"/>
      <c r="EB601" s="13"/>
      <c r="EC601" s="11"/>
      <c r="ED601" s="12"/>
      <c r="EE601" s="12"/>
      <c r="EF601" s="11"/>
      <c r="EG601" s="13"/>
      <c r="EH601" s="11"/>
      <c r="EI601" s="11"/>
      <c r="EJ601" s="13"/>
      <c r="EK601" s="11"/>
      <c r="EL601" s="12"/>
      <c r="EM601" s="12"/>
      <c r="EN601" s="11"/>
      <c r="EO601" s="13"/>
      <c r="EP601" s="11"/>
      <c r="EQ601" s="11"/>
      <c r="ER601" s="13"/>
      <c r="ES601" s="11"/>
      <c r="ET601" s="12"/>
      <c r="EU601" s="12"/>
      <c r="EV601" s="11"/>
      <c r="EW601" s="13"/>
      <c r="EX601" s="11"/>
      <c r="EY601" s="11"/>
      <c r="EZ601" s="13"/>
      <c r="FA601" s="11"/>
      <c r="FB601" s="12"/>
      <c r="FC601" s="12"/>
      <c r="FD601" s="11"/>
      <c r="FE601" s="13"/>
      <c r="FF601" s="11"/>
      <c r="FG601" s="11"/>
      <c r="FH601" s="13"/>
      <c r="FI601" s="11"/>
      <c r="FJ601" s="12"/>
      <c r="FK601" s="12"/>
      <c r="FL601" s="11"/>
      <c r="FM601" s="13"/>
      <c r="FN601" s="11"/>
      <c r="FO601" s="11"/>
      <c r="FP601" s="13"/>
      <c r="FQ601" s="11"/>
      <c r="FR601" s="12"/>
      <c r="FS601" s="12"/>
      <c r="FT601" s="11"/>
      <c r="FU601" s="13"/>
      <c r="FV601" s="11"/>
      <c r="FW601" s="11"/>
      <c r="FX601" s="13"/>
      <c r="FY601" s="11"/>
      <c r="FZ601" s="12"/>
      <c r="GA601" s="12"/>
      <c r="GB601" s="11"/>
      <c r="GC601" s="13"/>
      <c r="GD601" s="11"/>
      <c r="GE601" s="11"/>
      <c r="GF601" s="13"/>
      <c r="GG601" s="11"/>
      <c r="GH601" s="12"/>
      <c r="GI601" s="12"/>
      <c r="GJ601" s="11"/>
      <c r="GK601" s="13"/>
      <c r="GL601" s="11"/>
      <c r="GM601" s="11"/>
      <c r="GN601" s="13"/>
      <c r="GO601" s="11"/>
      <c r="GP601" s="12"/>
      <c r="GQ601" s="12"/>
      <c r="GR601" s="11"/>
      <c r="GS601" s="13"/>
      <c r="GT601" s="11"/>
      <c r="GU601" s="11"/>
      <c r="GV601" s="13"/>
      <c r="GW601" s="11"/>
      <c r="GX601" s="12"/>
      <c r="GY601" s="12"/>
      <c r="GZ601" s="11"/>
      <c r="HA601" s="13"/>
      <c r="HB601" s="11"/>
      <c r="HC601" s="11"/>
      <c r="HD601" s="13"/>
      <c r="HE601" s="11"/>
      <c r="HF601" s="12"/>
      <c r="HG601" s="12"/>
      <c r="HH601" s="11"/>
      <c r="HI601" s="13"/>
      <c r="HJ601" s="11"/>
      <c r="HK601" s="11"/>
      <c r="HL601" s="13"/>
      <c r="HM601" s="11"/>
      <c r="HN601" s="12"/>
      <c r="HO601" s="12"/>
      <c r="HP601" s="11"/>
      <c r="HQ601" s="13"/>
      <c r="HR601" s="11"/>
      <c r="HS601" s="11"/>
      <c r="HT601" s="13"/>
      <c r="HU601" s="11"/>
      <c r="HV601" s="12"/>
      <c r="HW601" s="12"/>
      <c r="HX601" s="11"/>
      <c r="HY601" s="13"/>
      <c r="HZ601" s="11"/>
      <c r="IA601" s="11"/>
      <c r="IB601" s="13"/>
      <c r="IC601" s="11"/>
      <c r="ID601" s="12"/>
      <c r="IE601" s="12"/>
      <c r="IF601" s="11"/>
      <c r="IG601" s="13"/>
      <c r="IH601" s="11"/>
      <c r="II601" s="11"/>
      <c r="IJ601" s="13"/>
      <c r="IK601" s="11"/>
      <c r="IL601" s="12"/>
      <c r="IM601" s="12"/>
      <c r="IN601" s="11"/>
      <c r="IO601" s="13"/>
      <c r="IP601" s="11"/>
      <c r="IQ601" s="11"/>
      <c r="IR601" s="13"/>
      <c r="IS601" s="11"/>
      <c r="IT601" s="12"/>
      <c r="IU601" s="12"/>
      <c r="IV601" s="11"/>
      <c r="IW601" s="13"/>
      <c r="IX601" s="11"/>
      <c r="IY601" s="11"/>
      <c r="IZ601" s="13"/>
      <c r="JA601" s="11"/>
      <c r="JB601" s="12"/>
      <c r="JC601" s="12"/>
      <c r="JD601" s="11"/>
      <c r="JE601" s="13"/>
      <c r="JF601" s="11"/>
      <c r="JG601" s="11"/>
      <c r="JH601" s="13"/>
      <c r="JI601" s="11"/>
      <c r="JJ601" s="12"/>
      <c r="JK601" s="12"/>
      <c r="JL601" s="11"/>
      <c r="JM601" s="13"/>
      <c r="JN601" s="11"/>
      <c r="JO601" s="11"/>
      <c r="JP601" s="13"/>
      <c r="JQ601" s="11"/>
      <c r="JR601" s="12"/>
      <c r="JS601" s="12"/>
      <c r="JT601" s="11"/>
      <c r="JU601" s="13"/>
      <c r="JV601" s="11"/>
      <c r="JW601" s="11"/>
      <c r="JX601" s="13"/>
      <c r="JY601" s="11"/>
      <c r="JZ601" s="12"/>
      <c r="KA601" s="12"/>
      <c r="KB601" s="11"/>
      <c r="KC601" s="13"/>
      <c r="KD601" s="11"/>
      <c r="KE601" s="11"/>
      <c r="KF601" s="13"/>
      <c r="KG601" s="11"/>
      <c r="KH601" s="12"/>
      <c r="KI601" s="12"/>
      <c r="KJ601" s="11"/>
      <c r="KK601" s="13"/>
      <c r="KL601" s="11"/>
      <c r="KM601" s="11"/>
      <c r="KN601" s="13"/>
      <c r="KO601" s="11"/>
      <c r="KP601" s="12"/>
      <c r="KQ601" s="12"/>
      <c r="KR601" s="11"/>
      <c r="KS601" s="13"/>
      <c r="KT601" s="11"/>
      <c r="KU601" s="11"/>
      <c r="KV601" s="13"/>
      <c r="KW601" s="11"/>
      <c r="KX601" s="12"/>
      <c r="KY601" s="12"/>
      <c r="KZ601" s="11"/>
      <c r="LA601" s="13"/>
      <c r="LB601" s="11"/>
      <c r="LC601" s="11"/>
      <c r="LD601" s="13"/>
      <c r="LE601" s="11"/>
      <c r="LF601" s="12"/>
      <c r="LG601" s="12"/>
      <c r="LH601" s="11"/>
      <c r="LI601" s="13"/>
      <c r="LJ601" s="11"/>
      <c r="LK601" s="11"/>
      <c r="LL601" s="13"/>
      <c r="LM601" s="11"/>
      <c r="LN601" s="12"/>
      <c r="LO601" s="12"/>
      <c r="LP601" s="11"/>
      <c r="LQ601" s="13"/>
      <c r="LR601" s="11"/>
      <c r="LS601" s="11"/>
      <c r="LT601" s="13"/>
      <c r="LU601" s="11"/>
      <c r="LV601" s="12"/>
      <c r="LW601" s="12"/>
    </row>
    <row r="602">
      <c r="A602" s="10" t="s">
        <v>289</v>
      </c>
      <c r="B602" s="10" t="s">
        <v>298</v>
      </c>
      <c r="C602" s="10" t="s">
        <v>77</v>
      </c>
      <c r="D602" s="11">
        <v>2400</v>
      </c>
      <c r="E602" s="11">
        <f>=ROUNDDOWN({0},0)</f>
      </c>
      <c r="F602" s="11"/>
      <c r="G602" s="12"/>
      <c r="H602" s="11"/>
      <c r="I602" s="11">
        <f>=ROUNDDOWN({0},0)</f>
      </c>
      <c r="J602" s="11"/>
      <c r="K602" s="12"/>
      <c r="L602" s="11"/>
      <c r="M602" s="13"/>
      <c r="N602" s="11"/>
      <c r="O602" s="14"/>
      <c r="P602" s="11"/>
      <c r="Q602" s="13"/>
      <c r="R602" s="11"/>
      <c r="S602" s="14"/>
      <c r="T602" s="12"/>
      <c r="U602" s="12"/>
      <c r="V602" s="12"/>
      <c r="W602" s="12"/>
      <c r="X602" s="11"/>
      <c r="Y602" s="13"/>
      <c r="Z602" s="11"/>
      <c r="AA602" s="11"/>
      <c r="AB602" s="13"/>
      <c r="AC602" s="11"/>
      <c r="AD602" s="12"/>
      <c r="AE602" s="12"/>
      <c r="AF602" s="11"/>
      <c r="AG602" s="13"/>
      <c r="AH602" s="11"/>
      <c r="AI602" s="11"/>
      <c r="AJ602" s="13"/>
      <c r="AK602" s="11"/>
      <c r="AL602" s="12"/>
      <c r="AM602" s="12"/>
      <c r="AN602" s="11"/>
      <c r="AO602" s="13"/>
      <c r="AP602" s="11"/>
      <c r="AQ602" s="11"/>
      <c r="AR602" s="13"/>
      <c r="AS602" s="11"/>
      <c r="AT602" s="12"/>
      <c r="AU602" s="12"/>
      <c r="AV602" s="11"/>
      <c r="AW602" s="13"/>
      <c r="AX602" s="11"/>
      <c r="AY602" s="11"/>
      <c r="AZ602" s="13"/>
      <c r="BA602" s="11"/>
      <c r="BB602" s="12"/>
      <c r="BC602" s="12"/>
      <c r="BD602" s="11"/>
      <c r="BE602" s="13"/>
      <c r="BF602" s="11"/>
      <c r="BG602" s="11"/>
      <c r="BH602" s="13"/>
      <c r="BI602" s="11"/>
      <c r="BJ602" s="12"/>
      <c r="BK602" s="12"/>
      <c r="BL602" s="11"/>
      <c r="BM602" s="13"/>
      <c r="BN602" s="11"/>
      <c r="BO602" s="11"/>
      <c r="BP602" s="13"/>
      <c r="BQ602" s="11"/>
      <c r="BR602" s="12"/>
      <c r="BS602" s="12"/>
      <c r="BT602" s="11"/>
      <c r="BU602" s="13"/>
      <c r="BV602" s="11"/>
      <c r="BW602" s="11"/>
      <c r="BX602" s="13"/>
      <c r="BY602" s="11"/>
      <c r="BZ602" s="12"/>
      <c r="CA602" s="12"/>
      <c r="CB602" s="11"/>
      <c r="CC602" s="13"/>
      <c r="CD602" s="11"/>
      <c r="CE602" s="11"/>
      <c r="CF602" s="13"/>
      <c r="CG602" s="11"/>
      <c r="CH602" s="12"/>
      <c r="CI602" s="12"/>
      <c r="CJ602" s="11"/>
      <c r="CK602" s="13"/>
      <c r="CL602" s="11"/>
      <c r="CM602" s="11"/>
      <c r="CN602" s="13"/>
      <c r="CO602" s="11"/>
      <c r="CP602" s="12"/>
      <c r="CQ602" s="12"/>
      <c r="CR602" s="11"/>
      <c r="CS602" s="13"/>
      <c r="CT602" s="11"/>
      <c r="CU602" s="11"/>
      <c r="CV602" s="13"/>
      <c r="CW602" s="11"/>
      <c r="CX602" s="12"/>
      <c r="CY602" s="12"/>
      <c r="CZ602" s="11"/>
      <c r="DA602" s="13"/>
      <c r="DB602" s="11"/>
      <c r="DC602" s="11"/>
      <c r="DD602" s="13"/>
      <c r="DE602" s="11"/>
      <c r="DF602" s="12"/>
      <c r="DG602" s="12"/>
      <c r="DH602" s="11"/>
      <c r="DI602" s="13"/>
      <c r="DJ602" s="11"/>
      <c r="DK602" s="11"/>
      <c r="DL602" s="13"/>
      <c r="DM602" s="11"/>
      <c r="DN602" s="12"/>
      <c r="DO602" s="12"/>
      <c r="DP602" s="11"/>
      <c r="DQ602" s="13"/>
      <c r="DR602" s="11"/>
      <c r="DS602" s="11"/>
      <c r="DT602" s="13"/>
      <c r="DU602" s="11"/>
      <c r="DV602" s="12"/>
      <c r="DW602" s="12"/>
      <c r="DX602" s="11"/>
      <c r="DY602" s="13"/>
      <c r="DZ602" s="11"/>
      <c r="EA602" s="11"/>
      <c r="EB602" s="13"/>
      <c r="EC602" s="11"/>
      <c r="ED602" s="12"/>
      <c r="EE602" s="12"/>
      <c r="EF602" s="11"/>
      <c r="EG602" s="13"/>
      <c r="EH602" s="11"/>
      <c r="EI602" s="11"/>
      <c r="EJ602" s="13"/>
      <c r="EK602" s="11"/>
      <c r="EL602" s="12"/>
      <c r="EM602" s="12"/>
      <c r="EN602" s="11"/>
      <c r="EO602" s="13"/>
      <c r="EP602" s="11"/>
      <c r="EQ602" s="11"/>
      <c r="ER602" s="13"/>
      <c r="ES602" s="11"/>
      <c r="ET602" s="12"/>
      <c r="EU602" s="12"/>
      <c r="EV602" s="11"/>
      <c r="EW602" s="13"/>
      <c r="EX602" s="11"/>
      <c r="EY602" s="11"/>
      <c r="EZ602" s="13"/>
      <c r="FA602" s="11"/>
      <c r="FB602" s="12"/>
      <c r="FC602" s="12"/>
      <c r="FD602" s="11"/>
      <c r="FE602" s="13"/>
      <c r="FF602" s="11"/>
      <c r="FG602" s="11"/>
      <c r="FH602" s="13"/>
      <c r="FI602" s="11"/>
      <c r="FJ602" s="12"/>
      <c r="FK602" s="12"/>
      <c r="FL602" s="11"/>
      <c r="FM602" s="13"/>
      <c r="FN602" s="11"/>
      <c r="FO602" s="11"/>
      <c r="FP602" s="13"/>
      <c r="FQ602" s="11"/>
      <c r="FR602" s="12"/>
      <c r="FS602" s="12"/>
      <c r="FT602" s="11"/>
      <c r="FU602" s="13"/>
      <c r="FV602" s="11"/>
      <c r="FW602" s="11"/>
      <c r="FX602" s="13"/>
      <c r="FY602" s="11"/>
      <c r="FZ602" s="12"/>
      <c r="GA602" s="12"/>
      <c r="GB602" s="11"/>
      <c r="GC602" s="13"/>
      <c r="GD602" s="11"/>
      <c r="GE602" s="11"/>
      <c r="GF602" s="13"/>
      <c r="GG602" s="11"/>
      <c r="GH602" s="12"/>
      <c r="GI602" s="12"/>
      <c r="GJ602" s="11"/>
      <c r="GK602" s="13"/>
      <c r="GL602" s="11"/>
      <c r="GM602" s="11"/>
      <c r="GN602" s="13"/>
      <c r="GO602" s="11"/>
      <c r="GP602" s="12"/>
      <c r="GQ602" s="12"/>
      <c r="GR602" s="11"/>
      <c r="GS602" s="13"/>
      <c r="GT602" s="11"/>
      <c r="GU602" s="11"/>
      <c r="GV602" s="13"/>
      <c r="GW602" s="11"/>
      <c r="GX602" s="12"/>
      <c r="GY602" s="12"/>
      <c r="GZ602" s="11"/>
      <c r="HA602" s="13"/>
      <c r="HB602" s="11"/>
      <c r="HC602" s="11"/>
      <c r="HD602" s="13"/>
      <c r="HE602" s="11"/>
      <c r="HF602" s="12"/>
      <c r="HG602" s="12"/>
      <c r="HH602" s="11"/>
      <c r="HI602" s="13"/>
      <c r="HJ602" s="11"/>
      <c r="HK602" s="11"/>
      <c r="HL602" s="13"/>
      <c r="HM602" s="11"/>
      <c r="HN602" s="12"/>
      <c r="HO602" s="12"/>
      <c r="HP602" s="11"/>
      <c r="HQ602" s="13"/>
      <c r="HR602" s="11"/>
      <c r="HS602" s="11"/>
      <c r="HT602" s="13"/>
      <c r="HU602" s="11"/>
      <c r="HV602" s="12"/>
      <c r="HW602" s="12"/>
      <c r="HX602" s="11"/>
      <c r="HY602" s="13"/>
      <c r="HZ602" s="11"/>
      <c r="IA602" s="11"/>
      <c r="IB602" s="13"/>
      <c r="IC602" s="11"/>
      <c r="ID602" s="12"/>
      <c r="IE602" s="12"/>
      <c r="IF602" s="11"/>
      <c r="IG602" s="13"/>
      <c r="IH602" s="11"/>
      <c r="II602" s="11"/>
      <c r="IJ602" s="13"/>
      <c r="IK602" s="11"/>
      <c r="IL602" s="12"/>
      <c r="IM602" s="12"/>
      <c r="IN602" s="11"/>
      <c r="IO602" s="13"/>
      <c r="IP602" s="11"/>
      <c r="IQ602" s="11"/>
      <c r="IR602" s="13"/>
      <c r="IS602" s="11"/>
      <c r="IT602" s="12"/>
      <c r="IU602" s="12"/>
      <c r="IV602" s="11"/>
      <c r="IW602" s="13"/>
      <c r="IX602" s="11"/>
      <c r="IY602" s="11"/>
      <c r="IZ602" s="13"/>
      <c r="JA602" s="11"/>
      <c r="JB602" s="12"/>
      <c r="JC602" s="12"/>
      <c r="JD602" s="11"/>
      <c r="JE602" s="13"/>
      <c r="JF602" s="11"/>
      <c r="JG602" s="11"/>
      <c r="JH602" s="13"/>
      <c r="JI602" s="11"/>
      <c r="JJ602" s="12"/>
      <c r="JK602" s="12"/>
      <c r="JL602" s="11"/>
      <c r="JM602" s="13"/>
      <c r="JN602" s="11"/>
      <c r="JO602" s="11"/>
      <c r="JP602" s="13"/>
      <c r="JQ602" s="11"/>
      <c r="JR602" s="12"/>
      <c r="JS602" s="12"/>
      <c r="JT602" s="11"/>
      <c r="JU602" s="13"/>
      <c r="JV602" s="11"/>
      <c r="JW602" s="11"/>
      <c r="JX602" s="13"/>
      <c r="JY602" s="11"/>
      <c r="JZ602" s="12"/>
      <c r="KA602" s="12"/>
      <c r="KB602" s="11"/>
      <c r="KC602" s="13"/>
      <c r="KD602" s="11"/>
      <c r="KE602" s="11"/>
      <c r="KF602" s="13"/>
      <c r="KG602" s="11"/>
      <c r="KH602" s="12"/>
      <c r="KI602" s="12"/>
      <c r="KJ602" s="11"/>
      <c r="KK602" s="13"/>
      <c r="KL602" s="11"/>
      <c r="KM602" s="11"/>
      <c r="KN602" s="13"/>
      <c r="KO602" s="11"/>
      <c r="KP602" s="12"/>
      <c r="KQ602" s="12"/>
      <c r="KR602" s="11"/>
      <c r="KS602" s="13"/>
      <c r="KT602" s="11"/>
      <c r="KU602" s="11"/>
      <c r="KV602" s="13"/>
      <c r="KW602" s="11"/>
      <c r="KX602" s="12"/>
      <c r="KY602" s="12"/>
      <c r="KZ602" s="11"/>
      <c r="LA602" s="13"/>
      <c r="LB602" s="11"/>
      <c r="LC602" s="11"/>
      <c r="LD602" s="13"/>
      <c r="LE602" s="11"/>
      <c r="LF602" s="12"/>
      <c r="LG602" s="12"/>
      <c r="LH602" s="11"/>
      <c r="LI602" s="13"/>
      <c r="LJ602" s="11"/>
      <c r="LK602" s="11"/>
      <c r="LL602" s="13"/>
      <c r="LM602" s="11"/>
      <c r="LN602" s="12"/>
      <c r="LO602" s="12"/>
      <c r="LP602" s="11"/>
      <c r="LQ602" s="13"/>
      <c r="LR602" s="11"/>
      <c r="LS602" s="11"/>
      <c r="LT602" s="13"/>
      <c r="LU602" s="11"/>
      <c r="LV602" s="12"/>
      <c r="LW602" s="12"/>
    </row>
    <row r="603">
      <c r="A603" s="10" t="s">
        <v>299</v>
      </c>
      <c r="B603" s="10" t="s">
        <v>77</v>
      </c>
      <c r="C603" s="10" t="s">
        <v>77</v>
      </c>
      <c r="D603" s="11">
        <v>299799</v>
      </c>
      <c r="E603" s="11">
        <f>=ROUNDDOWN({0},0)</f>
      </c>
      <c r="F603" s="11">
        <v>180171</v>
      </c>
      <c r="G603" s="12"/>
      <c r="H603" s="11"/>
      <c r="I603" s="11">
        <f>=ROUNDDOWN({0},0)</f>
      </c>
      <c r="J603" s="11"/>
      <c r="K603" s="12"/>
      <c r="L603" s="11">
        <v>121560</v>
      </c>
      <c r="M603" s="13">
        <v>2600226.32</v>
      </c>
      <c r="N603" s="11">
        <v>594</v>
      </c>
      <c r="O603" s="14">
        <v>4377.49</v>
      </c>
      <c r="P603" s="11"/>
      <c r="Q603" s="13"/>
      <c r="R603" s="11"/>
      <c r="S603" s="14"/>
      <c r="T603" s="12"/>
      <c r="U603" s="12"/>
      <c r="V603" s="12"/>
      <c r="W603" s="12"/>
      <c r="X603" s="11">
        <v>48100</v>
      </c>
      <c r="Y603" s="13">
        <v>1091507.62</v>
      </c>
      <c r="Z603" s="11">
        <v>543</v>
      </c>
      <c r="AA603" s="11"/>
      <c r="AB603" s="13"/>
      <c r="AC603" s="11"/>
      <c r="AD603" s="12"/>
      <c r="AE603" s="12"/>
      <c r="AF603" s="11">
        <v>21526</v>
      </c>
      <c r="AG603" s="13">
        <v>405595.87</v>
      </c>
      <c r="AH603" s="11">
        <v>583</v>
      </c>
      <c r="AI603" s="11"/>
      <c r="AJ603" s="13"/>
      <c r="AK603" s="11"/>
      <c r="AL603" s="12"/>
      <c r="AM603" s="12"/>
      <c r="AN603" s="11">
        <v>13805</v>
      </c>
      <c r="AO603" s="13">
        <v>251862.34</v>
      </c>
      <c r="AP603" s="11">
        <v>572</v>
      </c>
      <c r="AQ603" s="11"/>
      <c r="AR603" s="13"/>
      <c r="AS603" s="11"/>
      <c r="AT603" s="12"/>
      <c r="AU603" s="12"/>
      <c r="AV603" s="11">
        <v>10098</v>
      </c>
      <c r="AW603" s="13">
        <v>205346.37</v>
      </c>
      <c r="AX603" s="11">
        <v>249</v>
      </c>
      <c r="AY603" s="11"/>
      <c r="AZ603" s="13"/>
      <c r="BA603" s="11"/>
      <c r="BB603" s="12"/>
      <c r="BC603" s="12"/>
      <c r="BD603" s="11">
        <v>637</v>
      </c>
      <c r="BE603" s="13">
        <v>17445.94</v>
      </c>
      <c r="BF603" s="11">
        <v>17</v>
      </c>
      <c r="BG603" s="11"/>
      <c r="BH603" s="13"/>
      <c r="BI603" s="11"/>
      <c r="BJ603" s="12"/>
      <c r="BK603" s="12"/>
      <c r="BL603" s="11">
        <v>3561</v>
      </c>
      <c r="BM603" s="13">
        <v>87004.49</v>
      </c>
      <c r="BN603" s="11">
        <v>517</v>
      </c>
      <c r="BO603" s="11"/>
      <c r="BP603" s="13"/>
      <c r="BQ603" s="11"/>
      <c r="BR603" s="12"/>
      <c r="BS603" s="12"/>
      <c r="BT603" s="11">
        <v>1279</v>
      </c>
      <c r="BU603" s="13">
        <v>32323.67</v>
      </c>
      <c r="BV603" s="11">
        <v>575</v>
      </c>
      <c r="BW603" s="11"/>
      <c r="BX603" s="13"/>
      <c r="BY603" s="11"/>
      <c r="BZ603" s="12"/>
      <c r="CA603" s="12"/>
      <c r="CB603" s="11">
        <v>13325</v>
      </c>
      <c r="CC603" s="13">
        <v>248163.03</v>
      </c>
      <c r="CD603" s="11">
        <v>562</v>
      </c>
      <c r="CE603" s="11"/>
      <c r="CF603" s="13"/>
      <c r="CG603" s="11"/>
      <c r="CH603" s="12"/>
      <c r="CI603" s="12"/>
      <c r="CJ603" s="11">
        <v>320</v>
      </c>
      <c r="CK603" s="13">
        <v>19921.24</v>
      </c>
      <c r="CL603" s="11">
        <v>526</v>
      </c>
      <c r="CM603" s="11"/>
      <c r="CN603" s="13"/>
      <c r="CO603" s="11"/>
      <c r="CP603" s="12"/>
      <c r="CQ603" s="12"/>
      <c r="CR603" s="11"/>
      <c r="CS603" s="13"/>
      <c r="CT603" s="11"/>
      <c r="CU603" s="11"/>
      <c r="CV603" s="13"/>
      <c r="CW603" s="11"/>
      <c r="CX603" s="12"/>
      <c r="CY603" s="12"/>
      <c r="CZ603" s="11">
        <v>492</v>
      </c>
      <c r="DA603" s="13">
        <v>10914.17</v>
      </c>
      <c r="DB603" s="11">
        <v>92</v>
      </c>
      <c r="DC603" s="11"/>
      <c r="DD603" s="13"/>
      <c r="DE603" s="11"/>
      <c r="DF603" s="12"/>
      <c r="DG603" s="12"/>
      <c r="DH603" s="11">
        <v>1104</v>
      </c>
      <c r="DI603" s="13">
        <v>23127.32</v>
      </c>
      <c r="DJ603" s="11">
        <v>238</v>
      </c>
      <c r="DK603" s="11"/>
      <c r="DL603" s="13"/>
      <c r="DM603" s="11"/>
      <c r="DN603" s="12"/>
      <c r="DO603" s="12"/>
      <c r="DP603" s="11">
        <v>856</v>
      </c>
      <c r="DQ603" s="13">
        <v>15230.23</v>
      </c>
      <c r="DR603" s="11">
        <v>477</v>
      </c>
      <c r="DS603" s="11"/>
      <c r="DT603" s="13"/>
      <c r="DU603" s="11"/>
      <c r="DV603" s="12"/>
      <c r="DW603" s="12"/>
      <c r="DX603" s="11">
        <v>2240</v>
      </c>
      <c r="DY603" s="13">
        <v>58871.64</v>
      </c>
      <c r="DZ603" s="11">
        <v>350</v>
      </c>
      <c r="EA603" s="11"/>
      <c r="EB603" s="13"/>
      <c r="EC603" s="11"/>
      <c r="ED603" s="12"/>
      <c r="EE603" s="12"/>
      <c r="EF603" s="11">
        <v>992</v>
      </c>
      <c r="EG603" s="13">
        <v>31581.85</v>
      </c>
      <c r="EH603" s="11"/>
      <c r="EI603" s="11"/>
      <c r="EJ603" s="13"/>
      <c r="EK603" s="11"/>
      <c r="EL603" s="12"/>
      <c r="EM603" s="12"/>
      <c r="EN603" s="11">
        <v>1712</v>
      </c>
      <c r="EO603" s="13">
        <v>71554.99</v>
      </c>
      <c r="EP603" s="11">
        <v>594</v>
      </c>
      <c r="EQ603" s="11"/>
      <c r="ER603" s="13"/>
      <c r="ES603" s="11"/>
      <c r="ET603" s="12"/>
      <c r="EU603" s="12"/>
      <c r="EV603" s="11">
        <v>564</v>
      </c>
      <c r="EW603" s="13">
        <v>9418.71</v>
      </c>
      <c r="EX603" s="11">
        <v>128</v>
      </c>
      <c r="EY603" s="11"/>
      <c r="EZ603" s="13"/>
      <c r="FA603" s="11"/>
      <c r="FB603" s="12"/>
      <c r="FC603" s="12"/>
      <c r="FD603" s="11">
        <v>139</v>
      </c>
      <c r="FE603" s="13">
        <v>2207.01</v>
      </c>
      <c r="FF603" s="11">
        <v>71</v>
      </c>
      <c r="FG603" s="11"/>
      <c r="FH603" s="13"/>
      <c r="FI603" s="11"/>
      <c r="FJ603" s="12"/>
      <c r="FK603" s="12"/>
      <c r="FL603" s="11"/>
      <c r="FM603" s="13"/>
      <c r="FN603" s="11"/>
      <c r="FO603" s="11"/>
      <c r="FP603" s="13"/>
      <c r="FQ603" s="11"/>
      <c r="FR603" s="12"/>
      <c r="FS603" s="12"/>
      <c r="FT603" s="11"/>
      <c r="FU603" s="13"/>
      <c r="FV603" s="11"/>
      <c r="FW603" s="11"/>
      <c r="FX603" s="13"/>
      <c r="FY603" s="11"/>
      <c r="FZ603" s="12"/>
      <c r="GA603" s="12"/>
      <c r="GB603" s="11">
        <v>111</v>
      </c>
      <c r="GC603" s="13">
        <v>2359.41</v>
      </c>
      <c r="GD603" s="11">
        <v>73</v>
      </c>
      <c r="GE603" s="11"/>
      <c r="GF603" s="13"/>
      <c r="GG603" s="11"/>
      <c r="GH603" s="12"/>
      <c r="GI603" s="12"/>
      <c r="GJ603" s="11"/>
      <c r="GK603" s="13"/>
      <c r="GL603" s="11"/>
      <c r="GM603" s="11"/>
      <c r="GN603" s="13"/>
      <c r="GO603" s="11"/>
      <c r="GP603" s="12"/>
      <c r="GQ603" s="12"/>
      <c r="GR603" s="11">
        <v>33</v>
      </c>
      <c r="GS603" s="13">
        <v>942.06</v>
      </c>
      <c r="GT603" s="11">
        <v>324</v>
      </c>
      <c r="GU603" s="11"/>
      <c r="GV603" s="13"/>
      <c r="GW603" s="11"/>
      <c r="GX603" s="12"/>
      <c r="GY603" s="12"/>
      <c r="GZ603" s="11">
        <v>107</v>
      </c>
      <c r="HA603" s="13">
        <v>2031.93</v>
      </c>
      <c r="HB603" s="11">
        <v>47</v>
      </c>
      <c r="HC603" s="11"/>
      <c r="HD603" s="13"/>
      <c r="HE603" s="11"/>
      <c r="HF603" s="12"/>
      <c r="HG603" s="12"/>
      <c r="HH603" s="11">
        <v>433</v>
      </c>
      <c r="HI603" s="13">
        <v>10040.7</v>
      </c>
      <c r="HJ603" s="11"/>
      <c r="HK603" s="11"/>
      <c r="HL603" s="13"/>
      <c r="HM603" s="11"/>
      <c r="HN603" s="12"/>
      <c r="HO603" s="12"/>
      <c r="HP603" s="11"/>
      <c r="HQ603" s="13"/>
      <c r="HR603" s="11"/>
      <c r="HS603" s="11"/>
      <c r="HT603" s="13"/>
      <c r="HU603" s="11"/>
      <c r="HV603" s="12"/>
      <c r="HW603" s="12"/>
      <c r="HX603" s="11"/>
      <c r="HY603" s="13"/>
      <c r="HZ603" s="11"/>
      <c r="IA603" s="11"/>
      <c r="IB603" s="13"/>
      <c r="IC603" s="11"/>
      <c r="ID603" s="12"/>
      <c r="IE603" s="12"/>
      <c r="IF603" s="11"/>
      <c r="IG603" s="13"/>
      <c r="IH603" s="11"/>
      <c r="II603" s="11"/>
      <c r="IJ603" s="13"/>
      <c r="IK603" s="11"/>
      <c r="IL603" s="12"/>
      <c r="IM603" s="12"/>
      <c r="IN603" s="11">
        <v>8</v>
      </c>
      <c r="IO603" s="13">
        <v>433.42</v>
      </c>
      <c r="IP603" s="11">
        <v>21</v>
      </c>
      <c r="IQ603" s="11"/>
      <c r="IR603" s="13"/>
      <c r="IS603" s="11"/>
      <c r="IT603" s="12"/>
      <c r="IU603" s="12"/>
      <c r="IV603" s="11">
        <v>53</v>
      </c>
      <c r="IW603" s="13">
        <v>930.59</v>
      </c>
      <c r="IX603" s="11">
        <v>170</v>
      </c>
      <c r="IY603" s="11"/>
      <c r="IZ603" s="13"/>
      <c r="JA603" s="11"/>
      <c r="JB603" s="12"/>
      <c r="JC603" s="12"/>
      <c r="JD603" s="11">
        <v>65</v>
      </c>
      <c r="JE603" s="13">
        <v>1411.72</v>
      </c>
      <c r="JF603" s="11">
        <v>91</v>
      </c>
      <c r="JG603" s="11"/>
      <c r="JH603" s="13"/>
      <c r="JI603" s="11"/>
      <c r="JJ603" s="12"/>
      <c r="JK603" s="12"/>
      <c r="JL603" s="11"/>
      <c r="JM603" s="13"/>
      <c r="JN603" s="11"/>
      <c r="JO603" s="11"/>
      <c r="JP603" s="13"/>
      <c r="JQ603" s="11"/>
      <c r="JR603" s="12"/>
      <c r="JS603" s="12"/>
      <c r="JT603" s="11"/>
      <c r="JU603" s="13"/>
      <c r="JV603" s="11">
        <v>19</v>
      </c>
      <c r="JW603" s="11"/>
      <c r="JX603" s="13"/>
      <c r="JY603" s="11"/>
      <c r="JZ603" s="12"/>
      <c r="KA603" s="12"/>
      <c r="KB603" s="11"/>
      <c r="KC603" s="13"/>
      <c r="KD603" s="11"/>
      <c r="KE603" s="11"/>
      <c r="KF603" s="13"/>
      <c r="KG603" s="11"/>
      <c r="KH603" s="12"/>
      <c r="KI603" s="12"/>
      <c r="KJ603" s="11"/>
      <c r="KK603" s="13"/>
      <c r="KL603" s="11"/>
      <c r="KM603" s="11"/>
      <c r="KN603" s="13"/>
      <c r="KO603" s="11"/>
      <c r="KP603" s="12"/>
      <c r="KQ603" s="12"/>
      <c r="KR603" s="11"/>
      <c r="KS603" s="13"/>
      <c r="KT603" s="11"/>
      <c r="KU603" s="11"/>
      <c r="KV603" s="13"/>
      <c r="KW603" s="11"/>
      <c r="KX603" s="12"/>
      <c r="KY603" s="12"/>
      <c r="KZ603" s="11"/>
      <c r="LA603" s="13"/>
      <c r="LB603" s="11"/>
      <c r="LC603" s="11"/>
      <c r="LD603" s="13"/>
      <c r="LE603" s="11"/>
      <c r="LF603" s="12"/>
      <c r="LG603" s="12"/>
      <c r="LH603" s="11"/>
      <c r="LI603" s="13"/>
      <c r="LJ603" s="11"/>
      <c r="LK603" s="11"/>
      <c r="LL603" s="13"/>
      <c r="LM603" s="11"/>
      <c r="LN603" s="12"/>
      <c r="LO603" s="12"/>
      <c r="LP603" s="11"/>
      <c r="LQ603" s="13"/>
      <c r="LR603" s="11"/>
      <c r="LS603" s="11"/>
      <c r="LT603" s="13"/>
      <c r="LU603" s="11"/>
      <c r="LV603" s="12"/>
      <c r="LW603" s="12"/>
    </row>
    <row r="604">
      <c r="A604" s="10" t="s">
        <v>300</v>
      </c>
      <c r="B604" s="10" t="s">
        <v>89</v>
      </c>
      <c r="C604" s="10" t="s">
        <v>74</v>
      </c>
      <c r="D604" s="11">
        <v>57031</v>
      </c>
      <c r="E604" s="11">
        <f>=ROUNDDOWN(96.9420363759986,0)</f>
      </c>
      <c r="F604" s="11">
        <v>800</v>
      </c>
      <c r="G604" s="12">
        <v>0.9767</v>
      </c>
      <c r="H604" s="11"/>
      <c r="I604" s="11">
        <f>=ROUNDDOWN({0},0)</f>
      </c>
      <c r="J604" s="11"/>
      <c r="K604" s="12"/>
      <c r="L604" s="11">
        <v>7667</v>
      </c>
      <c r="M604" s="13">
        <v>256269.53</v>
      </c>
      <c r="N604" s="11">
        <v>61</v>
      </c>
      <c r="O604" s="14">
        <v>4201.14</v>
      </c>
      <c r="P604" s="11"/>
      <c r="Q604" s="13"/>
      <c r="R604" s="11"/>
      <c r="S604" s="14"/>
      <c r="T604" s="12"/>
      <c r="U604" s="12"/>
      <c r="V604" s="12"/>
      <c r="W604" s="12"/>
      <c r="X604" s="11">
        <v>7188</v>
      </c>
      <c r="Y604" s="13">
        <v>233527.11</v>
      </c>
      <c r="Z604" s="11">
        <v>58</v>
      </c>
      <c r="AA604" s="11"/>
      <c r="AB604" s="13"/>
      <c r="AC604" s="11"/>
      <c r="AD604" s="12"/>
      <c r="AE604" s="12"/>
      <c r="AF604" s="11"/>
      <c r="AG604" s="13"/>
      <c r="AH604" s="11"/>
      <c r="AI604" s="11"/>
      <c r="AJ604" s="13"/>
      <c r="AK604" s="11"/>
      <c r="AL604" s="12"/>
      <c r="AM604" s="12"/>
      <c r="AN604" s="11"/>
      <c r="AO604" s="13"/>
      <c r="AP604" s="11"/>
      <c r="AQ604" s="11"/>
      <c r="AR604" s="13"/>
      <c r="AS604" s="11"/>
      <c r="AT604" s="12"/>
      <c r="AU604" s="12"/>
      <c r="AV604" s="11"/>
      <c r="AW604" s="13"/>
      <c r="AX604" s="11"/>
      <c r="AY604" s="11"/>
      <c r="AZ604" s="13"/>
      <c r="BA604" s="11"/>
      <c r="BB604" s="12"/>
      <c r="BC604" s="12"/>
      <c r="BD604" s="11"/>
      <c r="BE604" s="13"/>
      <c r="BF604" s="11"/>
      <c r="BG604" s="11"/>
      <c r="BH604" s="13"/>
      <c r="BI604" s="11"/>
      <c r="BJ604" s="12"/>
      <c r="BK604" s="12"/>
      <c r="BL604" s="11">
        <v>8</v>
      </c>
      <c r="BM604" s="13">
        <v>310.32</v>
      </c>
      <c r="BN604" s="11">
        <v>3</v>
      </c>
      <c r="BO604" s="11"/>
      <c r="BP604" s="13"/>
      <c r="BQ604" s="11"/>
      <c r="BR604" s="12"/>
      <c r="BS604" s="12"/>
      <c r="BT604" s="11"/>
      <c r="BU604" s="13"/>
      <c r="BV604" s="11"/>
      <c r="BW604" s="11"/>
      <c r="BX604" s="13"/>
      <c r="BY604" s="11"/>
      <c r="BZ604" s="12"/>
      <c r="CA604" s="12"/>
      <c r="CB604" s="11"/>
      <c r="CC604" s="13"/>
      <c r="CD604" s="11"/>
      <c r="CE604" s="11"/>
      <c r="CF604" s="13"/>
      <c r="CG604" s="11"/>
      <c r="CH604" s="12"/>
      <c r="CI604" s="12"/>
      <c r="CJ604" s="11">
        <v>16</v>
      </c>
      <c r="CK604" s="13">
        <v>659.92</v>
      </c>
      <c r="CL604" s="11">
        <v>10</v>
      </c>
      <c r="CM604" s="11"/>
      <c r="CN604" s="13"/>
      <c r="CO604" s="11"/>
      <c r="CP604" s="12"/>
      <c r="CQ604" s="12"/>
      <c r="CR604" s="11"/>
      <c r="CS604" s="13"/>
      <c r="CT604" s="11"/>
      <c r="CU604" s="11"/>
      <c r="CV604" s="13"/>
      <c r="CW604" s="11"/>
      <c r="CX604" s="12"/>
      <c r="CY604" s="12"/>
      <c r="CZ604" s="11"/>
      <c r="DA604" s="13"/>
      <c r="DB604" s="11"/>
      <c r="DC604" s="11"/>
      <c r="DD604" s="13"/>
      <c r="DE604" s="11"/>
      <c r="DF604" s="12"/>
      <c r="DG604" s="12"/>
      <c r="DH604" s="11"/>
      <c r="DI604" s="13"/>
      <c r="DJ604" s="11"/>
      <c r="DK604" s="11"/>
      <c r="DL604" s="13"/>
      <c r="DM604" s="11"/>
      <c r="DN604" s="12"/>
      <c r="DO604" s="12"/>
      <c r="DP604" s="11"/>
      <c r="DQ604" s="13"/>
      <c r="DR604" s="11"/>
      <c r="DS604" s="11"/>
      <c r="DT604" s="13"/>
      <c r="DU604" s="11"/>
      <c r="DV604" s="12"/>
      <c r="DW604" s="12"/>
      <c r="DX604" s="11"/>
      <c r="DY604" s="13"/>
      <c r="DZ604" s="11"/>
      <c r="EA604" s="11"/>
      <c r="EB604" s="13"/>
      <c r="EC604" s="11"/>
      <c r="ED604" s="12"/>
      <c r="EE604" s="12"/>
      <c r="EF604" s="11"/>
      <c r="EG604" s="13"/>
      <c r="EH604" s="11"/>
      <c r="EI604" s="11"/>
      <c r="EJ604" s="13"/>
      <c r="EK604" s="11"/>
      <c r="EL604" s="12"/>
      <c r="EM604" s="12"/>
      <c r="EN604" s="11">
        <v>455</v>
      </c>
      <c r="EO604" s="13">
        <v>21772.18</v>
      </c>
      <c r="EP604" s="11">
        <v>46</v>
      </c>
      <c r="EQ604" s="11"/>
      <c r="ER604" s="13"/>
      <c r="ES604" s="11"/>
      <c r="ET604" s="12"/>
      <c r="EU604" s="12"/>
      <c r="EV604" s="11"/>
      <c r="EW604" s="13"/>
      <c r="EX604" s="11">
        <v>1</v>
      </c>
      <c r="EY604" s="11"/>
      <c r="EZ604" s="13"/>
      <c r="FA604" s="11"/>
      <c r="FB604" s="12"/>
      <c r="FC604" s="12"/>
      <c r="FD604" s="11"/>
      <c r="FE604" s="13"/>
      <c r="FF604" s="11"/>
      <c r="FG604" s="11"/>
      <c r="FH604" s="13"/>
      <c r="FI604" s="11"/>
      <c r="FJ604" s="12"/>
      <c r="FK604" s="12"/>
      <c r="FL604" s="11"/>
      <c r="FM604" s="13"/>
      <c r="FN604" s="11"/>
      <c r="FO604" s="11"/>
      <c r="FP604" s="13"/>
      <c r="FQ604" s="11"/>
      <c r="FR604" s="12"/>
      <c r="FS604" s="12"/>
      <c r="FT604" s="11"/>
      <c r="FU604" s="13"/>
      <c r="FV604" s="11"/>
      <c r="FW604" s="11"/>
      <c r="FX604" s="13"/>
      <c r="FY604" s="11"/>
      <c r="FZ604" s="12"/>
      <c r="GA604" s="12"/>
      <c r="GB604" s="11"/>
      <c r="GC604" s="13"/>
      <c r="GD604" s="11"/>
      <c r="GE604" s="11"/>
      <c r="GF604" s="13"/>
      <c r="GG604" s="11"/>
      <c r="GH604" s="12"/>
      <c r="GI604" s="12"/>
      <c r="GJ604" s="11"/>
      <c r="GK604" s="13"/>
      <c r="GL604" s="11"/>
      <c r="GM604" s="11"/>
      <c r="GN604" s="13"/>
      <c r="GO604" s="11"/>
      <c r="GP604" s="12"/>
      <c r="GQ604" s="12"/>
      <c r="GR604" s="11"/>
      <c r="GS604" s="13"/>
      <c r="GT604" s="11"/>
      <c r="GU604" s="11"/>
      <c r="GV604" s="13"/>
      <c r="GW604" s="11"/>
      <c r="GX604" s="12"/>
      <c r="GY604" s="12"/>
      <c r="GZ604" s="11"/>
      <c r="HA604" s="13"/>
      <c r="HB604" s="11"/>
      <c r="HC604" s="11"/>
      <c r="HD604" s="13"/>
      <c r="HE604" s="11"/>
      <c r="HF604" s="12"/>
      <c r="HG604" s="12"/>
      <c r="HH604" s="11"/>
      <c r="HI604" s="13"/>
      <c r="HJ604" s="11"/>
      <c r="HK604" s="11"/>
      <c r="HL604" s="13"/>
      <c r="HM604" s="11"/>
      <c r="HN604" s="12"/>
      <c r="HO604" s="12"/>
      <c r="HP604" s="11"/>
      <c r="HQ604" s="13"/>
      <c r="HR604" s="11"/>
      <c r="HS604" s="11"/>
      <c r="HT604" s="13"/>
      <c r="HU604" s="11"/>
      <c r="HV604" s="12"/>
      <c r="HW604" s="12"/>
      <c r="HX604" s="11"/>
      <c r="HY604" s="13"/>
      <c r="HZ604" s="11"/>
      <c r="IA604" s="11"/>
      <c r="IB604" s="13"/>
      <c r="IC604" s="11"/>
      <c r="ID604" s="12"/>
      <c r="IE604" s="12"/>
      <c r="IF604" s="11"/>
      <c r="IG604" s="13"/>
      <c r="IH604" s="11"/>
      <c r="II604" s="11"/>
      <c r="IJ604" s="13"/>
      <c r="IK604" s="11"/>
      <c r="IL604" s="12"/>
      <c r="IM604" s="12"/>
      <c r="IN604" s="11"/>
      <c r="IO604" s="13"/>
      <c r="IP604" s="11"/>
      <c r="IQ604" s="11"/>
      <c r="IR604" s="13"/>
      <c r="IS604" s="11"/>
      <c r="IT604" s="12"/>
      <c r="IU604" s="12"/>
      <c r="IV604" s="11"/>
      <c r="IW604" s="13"/>
      <c r="IX604" s="11"/>
      <c r="IY604" s="11"/>
      <c r="IZ604" s="13"/>
      <c r="JA604" s="11"/>
      <c r="JB604" s="12"/>
      <c r="JC604" s="12"/>
      <c r="JD604" s="11"/>
      <c r="JE604" s="13"/>
      <c r="JF604" s="11"/>
      <c r="JG604" s="11"/>
      <c r="JH604" s="13"/>
      <c r="JI604" s="11"/>
      <c r="JJ604" s="12"/>
      <c r="JK604" s="12"/>
      <c r="JL604" s="11"/>
      <c r="JM604" s="13"/>
      <c r="JN604" s="11"/>
      <c r="JO604" s="11"/>
      <c r="JP604" s="13"/>
      <c r="JQ604" s="11"/>
      <c r="JR604" s="12"/>
      <c r="JS604" s="12"/>
      <c r="JT604" s="11"/>
      <c r="JU604" s="13"/>
      <c r="JV604" s="11">
        <v>9</v>
      </c>
      <c r="JW604" s="11"/>
      <c r="JX604" s="13"/>
      <c r="JY604" s="11"/>
      <c r="JZ604" s="12"/>
      <c r="KA604" s="12"/>
      <c r="KB604" s="11"/>
      <c r="KC604" s="13"/>
      <c r="KD604" s="11"/>
      <c r="KE604" s="11"/>
      <c r="KF604" s="13"/>
      <c r="KG604" s="11"/>
      <c r="KH604" s="12"/>
      <c r="KI604" s="12"/>
      <c r="KJ604" s="11"/>
      <c r="KK604" s="13"/>
      <c r="KL604" s="11"/>
      <c r="KM604" s="11"/>
      <c r="KN604" s="13"/>
      <c r="KO604" s="11"/>
      <c r="KP604" s="12"/>
      <c r="KQ604" s="12"/>
      <c r="KR604" s="11"/>
      <c r="KS604" s="13"/>
      <c r="KT604" s="11"/>
      <c r="KU604" s="11"/>
      <c r="KV604" s="13"/>
      <c r="KW604" s="11"/>
      <c r="KX604" s="12"/>
      <c r="KY604" s="12"/>
      <c r="KZ604" s="11"/>
      <c r="LA604" s="13"/>
      <c r="LB604" s="11"/>
      <c r="LC604" s="11"/>
      <c r="LD604" s="13"/>
      <c r="LE604" s="11"/>
      <c r="LF604" s="12"/>
      <c r="LG604" s="12"/>
      <c r="LH604" s="11"/>
      <c r="LI604" s="13"/>
      <c r="LJ604" s="11"/>
      <c r="LK604" s="11"/>
      <c r="LL604" s="13"/>
      <c r="LM604" s="11"/>
      <c r="LN604" s="12"/>
      <c r="LO604" s="12"/>
      <c r="LP604" s="11"/>
      <c r="LQ604" s="13"/>
      <c r="LR604" s="11"/>
      <c r="LS604" s="11"/>
      <c r="LT604" s="13"/>
      <c r="LU604" s="11"/>
      <c r="LV604" s="12"/>
      <c r="LW604" s="12"/>
    </row>
    <row r="605">
      <c r="A605" s="10" t="s">
        <v>300</v>
      </c>
      <c r="B605" s="10" t="s">
        <v>89</v>
      </c>
      <c r="C605" s="10" t="s">
        <v>75</v>
      </c>
      <c r="D605" s="11">
        <v>11579</v>
      </c>
      <c r="E605" s="11">
        <f>=ROUNDDOWN(71.2115621156211,0)</f>
      </c>
      <c r="F605" s="11">
        <v>1790</v>
      </c>
      <c r="G605" s="12">
        <v>0.9294</v>
      </c>
      <c r="H605" s="11"/>
      <c r="I605" s="11">
        <f>=ROUNDDOWN({0},0)</f>
      </c>
      <c r="J605" s="11"/>
      <c r="K605" s="12"/>
      <c r="L605" s="11">
        <v>2811</v>
      </c>
      <c r="M605" s="13">
        <v>65417.67</v>
      </c>
      <c r="N605" s="11">
        <v>19</v>
      </c>
      <c r="O605" s="14">
        <v>3443.04</v>
      </c>
      <c r="P605" s="11"/>
      <c r="Q605" s="13"/>
      <c r="R605" s="11"/>
      <c r="S605" s="14"/>
      <c r="T605" s="12"/>
      <c r="U605" s="12"/>
      <c r="V605" s="12"/>
      <c r="W605" s="12"/>
      <c r="X605" s="11">
        <v>2790</v>
      </c>
      <c r="Y605" s="13">
        <v>64466.57</v>
      </c>
      <c r="Z605" s="11">
        <v>19</v>
      </c>
      <c r="AA605" s="11"/>
      <c r="AB605" s="13"/>
      <c r="AC605" s="11"/>
      <c r="AD605" s="12"/>
      <c r="AE605" s="12"/>
      <c r="AF605" s="11"/>
      <c r="AG605" s="13"/>
      <c r="AH605" s="11"/>
      <c r="AI605" s="11"/>
      <c r="AJ605" s="13"/>
      <c r="AK605" s="11"/>
      <c r="AL605" s="12"/>
      <c r="AM605" s="12"/>
      <c r="AN605" s="11"/>
      <c r="AO605" s="13"/>
      <c r="AP605" s="11"/>
      <c r="AQ605" s="11"/>
      <c r="AR605" s="13"/>
      <c r="AS605" s="11"/>
      <c r="AT605" s="12"/>
      <c r="AU605" s="12"/>
      <c r="AV605" s="11"/>
      <c r="AW605" s="13"/>
      <c r="AX605" s="11"/>
      <c r="AY605" s="11"/>
      <c r="AZ605" s="13"/>
      <c r="BA605" s="11"/>
      <c r="BB605" s="12"/>
      <c r="BC605" s="12"/>
      <c r="BD605" s="11"/>
      <c r="BE605" s="13"/>
      <c r="BF605" s="11"/>
      <c r="BG605" s="11"/>
      <c r="BH605" s="13"/>
      <c r="BI605" s="11"/>
      <c r="BJ605" s="12"/>
      <c r="BK605" s="12"/>
      <c r="BL605" s="11">
        <v>1</v>
      </c>
      <c r="BM605" s="13">
        <v>28.35</v>
      </c>
      <c r="BN605" s="11">
        <v>8</v>
      </c>
      <c r="BO605" s="11"/>
      <c r="BP605" s="13"/>
      <c r="BQ605" s="11"/>
      <c r="BR605" s="12"/>
      <c r="BS605" s="12"/>
      <c r="BT605" s="11"/>
      <c r="BU605" s="13"/>
      <c r="BV605" s="11"/>
      <c r="BW605" s="11"/>
      <c r="BX605" s="13"/>
      <c r="BY605" s="11"/>
      <c r="BZ605" s="12"/>
      <c r="CA605" s="12"/>
      <c r="CB605" s="11"/>
      <c r="CC605" s="13"/>
      <c r="CD605" s="11"/>
      <c r="CE605" s="11"/>
      <c r="CF605" s="13"/>
      <c r="CG605" s="11"/>
      <c r="CH605" s="12"/>
      <c r="CI605" s="12"/>
      <c r="CJ605" s="11">
        <v>5</v>
      </c>
      <c r="CK605" s="13">
        <v>205.9</v>
      </c>
      <c r="CL605" s="11">
        <v>1</v>
      </c>
      <c r="CM605" s="11"/>
      <c r="CN605" s="13"/>
      <c r="CO605" s="11"/>
      <c r="CP605" s="12"/>
      <c r="CQ605" s="12"/>
      <c r="CR605" s="11"/>
      <c r="CS605" s="13"/>
      <c r="CT605" s="11"/>
      <c r="CU605" s="11"/>
      <c r="CV605" s="13"/>
      <c r="CW605" s="11"/>
      <c r="CX605" s="12"/>
      <c r="CY605" s="12"/>
      <c r="CZ605" s="11"/>
      <c r="DA605" s="13"/>
      <c r="DB605" s="11"/>
      <c r="DC605" s="11"/>
      <c r="DD605" s="13"/>
      <c r="DE605" s="11"/>
      <c r="DF605" s="12"/>
      <c r="DG605" s="12"/>
      <c r="DH605" s="11"/>
      <c r="DI605" s="13"/>
      <c r="DJ605" s="11"/>
      <c r="DK605" s="11"/>
      <c r="DL605" s="13"/>
      <c r="DM605" s="11"/>
      <c r="DN605" s="12"/>
      <c r="DO605" s="12"/>
      <c r="DP605" s="11"/>
      <c r="DQ605" s="13"/>
      <c r="DR605" s="11"/>
      <c r="DS605" s="11"/>
      <c r="DT605" s="13"/>
      <c r="DU605" s="11"/>
      <c r="DV605" s="12"/>
      <c r="DW605" s="12"/>
      <c r="DX605" s="11"/>
      <c r="DY605" s="13"/>
      <c r="DZ605" s="11"/>
      <c r="EA605" s="11"/>
      <c r="EB605" s="13"/>
      <c r="EC605" s="11"/>
      <c r="ED605" s="12"/>
      <c r="EE605" s="12"/>
      <c r="EF605" s="11"/>
      <c r="EG605" s="13"/>
      <c r="EH605" s="11"/>
      <c r="EI605" s="11"/>
      <c r="EJ605" s="13"/>
      <c r="EK605" s="11"/>
      <c r="EL605" s="12"/>
      <c r="EM605" s="12"/>
      <c r="EN605" s="11">
        <v>15</v>
      </c>
      <c r="EO605" s="13">
        <v>716.85</v>
      </c>
      <c r="EP605" s="11">
        <v>7</v>
      </c>
      <c r="EQ605" s="11"/>
      <c r="ER605" s="13"/>
      <c r="ES605" s="11"/>
      <c r="ET605" s="12"/>
      <c r="EU605" s="12"/>
      <c r="EV605" s="11"/>
      <c r="EW605" s="13"/>
      <c r="EX605" s="11"/>
      <c r="EY605" s="11"/>
      <c r="EZ605" s="13"/>
      <c r="FA605" s="11"/>
      <c r="FB605" s="12"/>
      <c r="FC605" s="12"/>
      <c r="FD605" s="11"/>
      <c r="FE605" s="13"/>
      <c r="FF605" s="11"/>
      <c r="FG605" s="11"/>
      <c r="FH605" s="13"/>
      <c r="FI605" s="11"/>
      <c r="FJ605" s="12"/>
      <c r="FK605" s="12"/>
      <c r="FL605" s="11"/>
      <c r="FM605" s="13"/>
      <c r="FN605" s="11"/>
      <c r="FO605" s="11"/>
      <c r="FP605" s="13"/>
      <c r="FQ605" s="11"/>
      <c r="FR605" s="12"/>
      <c r="FS605" s="12"/>
      <c r="FT605" s="11"/>
      <c r="FU605" s="13"/>
      <c r="FV605" s="11"/>
      <c r="FW605" s="11"/>
      <c r="FX605" s="13"/>
      <c r="FY605" s="11"/>
      <c r="FZ605" s="12"/>
      <c r="GA605" s="12"/>
      <c r="GB605" s="11"/>
      <c r="GC605" s="13"/>
      <c r="GD605" s="11"/>
      <c r="GE605" s="11"/>
      <c r="GF605" s="13"/>
      <c r="GG605" s="11"/>
      <c r="GH605" s="12"/>
      <c r="GI605" s="12"/>
      <c r="GJ605" s="11"/>
      <c r="GK605" s="13"/>
      <c r="GL605" s="11"/>
      <c r="GM605" s="11"/>
      <c r="GN605" s="13"/>
      <c r="GO605" s="11"/>
      <c r="GP605" s="12"/>
      <c r="GQ605" s="12"/>
      <c r="GR605" s="11"/>
      <c r="GS605" s="13"/>
      <c r="GT605" s="11"/>
      <c r="GU605" s="11"/>
      <c r="GV605" s="13"/>
      <c r="GW605" s="11"/>
      <c r="GX605" s="12"/>
      <c r="GY605" s="12"/>
      <c r="GZ605" s="11"/>
      <c r="HA605" s="13"/>
      <c r="HB605" s="11"/>
      <c r="HC605" s="11"/>
      <c r="HD605" s="13"/>
      <c r="HE605" s="11"/>
      <c r="HF605" s="12"/>
      <c r="HG605" s="12"/>
      <c r="HH605" s="11"/>
      <c r="HI605" s="13"/>
      <c r="HJ605" s="11"/>
      <c r="HK605" s="11"/>
      <c r="HL605" s="13"/>
      <c r="HM605" s="11"/>
      <c r="HN605" s="12"/>
      <c r="HO605" s="12"/>
      <c r="HP605" s="11"/>
      <c r="HQ605" s="13"/>
      <c r="HR605" s="11"/>
      <c r="HS605" s="11"/>
      <c r="HT605" s="13"/>
      <c r="HU605" s="11"/>
      <c r="HV605" s="12"/>
      <c r="HW605" s="12"/>
      <c r="HX605" s="11"/>
      <c r="HY605" s="13"/>
      <c r="HZ605" s="11"/>
      <c r="IA605" s="11"/>
      <c r="IB605" s="13"/>
      <c r="IC605" s="11"/>
      <c r="ID605" s="12"/>
      <c r="IE605" s="12"/>
      <c r="IF605" s="11"/>
      <c r="IG605" s="13"/>
      <c r="IH605" s="11"/>
      <c r="II605" s="11"/>
      <c r="IJ605" s="13"/>
      <c r="IK605" s="11"/>
      <c r="IL605" s="12"/>
      <c r="IM605" s="12"/>
      <c r="IN605" s="11"/>
      <c r="IO605" s="13"/>
      <c r="IP605" s="11"/>
      <c r="IQ605" s="11"/>
      <c r="IR605" s="13"/>
      <c r="IS605" s="11"/>
      <c r="IT605" s="12"/>
      <c r="IU605" s="12"/>
      <c r="IV605" s="11"/>
      <c r="IW605" s="13"/>
      <c r="IX605" s="11"/>
      <c r="IY605" s="11"/>
      <c r="IZ605" s="13"/>
      <c r="JA605" s="11"/>
      <c r="JB605" s="12"/>
      <c r="JC605" s="12"/>
      <c r="JD605" s="11"/>
      <c r="JE605" s="13"/>
      <c r="JF605" s="11"/>
      <c r="JG605" s="11"/>
      <c r="JH605" s="13"/>
      <c r="JI605" s="11"/>
      <c r="JJ605" s="12"/>
      <c r="JK605" s="12"/>
      <c r="JL605" s="11"/>
      <c r="JM605" s="13"/>
      <c r="JN605" s="11"/>
      <c r="JO605" s="11"/>
      <c r="JP605" s="13"/>
      <c r="JQ605" s="11"/>
      <c r="JR605" s="12"/>
      <c r="JS605" s="12"/>
      <c r="JT605" s="11"/>
      <c r="JU605" s="13"/>
      <c r="JV605" s="11"/>
      <c r="JW605" s="11"/>
      <c r="JX605" s="13"/>
      <c r="JY605" s="11"/>
      <c r="JZ605" s="12"/>
      <c r="KA605" s="12"/>
      <c r="KB605" s="11"/>
      <c r="KC605" s="13"/>
      <c r="KD605" s="11"/>
      <c r="KE605" s="11"/>
      <c r="KF605" s="13"/>
      <c r="KG605" s="11"/>
      <c r="KH605" s="12"/>
      <c r="KI605" s="12"/>
      <c r="KJ605" s="11"/>
      <c r="KK605" s="13"/>
      <c r="KL605" s="11"/>
      <c r="KM605" s="11"/>
      <c r="KN605" s="13"/>
      <c r="KO605" s="11"/>
      <c r="KP605" s="12"/>
      <c r="KQ605" s="12"/>
      <c r="KR605" s="11"/>
      <c r="KS605" s="13"/>
      <c r="KT605" s="11"/>
      <c r="KU605" s="11"/>
      <c r="KV605" s="13"/>
      <c r="KW605" s="11"/>
      <c r="KX605" s="12"/>
      <c r="KY605" s="12"/>
      <c r="KZ605" s="11"/>
      <c r="LA605" s="13"/>
      <c r="LB605" s="11"/>
      <c r="LC605" s="11"/>
      <c r="LD605" s="13"/>
      <c r="LE605" s="11"/>
      <c r="LF605" s="12"/>
      <c r="LG605" s="12"/>
      <c r="LH605" s="11"/>
      <c r="LI605" s="13"/>
      <c r="LJ605" s="11"/>
      <c r="LK605" s="11"/>
      <c r="LL605" s="13"/>
      <c r="LM605" s="11"/>
      <c r="LN605" s="12"/>
      <c r="LO605" s="12"/>
      <c r="LP605" s="11"/>
      <c r="LQ605" s="13"/>
      <c r="LR605" s="11"/>
      <c r="LS605" s="11"/>
      <c r="LT605" s="13"/>
      <c r="LU605" s="11"/>
      <c r="LV605" s="12"/>
      <c r="LW605" s="12"/>
    </row>
    <row r="606">
      <c r="A606" s="10" t="s">
        <v>300</v>
      </c>
      <c r="B606" s="10" t="s">
        <v>90</v>
      </c>
      <c r="C606" s="10" t="s">
        <v>77</v>
      </c>
      <c r="D606" s="11">
        <v>68610</v>
      </c>
      <c r="E606" s="11">
        <f>=ROUNDDOWN({0},0)</f>
      </c>
      <c r="F606" s="11">
        <v>2590</v>
      </c>
      <c r="G606" s="12"/>
      <c r="H606" s="11"/>
      <c r="I606" s="11">
        <f>=ROUNDDOWN({0},0)</f>
      </c>
      <c r="J606" s="11"/>
      <c r="K606" s="12"/>
      <c r="L606" s="11">
        <v>10478</v>
      </c>
      <c r="M606" s="13">
        <v>321687.2</v>
      </c>
      <c r="N606" s="11">
        <v>80</v>
      </c>
      <c r="O606" s="14">
        <v>4021.09</v>
      </c>
      <c r="P606" s="11"/>
      <c r="Q606" s="13"/>
      <c r="R606" s="11"/>
      <c r="S606" s="14"/>
      <c r="T606" s="12"/>
      <c r="U606" s="12"/>
      <c r="V606" s="12"/>
      <c r="W606" s="12"/>
      <c r="X606" s="11">
        <v>9978</v>
      </c>
      <c r="Y606" s="13">
        <v>297993.68</v>
      </c>
      <c r="Z606" s="11">
        <v>77</v>
      </c>
      <c r="AA606" s="11"/>
      <c r="AB606" s="13"/>
      <c r="AC606" s="11"/>
      <c r="AD606" s="12"/>
      <c r="AE606" s="12"/>
      <c r="AF606" s="11"/>
      <c r="AG606" s="13"/>
      <c r="AH606" s="11"/>
      <c r="AI606" s="11"/>
      <c r="AJ606" s="13"/>
      <c r="AK606" s="11"/>
      <c r="AL606" s="12"/>
      <c r="AM606" s="12"/>
      <c r="AN606" s="11"/>
      <c r="AO606" s="13"/>
      <c r="AP606" s="11"/>
      <c r="AQ606" s="11"/>
      <c r="AR606" s="13"/>
      <c r="AS606" s="11"/>
      <c r="AT606" s="12"/>
      <c r="AU606" s="12"/>
      <c r="AV606" s="11"/>
      <c r="AW606" s="13"/>
      <c r="AX606" s="11"/>
      <c r="AY606" s="11"/>
      <c r="AZ606" s="13"/>
      <c r="BA606" s="11"/>
      <c r="BB606" s="12"/>
      <c r="BC606" s="12"/>
      <c r="BD606" s="11"/>
      <c r="BE606" s="13"/>
      <c r="BF606" s="11"/>
      <c r="BG606" s="11"/>
      <c r="BH606" s="13"/>
      <c r="BI606" s="11"/>
      <c r="BJ606" s="12"/>
      <c r="BK606" s="12"/>
      <c r="BL606" s="11">
        <v>9</v>
      </c>
      <c r="BM606" s="13">
        <v>338.67</v>
      </c>
      <c r="BN606" s="11">
        <v>11</v>
      </c>
      <c r="BO606" s="11"/>
      <c r="BP606" s="13"/>
      <c r="BQ606" s="11"/>
      <c r="BR606" s="12"/>
      <c r="BS606" s="12"/>
      <c r="BT606" s="11"/>
      <c r="BU606" s="13"/>
      <c r="BV606" s="11"/>
      <c r="BW606" s="11"/>
      <c r="BX606" s="13"/>
      <c r="BY606" s="11"/>
      <c r="BZ606" s="12"/>
      <c r="CA606" s="12"/>
      <c r="CB606" s="11"/>
      <c r="CC606" s="13"/>
      <c r="CD606" s="11"/>
      <c r="CE606" s="11"/>
      <c r="CF606" s="13"/>
      <c r="CG606" s="11"/>
      <c r="CH606" s="12"/>
      <c r="CI606" s="12"/>
      <c r="CJ606" s="11">
        <v>21</v>
      </c>
      <c r="CK606" s="13">
        <v>865.82</v>
      </c>
      <c r="CL606" s="11">
        <v>11</v>
      </c>
      <c r="CM606" s="11"/>
      <c r="CN606" s="13"/>
      <c r="CO606" s="11"/>
      <c r="CP606" s="12"/>
      <c r="CQ606" s="12"/>
      <c r="CR606" s="11"/>
      <c r="CS606" s="13"/>
      <c r="CT606" s="11"/>
      <c r="CU606" s="11"/>
      <c r="CV606" s="13"/>
      <c r="CW606" s="11"/>
      <c r="CX606" s="12"/>
      <c r="CY606" s="12"/>
      <c r="CZ606" s="11"/>
      <c r="DA606" s="13"/>
      <c r="DB606" s="11"/>
      <c r="DC606" s="11"/>
      <c r="DD606" s="13"/>
      <c r="DE606" s="11"/>
      <c r="DF606" s="12"/>
      <c r="DG606" s="12"/>
      <c r="DH606" s="11"/>
      <c r="DI606" s="13"/>
      <c r="DJ606" s="11"/>
      <c r="DK606" s="11"/>
      <c r="DL606" s="13"/>
      <c r="DM606" s="11"/>
      <c r="DN606" s="12"/>
      <c r="DO606" s="12"/>
      <c r="DP606" s="11"/>
      <c r="DQ606" s="13"/>
      <c r="DR606" s="11"/>
      <c r="DS606" s="11"/>
      <c r="DT606" s="13"/>
      <c r="DU606" s="11"/>
      <c r="DV606" s="12"/>
      <c r="DW606" s="12"/>
      <c r="DX606" s="11"/>
      <c r="DY606" s="13"/>
      <c r="DZ606" s="11"/>
      <c r="EA606" s="11"/>
      <c r="EB606" s="13"/>
      <c r="EC606" s="11"/>
      <c r="ED606" s="12"/>
      <c r="EE606" s="12"/>
      <c r="EF606" s="11"/>
      <c r="EG606" s="13"/>
      <c r="EH606" s="11"/>
      <c r="EI606" s="11"/>
      <c r="EJ606" s="13"/>
      <c r="EK606" s="11"/>
      <c r="EL606" s="12"/>
      <c r="EM606" s="12"/>
      <c r="EN606" s="11">
        <v>470</v>
      </c>
      <c r="EO606" s="13">
        <v>22489.03</v>
      </c>
      <c r="EP606" s="11">
        <v>53</v>
      </c>
      <c r="EQ606" s="11"/>
      <c r="ER606" s="13"/>
      <c r="ES606" s="11"/>
      <c r="ET606" s="12"/>
      <c r="EU606" s="12"/>
      <c r="EV606" s="11"/>
      <c r="EW606" s="13"/>
      <c r="EX606" s="11">
        <v>1</v>
      </c>
      <c r="EY606" s="11"/>
      <c r="EZ606" s="13"/>
      <c r="FA606" s="11"/>
      <c r="FB606" s="12"/>
      <c r="FC606" s="12"/>
      <c r="FD606" s="11"/>
      <c r="FE606" s="13"/>
      <c r="FF606" s="11"/>
      <c r="FG606" s="11"/>
      <c r="FH606" s="13"/>
      <c r="FI606" s="11"/>
      <c r="FJ606" s="12"/>
      <c r="FK606" s="12"/>
      <c r="FL606" s="11"/>
      <c r="FM606" s="13"/>
      <c r="FN606" s="11"/>
      <c r="FO606" s="11"/>
      <c r="FP606" s="13"/>
      <c r="FQ606" s="11"/>
      <c r="FR606" s="12"/>
      <c r="FS606" s="12"/>
      <c r="FT606" s="11"/>
      <c r="FU606" s="13"/>
      <c r="FV606" s="11"/>
      <c r="FW606" s="11"/>
      <c r="FX606" s="13"/>
      <c r="FY606" s="11"/>
      <c r="FZ606" s="12"/>
      <c r="GA606" s="12"/>
      <c r="GB606" s="11"/>
      <c r="GC606" s="13"/>
      <c r="GD606" s="11"/>
      <c r="GE606" s="11"/>
      <c r="GF606" s="13"/>
      <c r="GG606" s="11"/>
      <c r="GH606" s="12"/>
      <c r="GI606" s="12"/>
      <c r="GJ606" s="11"/>
      <c r="GK606" s="13"/>
      <c r="GL606" s="11"/>
      <c r="GM606" s="11"/>
      <c r="GN606" s="13"/>
      <c r="GO606" s="11"/>
      <c r="GP606" s="12"/>
      <c r="GQ606" s="12"/>
      <c r="GR606" s="11"/>
      <c r="GS606" s="13"/>
      <c r="GT606" s="11"/>
      <c r="GU606" s="11"/>
      <c r="GV606" s="13"/>
      <c r="GW606" s="11"/>
      <c r="GX606" s="12"/>
      <c r="GY606" s="12"/>
      <c r="GZ606" s="11"/>
      <c r="HA606" s="13"/>
      <c r="HB606" s="11"/>
      <c r="HC606" s="11"/>
      <c r="HD606" s="13"/>
      <c r="HE606" s="11"/>
      <c r="HF606" s="12"/>
      <c r="HG606" s="12"/>
      <c r="HH606" s="11"/>
      <c r="HI606" s="13"/>
      <c r="HJ606" s="11"/>
      <c r="HK606" s="11"/>
      <c r="HL606" s="13"/>
      <c r="HM606" s="11"/>
      <c r="HN606" s="12"/>
      <c r="HO606" s="12"/>
      <c r="HP606" s="11"/>
      <c r="HQ606" s="13"/>
      <c r="HR606" s="11"/>
      <c r="HS606" s="11"/>
      <c r="HT606" s="13"/>
      <c r="HU606" s="11"/>
      <c r="HV606" s="12"/>
      <c r="HW606" s="12"/>
      <c r="HX606" s="11"/>
      <c r="HY606" s="13"/>
      <c r="HZ606" s="11"/>
      <c r="IA606" s="11"/>
      <c r="IB606" s="13"/>
      <c r="IC606" s="11"/>
      <c r="ID606" s="12"/>
      <c r="IE606" s="12"/>
      <c r="IF606" s="11"/>
      <c r="IG606" s="13"/>
      <c r="IH606" s="11"/>
      <c r="II606" s="11"/>
      <c r="IJ606" s="13"/>
      <c r="IK606" s="11"/>
      <c r="IL606" s="12"/>
      <c r="IM606" s="12"/>
      <c r="IN606" s="11"/>
      <c r="IO606" s="13"/>
      <c r="IP606" s="11"/>
      <c r="IQ606" s="11"/>
      <c r="IR606" s="13"/>
      <c r="IS606" s="11"/>
      <c r="IT606" s="12"/>
      <c r="IU606" s="12"/>
      <c r="IV606" s="11"/>
      <c r="IW606" s="13"/>
      <c r="IX606" s="11"/>
      <c r="IY606" s="11"/>
      <c r="IZ606" s="13"/>
      <c r="JA606" s="11"/>
      <c r="JB606" s="12"/>
      <c r="JC606" s="12"/>
      <c r="JD606" s="11"/>
      <c r="JE606" s="13"/>
      <c r="JF606" s="11"/>
      <c r="JG606" s="11"/>
      <c r="JH606" s="13"/>
      <c r="JI606" s="11"/>
      <c r="JJ606" s="12"/>
      <c r="JK606" s="12"/>
      <c r="JL606" s="11"/>
      <c r="JM606" s="13"/>
      <c r="JN606" s="11"/>
      <c r="JO606" s="11"/>
      <c r="JP606" s="13"/>
      <c r="JQ606" s="11"/>
      <c r="JR606" s="12"/>
      <c r="JS606" s="12"/>
      <c r="JT606" s="11"/>
      <c r="JU606" s="13"/>
      <c r="JV606" s="11">
        <v>9</v>
      </c>
      <c r="JW606" s="11"/>
      <c r="JX606" s="13"/>
      <c r="JY606" s="11"/>
      <c r="JZ606" s="12"/>
      <c r="KA606" s="12"/>
      <c r="KB606" s="11"/>
      <c r="KC606" s="13"/>
      <c r="KD606" s="11"/>
      <c r="KE606" s="11"/>
      <c r="KF606" s="13"/>
      <c r="KG606" s="11"/>
      <c r="KH606" s="12"/>
      <c r="KI606" s="12"/>
      <c r="KJ606" s="11"/>
      <c r="KK606" s="13"/>
      <c r="KL606" s="11"/>
      <c r="KM606" s="11"/>
      <c r="KN606" s="13"/>
      <c r="KO606" s="11"/>
      <c r="KP606" s="12"/>
      <c r="KQ606" s="12"/>
      <c r="KR606" s="11"/>
      <c r="KS606" s="13"/>
      <c r="KT606" s="11"/>
      <c r="KU606" s="11"/>
      <c r="KV606" s="13"/>
      <c r="KW606" s="11"/>
      <c r="KX606" s="12"/>
      <c r="KY606" s="12"/>
      <c r="KZ606" s="11"/>
      <c r="LA606" s="13"/>
      <c r="LB606" s="11"/>
      <c r="LC606" s="11"/>
      <c r="LD606" s="13"/>
      <c r="LE606" s="11"/>
      <c r="LF606" s="12"/>
      <c r="LG606" s="12"/>
      <c r="LH606" s="11"/>
      <c r="LI606" s="13"/>
      <c r="LJ606" s="11"/>
      <c r="LK606" s="11"/>
      <c r="LL606" s="13"/>
      <c r="LM606" s="11"/>
      <c r="LN606" s="12"/>
      <c r="LO606" s="12"/>
      <c r="LP606" s="11"/>
      <c r="LQ606" s="13"/>
      <c r="LR606" s="11"/>
      <c r="LS606" s="11"/>
      <c r="LT606" s="13"/>
      <c r="LU606" s="11"/>
      <c r="LV606" s="12"/>
      <c r="LW606" s="12"/>
    </row>
    <row r="607">
      <c r="A607" s="10" t="s">
        <v>300</v>
      </c>
      <c r="B607" s="10" t="s">
        <v>301</v>
      </c>
      <c r="C607" s="10" t="s">
        <v>74</v>
      </c>
      <c r="D607" s="11"/>
      <c r="E607" s="11">
        <f>=ROUNDDOWN({0},0)</f>
      </c>
      <c r="F607" s="11"/>
      <c r="G607" s="12"/>
      <c r="H607" s="11"/>
      <c r="I607" s="11">
        <f>=ROUNDDOWN({0},0)</f>
      </c>
      <c r="J607" s="11"/>
      <c r="K607" s="12"/>
      <c r="L607" s="11"/>
      <c r="M607" s="13"/>
      <c r="N607" s="11"/>
      <c r="O607" s="14"/>
      <c r="P607" s="11"/>
      <c r="Q607" s="13"/>
      <c r="R607" s="11"/>
      <c r="S607" s="14"/>
      <c r="T607" s="12"/>
      <c r="U607" s="12"/>
      <c r="V607" s="12"/>
      <c r="W607" s="12"/>
      <c r="X607" s="11"/>
      <c r="Y607" s="13"/>
      <c r="Z607" s="11"/>
      <c r="AA607" s="11"/>
      <c r="AB607" s="13"/>
      <c r="AC607" s="11"/>
      <c r="AD607" s="12"/>
      <c r="AE607" s="12"/>
      <c r="AF607" s="11"/>
      <c r="AG607" s="13"/>
      <c r="AH607" s="11"/>
      <c r="AI607" s="11"/>
      <c r="AJ607" s="13"/>
      <c r="AK607" s="11"/>
      <c r="AL607" s="12"/>
      <c r="AM607" s="12"/>
      <c r="AN607" s="11"/>
      <c r="AO607" s="13"/>
      <c r="AP607" s="11"/>
      <c r="AQ607" s="11"/>
      <c r="AR607" s="13"/>
      <c r="AS607" s="11"/>
      <c r="AT607" s="12"/>
      <c r="AU607" s="12"/>
      <c r="AV607" s="11"/>
      <c r="AW607" s="13"/>
      <c r="AX607" s="11"/>
      <c r="AY607" s="11"/>
      <c r="AZ607" s="13"/>
      <c r="BA607" s="11"/>
      <c r="BB607" s="12"/>
      <c r="BC607" s="12"/>
      <c r="BD607" s="11"/>
      <c r="BE607" s="13"/>
      <c r="BF607" s="11"/>
      <c r="BG607" s="11"/>
      <c r="BH607" s="13"/>
      <c r="BI607" s="11"/>
      <c r="BJ607" s="12"/>
      <c r="BK607" s="12"/>
      <c r="BL607" s="11"/>
      <c r="BM607" s="13"/>
      <c r="BN607" s="11"/>
      <c r="BO607" s="11"/>
      <c r="BP607" s="13"/>
      <c r="BQ607" s="11"/>
      <c r="BR607" s="12"/>
      <c r="BS607" s="12"/>
      <c r="BT607" s="11"/>
      <c r="BU607" s="13"/>
      <c r="BV607" s="11"/>
      <c r="BW607" s="11"/>
      <c r="BX607" s="13"/>
      <c r="BY607" s="11"/>
      <c r="BZ607" s="12"/>
      <c r="CA607" s="12"/>
      <c r="CB607" s="11"/>
      <c r="CC607" s="13"/>
      <c r="CD607" s="11"/>
      <c r="CE607" s="11"/>
      <c r="CF607" s="13"/>
      <c r="CG607" s="11"/>
      <c r="CH607" s="12"/>
      <c r="CI607" s="12"/>
      <c r="CJ607" s="11"/>
      <c r="CK607" s="13"/>
      <c r="CL607" s="11"/>
      <c r="CM607" s="11"/>
      <c r="CN607" s="13"/>
      <c r="CO607" s="11"/>
      <c r="CP607" s="12"/>
      <c r="CQ607" s="12"/>
      <c r="CR607" s="11"/>
      <c r="CS607" s="13"/>
      <c r="CT607" s="11"/>
      <c r="CU607" s="11"/>
      <c r="CV607" s="13"/>
      <c r="CW607" s="11"/>
      <c r="CX607" s="12"/>
      <c r="CY607" s="12"/>
      <c r="CZ607" s="11"/>
      <c r="DA607" s="13"/>
      <c r="DB607" s="11"/>
      <c r="DC607" s="11"/>
      <c r="DD607" s="13"/>
      <c r="DE607" s="11"/>
      <c r="DF607" s="12"/>
      <c r="DG607" s="12"/>
      <c r="DH607" s="11"/>
      <c r="DI607" s="13"/>
      <c r="DJ607" s="11"/>
      <c r="DK607" s="11"/>
      <c r="DL607" s="13"/>
      <c r="DM607" s="11"/>
      <c r="DN607" s="12"/>
      <c r="DO607" s="12"/>
      <c r="DP607" s="11"/>
      <c r="DQ607" s="13"/>
      <c r="DR607" s="11"/>
      <c r="DS607" s="11"/>
      <c r="DT607" s="13"/>
      <c r="DU607" s="11"/>
      <c r="DV607" s="12"/>
      <c r="DW607" s="12"/>
      <c r="DX607" s="11"/>
      <c r="DY607" s="13"/>
      <c r="DZ607" s="11"/>
      <c r="EA607" s="11"/>
      <c r="EB607" s="13"/>
      <c r="EC607" s="11"/>
      <c r="ED607" s="12"/>
      <c r="EE607" s="12"/>
      <c r="EF607" s="11"/>
      <c r="EG607" s="13"/>
      <c r="EH607" s="11"/>
      <c r="EI607" s="11"/>
      <c r="EJ607" s="13"/>
      <c r="EK607" s="11"/>
      <c r="EL607" s="12"/>
      <c r="EM607" s="12"/>
      <c r="EN607" s="11"/>
      <c r="EO607" s="13"/>
      <c r="EP607" s="11"/>
      <c r="EQ607" s="11"/>
      <c r="ER607" s="13"/>
      <c r="ES607" s="11"/>
      <c r="ET607" s="12"/>
      <c r="EU607" s="12"/>
      <c r="EV607" s="11"/>
      <c r="EW607" s="13"/>
      <c r="EX607" s="11"/>
      <c r="EY607" s="11"/>
      <c r="EZ607" s="13"/>
      <c r="FA607" s="11"/>
      <c r="FB607" s="12"/>
      <c r="FC607" s="12"/>
      <c r="FD607" s="11"/>
      <c r="FE607" s="13"/>
      <c r="FF607" s="11"/>
      <c r="FG607" s="11"/>
      <c r="FH607" s="13"/>
      <c r="FI607" s="11"/>
      <c r="FJ607" s="12"/>
      <c r="FK607" s="12"/>
      <c r="FL607" s="11"/>
      <c r="FM607" s="13"/>
      <c r="FN607" s="11"/>
      <c r="FO607" s="11"/>
      <c r="FP607" s="13"/>
      <c r="FQ607" s="11"/>
      <c r="FR607" s="12"/>
      <c r="FS607" s="12"/>
      <c r="FT607" s="11"/>
      <c r="FU607" s="13"/>
      <c r="FV607" s="11"/>
      <c r="FW607" s="11"/>
      <c r="FX607" s="13"/>
      <c r="FY607" s="11"/>
      <c r="FZ607" s="12"/>
      <c r="GA607" s="12"/>
      <c r="GB607" s="11"/>
      <c r="GC607" s="13"/>
      <c r="GD607" s="11"/>
      <c r="GE607" s="11"/>
      <c r="GF607" s="13"/>
      <c r="GG607" s="11"/>
      <c r="GH607" s="12"/>
      <c r="GI607" s="12"/>
      <c r="GJ607" s="11"/>
      <c r="GK607" s="13"/>
      <c r="GL607" s="11"/>
      <c r="GM607" s="11"/>
      <c r="GN607" s="13"/>
      <c r="GO607" s="11"/>
      <c r="GP607" s="12"/>
      <c r="GQ607" s="12"/>
      <c r="GR607" s="11"/>
      <c r="GS607" s="13"/>
      <c r="GT607" s="11"/>
      <c r="GU607" s="11"/>
      <c r="GV607" s="13"/>
      <c r="GW607" s="11"/>
      <c r="GX607" s="12"/>
      <c r="GY607" s="12"/>
      <c r="GZ607" s="11"/>
      <c r="HA607" s="13"/>
      <c r="HB607" s="11"/>
      <c r="HC607" s="11"/>
      <c r="HD607" s="13"/>
      <c r="HE607" s="11"/>
      <c r="HF607" s="12"/>
      <c r="HG607" s="12"/>
      <c r="HH607" s="11"/>
      <c r="HI607" s="13"/>
      <c r="HJ607" s="11"/>
      <c r="HK607" s="11"/>
      <c r="HL607" s="13"/>
      <c r="HM607" s="11"/>
      <c r="HN607" s="12"/>
      <c r="HO607" s="12"/>
      <c r="HP607" s="11"/>
      <c r="HQ607" s="13"/>
      <c r="HR607" s="11"/>
      <c r="HS607" s="11"/>
      <c r="HT607" s="13"/>
      <c r="HU607" s="11"/>
      <c r="HV607" s="12"/>
      <c r="HW607" s="12"/>
      <c r="HX607" s="11"/>
      <c r="HY607" s="13"/>
      <c r="HZ607" s="11"/>
      <c r="IA607" s="11"/>
      <c r="IB607" s="13"/>
      <c r="IC607" s="11"/>
      <c r="ID607" s="12"/>
      <c r="IE607" s="12"/>
      <c r="IF607" s="11"/>
      <c r="IG607" s="13"/>
      <c r="IH607" s="11"/>
      <c r="II607" s="11"/>
      <c r="IJ607" s="13"/>
      <c r="IK607" s="11"/>
      <c r="IL607" s="12"/>
      <c r="IM607" s="12"/>
      <c r="IN607" s="11"/>
      <c r="IO607" s="13"/>
      <c r="IP607" s="11"/>
      <c r="IQ607" s="11"/>
      <c r="IR607" s="13"/>
      <c r="IS607" s="11"/>
      <c r="IT607" s="12"/>
      <c r="IU607" s="12"/>
      <c r="IV607" s="11"/>
      <c r="IW607" s="13"/>
      <c r="IX607" s="11"/>
      <c r="IY607" s="11"/>
      <c r="IZ607" s="13"/>
      <c r="JA607" s="11"/>
      <c r="JB607" s="12"/>
      <c r="JC607" s="12"/>
      <c r="JD607" s="11"/>
      <c r="JE607" s="13"/>
      <c r="JF607" s="11"/>
      <c r="JG607" s="11"/>
      <c r="JH607" s="13"/>
      <c r="JI607" s="11"/>
      <c r="JJ607" s="12"/>
      <c r="JK607" s="12"/>
      <c r="JL607" s="11"/>
      <c r="JM607" s="13"/>
      <c r="JN607" s="11"/>
      <c r="JO607" s="11"/>
      <c r="JP607" s="13"/>
      <c r="JQ607" s="11"/>
      <c r="JR607" s="12"/>
      <c r="JS607" s="12"/>
      <c r="JT607" s="11"/>
      <c r="JU607" s="13"/>
      <c r="JV607" s="11"/>
      <c r="JW607" s="11"/>
      <c r="JX607" s="13"/>
      <c r="JY607" s="11"/>
      <c r="JZ607" s="12"/>
      <c r="KA607" s="12"/>
      <c r="KB607" s="11"/>
      <c r="KC607" s="13"/>
      <c r="KD607" s="11"/>
      <c r="KE607" s="11"/>
      <c r="KF607" s="13"/>
      <c r="KG607" s="11"/>
      <c r="KH607" s="12"/>
      <c r="KI607" s="12"/>
      <c r="KJ607" s="11"/>
      <c r="KK607" s="13"/>
      <c r="KL607" s="11"/>
      <c r="KM607" s="11"/>
      <c r="KN607" s="13"/>
      <c r="KO607" s="11"/>
      <c r="KP607" s="12"/>
      <c r="KQ607" s="12"/>
      <c r="KR607" s="11"/>
      <c r="KS607" s="13"/>
      <c r="KT607" s="11"/>
      <c r="KU607" s="11"/>
      <c r="KV607" s="13"/>
      <c r="KW607" s="11"/>
      <c r="KX607" s="12"/>
      <c r="KY607" s="12"/>
      <c r="KZ607" s="11"/>
      <c r="LA607" s="13"/>
      <c r="LB607" s="11"/>
      <c r="LC607" s="11"/>
      <c r="LD607" s="13"/>
      <c r="LE607" s="11"/>
      <c r="LF607" s="12"/>
      <c r="LG607" s="12"/>
      <c r="LH607" s="11"/>
      <c r="LI607" s="13"/>
      <c r="LJ607" s="11"/>
      <c r="LK607" s="11"/>
      <c r="LL607" s="13"/>
      <c r="LM607" s="11"/>
      <c r="LN607" s="12"/>
      <c r="LO607" s="12"/>
      <c r="LP607" s="11"/>
      <c r="LQ607" s="13"/>
      <c r="LR607" s="11"/>
      <c r="LS607" s="11"/>
      <c r="LT607" s="13"/>
      <c r="LU607" s="11"/>
      <c r="LV607" s="12"/>
      <c r="LW607" s="12"/>
    </row>
    <row r="608">
      <c r="A608" s="10" t="s">
        <v>300</v>
      </c>
      <c r="B608" s="10" t="s">
        <v>302</v>
      </c>
      <c r="C608" s="10" t="s">
        <v>77</v>
      </c>
      <c r="D608" s="11"/>
      <c r="E608" s="11">
        <f>=ROUNDDOWN({0},0)</f>
      </c>
      <c r="F608" s="11"/>
      <c r="G608" s="12"/>
      <c r="H608" s="11"/>
      <c r="I608" s="11">
        <f>=ROUNDDOWN({0},0)</f>
      </c>
      <c r="J608" s="11"/>
      <c r="K608" s="12"/>
      <c r="L608" s="11"/>
      <c r="M608" s="13"/>
      <c r="N608" s="11"/>
      <c r="O608" s="14"/>
      <c r="P608" s="11"/>
      <c r="Q608" s="13"/>
      <c r="R608" s="11"/>
      <c r="S608" s="14"/>
      <c r="T608" s="12"/>
      <c r="U608" s="12"/>
      <c r="V608" s="12"/>
      <c r="W608" s="12"/>
      <c r="X608" s="11"/>
      <c r="Y608" s="13"/>
      <c r="Z608" s="11"/>
      <c r="AA608" s="11"/>
      <c r="AB608" s="13"/>
      <c r="AC608" s="11"/>
      <c r="AD608" s="12"/>
      <c r="AE608" s="12"/>
      <c r="AF608" s="11"/>
      <c r="AG608" s="13"/>
      <c r="AH608" s="11"/>
      <c r="AI608" s="11"/>
      <c r="AJ608" s="13"/>
      <c r="AK608" s="11"/>
      <c r="AL608" s="12"/>
      <c r="AM608" s="12"/>
      <c r="AN608" s="11"/>
      <c r="AO608" s="13"/>
      <c r="AP608" s="11"/>
      <c r="AQ608" s="11"/>
      <c r="AR608" s="13"/>
      <c r="AS608" s="11"/>
      <c r="AT608" s="12"/>
      <c r="AU608" s="12"/>
      <c r="AV608" s="11"/>
      <c r="AW608" s="13"/>
      <c r="AX608" s="11"/>
      <c r="AY608" s="11"/>
      <c r="AZ608" s="13"/>
      <c r="BA608" s="11"/>
      <c r="BB608" s="12"/>
      <c r="BC608" s="12"/>
      <c r="BD608" s="11"/>
      <c r="BE608" s="13"/>
      <c r="BF608" s="11"/>
      <c r="BG608" s="11"/>
      <c r="BH608" s="13"/>
      <c r="BI608" s="11"/>
      <c r="BJ608" s="12"/>
      <c r="BK608" s="12"/>
      <c r="BL608" s="11"/>
      <c r="BM608" s="13"/>
      <c r="BN608" s="11"/>
      <c r="BO608" s="11"/>
      <c r="BP608" s="13"/>
      <c r="BQ608" s="11"/>
      <c r="BR608" s="12"/>
      <c r="BS608" s="12"/>
      <c r="BT608" s="11"/>
      <c r="BU608" s="13"/>
      <c r="BV608" s="11"/>
      <c r="BW608" s="11"/>
      <c r="BX608" s="13"/>
      <c r="BY608" s="11"/>
      <c r="BZ608" s="12"/>
      <c r="CA608" s="12"/>
      <c r="CB608" s="11"/>
      <c r="CC608" s="13"/>
      <c r="CD608" s="11"/>
      <c r="CE608" s="11"/>
      <c r="CF608" s="13"/>
      <c r="CG608" s="11"/>
      <c r="CH608" s="12"/>
      <c r="CI608" s="12"/>
      <c r="CJ608" s="11"/>
      <c r="CK608" s="13"/>
      <c r="CL608" s="11"/>
      <c r="CM608" s="11"/>
      <c r="CN608" s="13"/>
      <c r="CO608" s="11"/>
      <c r="CP608" s="12"/>
      <c r="CQ608" s="12"/>
      <c r="CR608" s="11"/>
      <c r="CS608" s="13"/>
      <c r="CT608" s="11"/>
      <c r="CU608" s="11"/>
      <c r="CV608" s="13"/>
      <c r="CW608" s="11"/>
      <c r="CX608" s="12"/>
      <c r="CY608" s="12"/>
      <c r="CZ608" s="11"/>
      <c r="DA608" s="13"/>
      <c r="DB608" s="11"/>
      <c r="DC608" s="11"/>
      <c r="DD608" s="13"/>
      <c r="DE608" s="11"/>
      <c r="DF608" s="12"/>
      <c r="DG608" s="12"/>
      <c r="DH608" s="11"/>
      <c r="DI608" s="13"/>
      <c r="DJ608" s="11"/>
      <c r="DK608" s="11"/>
      <c r="DL608" s="13"/>
      <c r="DM608" s="11"/>
      <c r="DN608" s="12"/>
      <c r="DO608" s="12"/>
      <c r="DP608" s="11"/>
      <c r="DQ608" s="13"/>
      <c r="DR608" s="11"/>
      <c r="DS608" s="11"/>
      <c r="DT608" s="13"/>
      <c r="DU608" s="11"/>
      <c r="DV608" s="12"/>
      <c r="DW608" s="12"/>
      <c r="DX608" s="11"/>
      <c r="DY608" s="13"/>
      <c r="DZ608" s="11"/>
      <c r="EA608" s="11"/>
      <c r="EB608" s="13"/>
      <c r="EC608" s="11"/>
      <c r="ED608" s="12"/>
      <c r="EE608" s="12"/>
      <c r="EF608" s="11"/>
      <c r="EG608" s="13"/>
      <c r="EH608" s="11"/>
      <c r="EI608" s="11"/>
      <c r="EJ608" s="13"/>
      <c r="EK608" s="11"/>
      <c r="EL608" s="12"/>
      <c r="EM608" s="12"/>
      <c r="EN608" s="11"/>
      <c r="EO608" s="13"/>
      <c r="EP608" s="11"/>
      <c r="EQ608" s="11"/>
      <c r="ER608" s="13"/>
      <c r="ES608" s="11"/>
      <c r="ET608" s="12"/>
      <c r="EU608" s="12"/>
      <c r="EV608" s="11"/>
      <c r="EW608" s="13"/>
      <c r="EX608" s="11"/>
      <c r="EY608" s="11"/>
      <c r="EZ608" s="13"/>
      <c r="FA608" s="11"/>
      <c r="FB608" s="12"/>
      <c r="FC608" s="12"/>
      <c r="FD608" s="11"/>
      <c r="FE608" s="13"/>
      <c r="FF608" s="11"/>
      <c r="FG608" s="11"/>
      <c r="FH608" s="13"/>
      <c r="FI608" s="11"/>
      <c r="FJ608" s="12"/>
      <c r="FK608" s="12"/>
      <c r="FL608" s="11"/>
      <c r="FM608" s="13"/>
      <c r="FN608" s="11"/>
      <c r="FO608" s="11"/>
      <c r="FP608" s="13"/>
      <c r="FQ608" s="11"/>
      <c r="FR608" s="12"/>
      <c r="FS608" s="12"/>
      <c r="FT608" s="11"/>
      <c r="FU608" s="13"/>
      <c r="FV608" s="11"/>
      <c r="FW608" s="11"/>
      <c r="FX608" s="13"/>
      <c r="FY608" s="11"/>
      <c r="FZ608" s="12"/>
      <c r="GA608" s="12"/>
      <c r="GB608" s="11"/>
      <c r="GC608" s="13"/>
      <c r="GD608" s="11"/>
      <c r="GE608" s="11"/>
      <c r="GF608" s="13"/>
      <c r="GG608" s="11"/>
      <c r="GH608" s="12"/>
      <c r="GI608" s="12"/>
      <c r="GJ608" s="11"/>
      <c r="GK608" s="13"/>
      <c r="GL608" s="11"/>
      <c r="GM608" s="11"/>
      <c r="GN608" s="13"/>
      <c r="GO608" s="11"/>
      <c r="GP608" s="12"/>
      <c r="GQ608" s="12"/>
      <c r="GR608" s="11"/>
      <c r="GS608" s="13"/>
      <c r="GT608" s="11"/>
      <c r="GU608" s="11"/>
      <c r="GV608" s="13"/>
      <c r="GW608" s="11"/>
      <c r="GX608" s="12"/>
      <c r="GY608" s="12"/>
      <c r="GZ608" s="11"/>
      <c r="HA608" s="13"/>
      <c r="HB608" s="11"/>
      <c r="HC608" s="11"/>
      <c r="HD608" s="13"/>
      <c r="HE608" s="11"/>
      <c r="HF608" s="12"/>
      <c r="HG608" s="12"/>
      <c r="HH608" s="11"/>
      <c r="HI608" s="13"/>
      <c r="HJ608" s="11"/>
      <c r="HK608" s="11"/>
      <c r="HL608" s="13"/>
      <c r="HM608" s="11"/>
      <c r="HN608" s="12"/>
      <c r="HO608" s="12"/>
      <c r="HP608" s="11"/>
      <c r="HQ608" s="13"/>
      <c r="HR608" s="11"/>
      <c r="HS608" s="11"/>
      <c r="HT608" s="13"/>
      <c r="HU608" s="11"/>
      <c r="HV608" s="12"/>
      <c r="HW608" s="12"/>
      <c r="HX608" s="11"/>
      <c r="HY608" s="13"/>
      <c r="HZ608" s="11"/>
      <c r="IA608" s="11"/>
      <c r="IB608" s="13"/>
      <c r="IC608" s="11"/>
      <c r="ID608" s="12"/>
      <c r="IE608" s="12"/>
      <c r="IF608" s="11"/>
      <c r="IG608" s="13"/>
      <c r="IH608" s="11"/>
      <c r="II608" s="11"/>
      <c r="IJ608" s="13"/>
      <c r="IK608" s="11"/>
      <c r="IL608" s="12"/>
      <c r="IM608" s="12"/>
      <c r="IN608" s="11"/>
      <c r="IO608" s="13"/>
      <c r="IP608" s="11"/>
      <c r="IQ608" s="11"/>
      <c r="IR608" s="13"/>
      <c r="IS608" s="11"/>
      <c r="IT608" s="12"/>
      <c r="IU608" s="12"/>
      <c r="IV608" s="11"/>
      <c r="IW608" s="13"/>
      <c r="IX608" s="11"/>
      <c r="IY608" s="11"/>
      <c r="IZ608" s="13"/>
      <c r="JA608" s="11"/>
      <c r="JB608" s="12"/>
      <c r="JC608" s="12"/>
      <c r="JD608" s="11"/>
      <c r="JE608" s="13"/>
      <c r="JF608" s="11"/>
      <c r="JG608" s="11"/>
      <c r="JH608" s="13"/>
      <c r="JI608" s="11"/>
      <c r="JJ608" s="12"/>
      <c r="JK608" s="12"/>
      <c r="JL608" s="11"/>
      <c r="JM608" s="13"/>
      <c r="JN608" s="11"/>
      <c r="JO608" s="11"/>
      <c r="JP608" s="13"/>
      <c r="JQ608" s="11"/>
      <c r="JR608" s="12"/>
      <c r="JS608" s="12"/>
      <c r="JT608" s="11"/>
      <c r="JU608" s="13"/>
      <c r="JV608" s="11"/>
      <c r="JW608" s="11"/>
      <c r="JX608" s="13"/>
      <c r="JY608" s="11"/>
      <c r="JZ608" s="12"/>
      <c r="KA608" s="12"/>
      <c r="KB608" s="11"/>
      <c r="KC608" s="13"/>
      <c r="KD608" s="11"/>
      <c r="KE608" s="11"/>
      <c r="KF608" s="13"/>
      <c r="KG608" s="11"/>
      <c r="KH608" s="12"/>
      <c r="KI608" s="12"/>
      <c r="KJ608" s="11"/>
      <c r="KK608" s="13"/>
      <c r="KL608" s="11"/>
      <c r="KM608" s="11"/>
      <c r="KN608" s="13"/>
      <c r="KO608" s="11"/>
      <c r="KP608" s="12"/>
      <c r="KQ608" s="12"/>
      <c r="KR608" s="11"/>
      <c r="KS608" s="13"/>
      <c r="KT608" s="11"/>
      <c r="KU608" s="11"/>
      <c r="KV608" s="13"/>
      <c r="KW608" s="11"/>
      <c r="KX608" s="12"/>
      <c r="KY608" s="12"/>
      <c r="KZ608" s="11"/>
      <c r="LA608" s="13"/>
      <c r="LB608" s="11"/>
      <c r="LC608" s="11"/>
      <c r="LD608" s="13"/>
      <c r="LE608" s="11"/>
      <c r="LF608" s="12"/>
      <c r="LG608" s="12"/>
      <c r="LH608" s="11"/>
      <c r="LI608" s="13"/>
      <c r="LJ608" s="11"/>
      <c r="LK608" s="11"/>
      <c r="LL608" s="13"/>
      <c r="LM608" s="11"/>
      <c r="LN608" s="12"/>
      <c r="LO608" s="12"/>
      <c r="LP608" s="11"/>
      <c r="LQ608" s="13"/>
      <c r="LR608" s="11"/>
      <c r="LS608" s="11"/>
      <c r="LT608" s="13"/>
      <c r="LU608" s="11"/>
      <c r="LV608" s="12"/>
      <c r="LW608" s="12"/>
    </row>
    <row r="609">
      <c r="A609" s="10" t="s">
        <v>300</v>
      </c>
      <c r="B609" s="10" t="s">
        <v>303</v>
      </c>
      <c r="C609" s="10" t="s">
        <v>101</v>
      </c>
      <c r="D609" s="11"/>
      <c r="E609" s="11">
        <f>=ROUNDDOWN({0},0)</f>
      </c>
      <c r="F609" s="11"/>
      <c r="G609" s="12"/>
      <c r="H609" s="11"/>
      <c r="I609" s="11">
        <f>=ROUNDDOWN({0},0)</f>
      </c>
      <c r="J609" s="11"/>
      <c r="K609" s="12"/>
      <c r="L609" s="11"/>
      <c r="M609" s="13"/>
      <c r="N609" s="11"/>
      <c r="O609" s="14"/>
      <c r="P609" s="11"/>
      <c r="Q609" s="13"/>
      <c r="R609" s="11"/>
      <c r="S609" s="14"/>
      <c r="T609" s="12"/>
      <c r="U609" s="12"/>
      <c r="V609" s="12"/>
      <c r="W609" s="12"/>
      <c r="X609" s="11"/>
      <c r="Y609" s="13"/>
      <c r="Z609" s="11"/>
      <c r="AA609" s="11"/>
      <c r="AB609" s="13"/>
      <c r="AC609" s="11"/>
      <c r="AD609" s="12"/>
      <c r="AE609" s="12"/>
      <c r="AF609" s="11"/>
      <c r="AG609" s="13"/>
      <c r="AH609" s="11"/>
      <c r="AI609" s="11"/>
      <c r="AJ609" s="13"/>
      <c r="AK609" s="11"/>
      <c r="AL609" s="12"/>
      <c r="AM609" s="12"/>
      <c r="AN609" s="11"/>
      <c r="AO609" s="13"/>
      <c r="AP609" s="11"/>
      <c r="AQ609" s="11"/>
      <c r="AR609" s="13"/>
      <c r="AS609" s="11"/>
      <c r="AT609" s="12"/>
      <c r="AU609" s="12"/>
      <c r="AV609" s="11"/>
      <c r="AW609" s="13"/>
      <c r="AX609" s="11"/>
      <c r="AY609" s="11"/>
      <c r="AZ609" s="13"/>
      <c r="BA609" s="11"/>
      <c r="BB609" s="12"/>
      <c r="BC609" s="12"/>
      <c r="BD609" s="11"/>
      <c r="BE609" s="13"/>
      <c r="BF609" s="11"/>
      <c r="BG609" s="11"/>
      <c r="BH609" s="13"/>
      <c r="BI609" s="11"/>
      <c r="BJ609" s="12"/>
      <c r="BK609" s="12"/>
      <c r="BL609" s="11"/>
      <c r="BM609" s="13"/>
      <c r="BN609" s="11"/>
      <c r="BO609" s="11"/>
      <c r="BP609" s="13"/>
      <c r="BQ609" s="11"/>
      <c r="BR609" s="12"/>
      <c r="BS609" s="12"/>
      <c r="BT609" s="11"/>
      <c r="BU609" s="13"/>
      <c r="BV609" s="11"/>
      <c r="BW609" s="11"/>
      <c r="BX609" s="13"/>
      <c r="BY609" s="11"/>
      <c r="BZ609" s="12"/>
      <c r="CA609" s="12"/>
      <c r="CB609" s="11"/>
      <c r="CC609" s="13"/>
      <c r="CD609" s="11"/>
      <c r="CE609" s="11"/>
      <c r="CF609" s="13"/>
      <c r="CG609" s="11"/>
      <c r="CH609" s="12"/>
      <c r="CI609" s="12"/>
      <c r="CJ609" s="11"/>
      <c r="CK609" s="13"/>
      <c r="CL609" s="11"/>
      <c r="CM609" s="11"/>
      <c r="CN609" s="13"/>
      <c r="CO609" s="11"/>
      <c r="CP609" s="12"/>
      <c r="CQ609" s="12"/>
      <c r="CR609" s="11"/>
      <c r="CS609" s="13"/>
      <c r="CT609" s="11"/>
      <c r="CU609" s="11"/>
      <c r="CV609" s="13"/>
      <c r="CW609" s="11"/>
      <c r="CX609" s="12"/>
      <c r="CY609" s="12"/>
      <c r="CZ609" s="11"/>
      <c r="DA609" s="13"/>
      <c r="DB609" s="11"/>
      <c r="DC609" s="11"/>
      <c r="DD609" s="13"/>
      <c r="DE609" s="11"/>
      <c r="DF609" s="12"/>
      <c r="DG609" s="12"/>
      <c r="DH609" s="11"/>
      <c r="DI609" s="13"/>
      <c r="DJ609" s="11"/>
      <c r="DK609" s="11"/>
      <c r="DL609" s="13"/>
      <c r="DM609" s="11"/>
      <c r="DN609" s="12"/>
      <c r="DO609" s="12"/>
      <c r="DP609" s="11"/>
      <c r="DQ609" s="13"/>
      <c r="DR609" s="11"/>
      <c r="DS609" s="11"/>
      <c r="DT609" s="13"/>
      <c r="DU609" s="11"/>
      <c r="DV609" s="12"/>
      <c r="DW609" s="12"/>
      <c r="DX609" s="11"/>
      <c r="DY609" s="13"/>
      <c r="DZ609" s="11"/>
      <c r="EA609" s="11"/>
      <c r="EB609" s="13"/>
      <c r="EC609" s="11"/>
      <c r="ED609" s="12"/>
      <c r="EE609" s="12"/>
      <c r="EF609" s="11"/>
      <c r="EG609" s="13"/>
      <c r="EH609" s="11"/>
      <c r="EI609" s="11"/>
      <c r="EJ609" s="13"/>
      <c r="EK609" s="11"/>
      <c r="EL609" s="12"/>
      <c r="EM609" s="12"/>
      <c r="EN609" s="11"/>
      <c r="EO609" s="13"/>
      <c r="EP609" s="11"/>
      <c r="EQ609" s="11"/>
      <c r="ER609" s="13"/>
      <c r="ES609" s="11"/>
      <c r="ET609" s="12"/>
      <c r="EU609" s="12"/>
      <c r="EV609" s="11"/>
      <c r="EW609" s="13"/>
      <c r="EX609" s="11"/>
      <c r="EY609" s="11"/>
      <c r="EZ609" s="13"/>
      <c r="FA609" s="11"/>
      <c r="FB609" s="12"/>
      <c r="FC609" s="12"/>
      <c r="FD609" s="11"/>
      <c r="FE609" s="13"/>
      <c r="FF609" s="11"/>
      <c r="FG609" s="11"/>
      <c r="FH609" s="13"/>
      <c r="FI609" s="11"/>
      <c r="FJ609" s="12"/>
      <c r="FK609" s="12"/>
      <c r="FL609" s="11"/>
      <c r="FM609" s="13"/>
      <c r="FN609" s="11"/>
      <c r="FO609" s="11"/>
      <c r="FP609" s="13"/>
      <c r="FQ609" s="11"/>
      <c r="FR609" s="12"/>
      <c r="FS609" s="12"/>
      <c r="FT609" s="11"/>
      <c r="FU609" s="13"/>
      <c r="FV609" s="11"/>
      <c r="FW609" s="11"/>
      <c r="FX609" s="13"/>
      <c r="FY609" s="11"/>
      <c r="FZ609" s="12"/>
      <c r="GA609" s="12"/>
      <c r="GB609" s="11"/>
      <c r="GC609" s="13"/>
      <c r="GD609" s="11"/>
      <c r="GE609" s="11"/>
      <c r="GF609" s="13"/>
      <c r="GG609" s="11"/>
      <c r="GH609" s="12"/>
      <c r="GI609" s="12"/>
      <c r="GJ609" s="11"/>
      <c r="GK609" s="13"/>
      <c r="GL609" s="11"/>
      <c r="GM609" s="11"/>
      <c r="GN609" s="13"/>
      <c r="GO609" s="11"/>
      <c r="GP609" s="12"/>
      <c r="GQ609" s="12"/>
      <c r="GR609" s="11"/>
      <c r="GS609" s="13"/>
      <c r="GT609" s="11"/>
      <c r="GU609" s="11"/>
      <c r="GV609" s="13"/>
      <c r="GW609" s="11"/>
      <c r="GX609" s="12"/>
      <c r="GY609" s="12"/>
      <c r="GZ609" s="11"/>
      <c r="HA609" s="13"/>
      <c r="HB609" s="11"/>
      <c r="HC609" s="11"/>
      <c r="HD609" s="13"/>
      <c r="HE609" s="11"/>
      <c r="HF609" s="12"/>
      <c r="HG609" s="12"/>
      <c r="HH609" s="11"/>
      <c r="HI609" s="13"/>
      <c r="HJ609" s="11"/>
      <c r="HK609" s="11"/>
      <c r="HL609" s="13"/>
      <c r="HM609" s="11"/>
      <c r="HN609" s="12"/>
      <c r="HO609" s="12"/>
      <c r="HP609" s="11"/>
      <c r="HQ609" s="13"/>
      <c r="HR609" s="11"/>
      <c r="HS609" s="11"/>
      <c r="HT609" s="13"/>
      <c r="HU609" s="11"/>
      <c r="HV609" s="12"/>
      <c r="HW609" s="12"/>
      <c r="HX609" s="11"/>
      <c r="HY609" s="13"/>
      <c r="HZ609" s="11"/>
      <c r="IA609" s="11"/>
      <c r="IB609" s="13"/>
      <c r="IC609" s="11"/>
      <c r="ID609" s="12"/>
      <c r="IE609" s="12"/>
      <c r="IF609" s="11"/>
      <c r="IG609" s="13"/>
      <c r="IH609" s="11"/>
      <c r="II609" s="11"/>
      <c r="IJ609" s="13"/>
      <c r="IK609" s="11"/>
      <c r="IL609" s="12"/>
      <c r="IM609" s="12"/>
      <c r="IN609" s="11"/>
      <c r="IO609" s="13"/>
      <c r="IP609" s="11"/>
      <c r="IQ609" s="11"/>
      <c r="IR609" s="13"/>
      <c r="IS609" s="11"/>
      <c r="IT609" s="12"/>
      <c r="IU609" s="12"/>
      <c r="IV609" s="11"/>
      <c r="IW609" s="13"/>
      <c r="IX609" s="11"/>
      <c r="IY609" s="11"/>
      <c r="IZ609" s="13"/>
      <c r="JA609" s="11"/>
      <c r="JB609" s="12"/>
      <c r="JC609" s="12"/>
      <c r="JD609" s="11"/>
      <c r="JE609" s="13"/>
      <c r="JF609" s="11"/>
      <c r="JG609" s="11"/>
      <c r="JH609" s="13"/>
      <c r="JI609" s="11"/>
      <c r="JJ609" s="12"/>
      <c r="JK609" s="12"/>
      <c r="JL609" s="11"/>
      <c r="JM609" s="13"/>
      <c r="JN609" s="11"/>
      <c r="JO609" s="11"/>
      <c r="JP609" s="13"/>
      <c r="JQ609" s="11"/>
      <c r="JR609" s="12"/>
      <c r="JS609" s="12"/>
      <c r="JT609" s="11"/>
      <c r="JU609" s="13"/>
      <c r="JV609" s="11"/>
      <c r="JW609" s="11"/>
      <c r="JX609" s="13"/>
      <c r="JY609" s="11"/>
      <c r="JZ609" s="12"/>
      <c r="KA609" s="12"/>
      <c r="KB609" s="11"/>
      <c r="KC609" s="13"/>
      <c r="KD609" s="11"/>
      <c r="KE609" s="11"/>
      <c r="KF609" s="13"/>
      <c r="KG609" s="11"/>
      <c r="KH609" s="12"/>
      <c r="KI609" s="12"/>
      <c r="KJ609" s="11"/>
      <c r="KK609" s="13"/>
      <c r="KL609" s="11"/>
      <c r="KM609" s="11"/>
      <c r="KN609" s="13"/>
      <c r="KO609" s="11"/>
      <c r="KP609" s="12"/>
      <c r="KQ609" s="12"/>
      <c r="KR609" s="11"/>
      <c r="KS609" s="13"/>
      <c r="KT609" s="11"/>
      <c r="KU609" s="11"/>
      <c r="KV609" s="13"/>
      <c r="KW609" s="11"/>
      <c r="KX609" s="12"/>
      <c r="KY609" s="12"/>
      <c r="KZ609" s="11"/>
      <c r="LA609" s="13"/>
      <c r="LB609" s="11"/>
      <c r="LC609" s="11"/>
      <c r="LD609" s="13"/>
      <c r="LE609" s="11"/>
      <c r="LF609" s="12"/>
      <c r="LG609" s="12"/>
      <c r="LH609" s="11"/>
      <c r="LI609" s="13"/>
      <c r="LJ609" s="11"/>
      <c r="LK609" s="11"/>
      <c r="LL609" s="13"/>
      <c r="LM609" s="11"/>
      <c r="LN609" s="12"/>
      <c r="LO609" s="12"/>
      <c r="LP609" s="11"/>
      <c r="LQ609" s="13"/>
      <c r="LR609" s="11"/>
      <c r="LS609" s="11"/>
      <c r="LT609" s="13"/>
      <c r="LU609" s="11"/>
      <c r="LV609" s="12"/>
      <c r="LW609" s="12"/>
    </row>
    <row r="610">
      <c r="A610" s="10" t="s">
        <v>300</v>
      </c>
      <c r="B610" s="10" t="s">
        <v>304</v>
      </c>
      <c r="C610" s="10" t="s">
        <v>77</v>
      </c>
      <c r="D610" s="11"/>
      <c r="E610" s="11">
        <f>=ROUNDDOWN({0},0)</f>
      </c>
      <c r="F610" s="11"/>
      <c r="G610" s="12"/>
      <c r="H610" s="11"/>
      <c r="I610" s="11">
        <f>=ROUNDDOWN({0},0)</f>
      </c>
      <c r="J610" s="11"/>
      <c r="K610" s="12"/>
      <c r="L610" s="11"/>
      <c r="M610" s="13"/>
      <c r="N610" s="11"/>
      <c r="O610" s="14"/>
      <c r="P610" s="11"/>
      <c r="Q610" s="13"/>
      <c r="R610" s="11"/>
      <c r="S610" s="14"/>
      <c r="T610" s="12"/>
      <c r="U610" s="12"/>
      <c r="V610" s="12"/>
      <c r="W610" s="12"/>
      <c r="X610" s="11"/>
      <c r="Y610" s="13"/>
      <c r="Z610" s="11"/>
      <c r="AA610" s="11"/>
      <c r="AB610" s="13"/>
      <c r="AC610" s="11"/>
      <c r="AD610" s="12"/>
      <c r="AE610" s="12"/>
      <c r="AF610" s="11"/>
      <c r="AG610" s="13"/>
      <c r="AH610" s="11"/>
      <c r="AI610" s="11"/>
      <c r="AJ610" s="13"/>
      <c r="AK610" s="11"/>
      <c r="AL610" s="12"/>
      <c r="AM610" s="12"/>
      <c r="AN610" s="11"/>
      <c r="AO610" s="13"/>
      <c r="AP610" s="11"/>
      <c r="AQ610" s="11"/>
      <c r="AR610" s="13"/>
      <c r="AS610" s="11"/>
      <c r="AT610" s="12"/>
      <c r="AU610" s="12"/>
      <c r="AV610" s="11"/>
      <c r="AW610" s="13"/>
      <c r="AX610" s="11"/>
      <c r="AY610" s="11"/>
      <c r="AZ610" s="13"/>
      <c r="BA610" s="11"/>
      <c r="BB610" s="12"/>
      <c r="BC610" s="12"/>
      <c r="BD610" s="11"/>
      <c r="BE610" s="13"/>
      <c r="BF610" s="11"/>
      <c r="BG610" s="11"/>
      <c r="BH610" s="13"/>
      <c r="BI610" s="11"/>
      <c r="BJ610" s="12"/>
      <c r="BK610" s="12"/>
      <c r="BL610" s="11"/>
      <c r="BM610" s="13"/>
      <c r="BN610" s="11"/>
      <c r="BO610" s="11"/>
      <c r="BP610" s="13"/>
      <c r="BQ610" s="11"/>
      <c r="BR610" s="12"/>
      <c r="BS610" s="12"/>
      <c r="BT610" s="11"/>
      <c r="BU610" s="13"/>
      <c r="BV610" s="11"/>
      <c r="BW610" s="11"/>
      <c r="BX610" s="13"/>
      <c r="BY610" s="11"/>
      <c r="BZ610" s="12"/>
      <c r="CA610" s="12"/>
      <c r="CB610" s="11"/>
      <c r="CC610" s="13"/>
      <c r="CD610" s="11"/>
      <c r="CE610" s="11"/>
      <c r="CF610" s="13"/>
      <c r="CG610" s="11"/>
      <c r="CH610" s="12"/>
      <c r="CI610" s="12"/>
      <c r="CJ610" s="11"/>
      <c r="CK610" s="13"/>
      <c r="CL610" s="11"/>
      <c r="CM610" s="11"/>
      <c r="CN610" s="13"/>
      <c r="CO610" s="11"/>
      <c r="CP610" s="12"/>
      <c r="CQ610" s="12"/>
      <c r="CR610" s="11"/>
      <c r="CS610" s="13"/>
      <c r="CT610" s="11"/>
      <c r="CU610" s="11"/>
      <c r="CV610" s="13"/>
      <c r="CW610" s="11"/>
      <c r="CX610" s="12"/>
      <c r="CY610" s="12"/>
      <c r="CZ610" s="11"/>
      <c r="DA610" s="13"/>
      <c r="DB610" s="11"/>
      <c r="DC610" s="11"/>
      <c r="DD610" s="13"/>
      <c r="DE610" s="11"/>
      <c r="DF610" s="12"/>
      <c r="DG610" s="12"/>
      <c r="DH610" s="11"/>
      <c r="DI610" s="13"/>
      <c r="DJ610" s="11"/>
      <c r="DK610" s="11"/>
      <c r="DL610" s="13"/>
      <c r="DM610" s="11"/>
      <c r="DN610" s="12"/>
      <c r="DO610" s="12"/>
      <c r="DP610" s="11"/>
      <c r="DQ610" s="13"/>
      <c r="DR610" s="11"/>
      <c r="DS610" s="11"/>
      <c r="DT610" s="13"/>
      <c r="DU610" s="11"/>
      <c r="DV610" s="12"/>
      <c r="DW610" s="12"/>
      <c r="DX610" s="11"/>
      <c r="DY610" s="13"/>
      <c r="DZ610" s="11"/>
      <c r="EA610" s="11"/>
      <c r="EB610" s="13"/>
      <c r="EC610" s="11"/>
      <c r="ED610" s="12"/>
      <c r="EE610" s="12"/>
      <c r="EF610" s="11"/>
      <c r="EG610" s="13"/>
      <c r="EH610" s="11"/>
      <c r="EI610" s="11"/>
      <c r="EJ610" s="13"/>
      <c r="EK610" s="11"/>
      <c r="EL610" s="12"/>
      <c r="EM610" s="12"/>
      <c r="EN610" s="11"/>
      <c r="EO610" s="13"/>
      <c r="EP610" s="11"/>
      <c r="EQ610" s="11"/>
      <c r="ER610" s="13"/>
      <c r="ES610" s="11"/>
      <c r="ET610" s="12"/>
      <c r="EU610" s="12"/>
      <c r="EV610" s="11"/>
      <c r="EW610" s="13"/>
      <c r="EX610" s="11"/>
      <c r="EY610" s="11"/>
      <c r="EZ610" s="13"/>
      <c r="FA610" s="11"/>
      <c r="FB610" s="12"/>
      <c r="FC610" s="12"/>
      <c r="FD610" s="11"/>
      <c r="FE610" s="13"/>
      <c r="FF610" s="11"/>
      <c r="FG610" s="11"/>
      <c r="FH610" s="13"/>
      <c r="FI610" s="11"/>
      <c r="FJ610" s="12"/>
      <c r="FK610" s="12"/>
      <c r="FL610" s="11"/>
      <c r="FM610" s="13"/>
      <c r="FN610" s="11"/>
      <c r="FO610" s="11"/>
      <c r="FP610" s="13"/>
      <c r="FQ610" s="11"/>
      <c r="FR610" s="12"/>
      <c r="FS610" s="12"/>
      <c r="FT610" s="11"/>
      <c r="FU610" s="13"/>
      <c r="FV610" s="11"/>
      <c r="FW610" s="11"/>
      <c r="FX610" s="13"/>
      <c r="FY610" s="11"/>
      <c r="FZ610" s="12"/>
      <c r="GA610" s="12"/>
      <c r="GB610" s="11"/>
      <c r="GC610" s="13"/>
      <c r="GD610" s="11"/>
      <c r="GE610" s="11"/>
      <c r="GF610" s="13"/>
      <c r="GG610" s="11"/>
      <c r="GH610" s="12"/>
      <c r="GI610" s="12"/>
      <c r="GJ610" s="11"/>
      <c r="GK610" s="13"/>
      <c r="GL610" s="11"/>
      <c r="GM610" s="11"/>
      <c r="GN610" s="13"/>
      <c r="GO610" s="11"/>
      <c r="GP610" s="12"/>
      <c r="GQ610" s="12"/>
      <c r="GR610" s="11"/>
      <c r="GS610" s="13"/>
      <c r="GT610" s="11"/>
      <c r="GU610" s="11"/>
      <c r="GV610" s="13"/>
      <c r="GW610" s="11"/>
      <c r="GX610" s="12"/>
      <c r="GY610" s="12"/>
      <c r="GZ610" s="11"/>
      <c r="HA610" s="13"/>
      <c r="HB610" s="11"/>
      <c r="HC610" s="11"/>
      <c r="HD610" s="13"/>
      <c r="HE610" s="11"/>
      <c r="HF610" s="12"/>
      <c r="HG610" s="12"/>
      <c r="HH610" s="11"/>
      <c r="HI610" s="13"/>
      <c r="HJ610" s="11"/>
      <c r="HK610" s="11"/>
      <c r="HL610" s="13"/>
      <c r="HM610" s="11"/>
      <c r="HN610" s="12"/>
      <c r="HO610" s="12"/>
      <c r="HP610" s="11"/>
      <c r="HQ610" s="13"/>
      <c r="HR610" s="11"/>
      <c r="HS610" s="11"/>
      <c r="HT610" s="13"/>
      <c r="HU610" s="11"/>
      <c r="HV610" s="12"/>
      <c r="HW610" s="12"/>
      <c r="HX610" s="11"/>
      <c r="HY610" s="13"/>
      <c r="HZ610" s="11"/>
      <c r="IA610" s="11"/>
      <c r="IB610" s="13"/>
      <c r="IC610" s="11"/>
      <c r="ID610" s="12"/>
      <c r="IE610" s="12"/>
      <c r="IF610" s="11"/>
      <c r="IG610" s="13"/>
      <c r="IH610" s="11"/>
      <c r="II610" s="11"/>
      <c r="IJ610" s="13"/>
      <c r="IK610" s="11"/>
      <c r="IL610" s="12"/>
      <c r="IM610" s="12"/>
      <c r="IN610" s="11"/>
      <c r="IO610" s="13"/>
      <c r="IP610" s="11"/>
      <c r="IQ610" s="11"/>
      <c r="IR610" s="13"/>
      <c r="IS610" s="11"/>
      <c r="IT610" s="12"/>
      <c r="IU610" s="12"/>
      <c r="IV610" s="11"/>
      <c r="IW610" s="13"/>
      <c r="IX610" s="11"/>
      <c r="IY610" s="11"/>
      <c r="IZ610" s="13"/>
      <c r="JA610" s="11"/>
      <c r="JB610" s="12"/>
      <c r="JC610" s="12"/>
      <c r="JD610" s="11"/>
      <c r="JE610" s="13"/>
      <c r="JF610" s="11"/>
      <c r="JG610" s="11"/>
      <c r="JH610" s="13"/>
      <c r="JI610" s="11"/>
      <c r="JJ610" s="12"/>
      <c r="JK610" s="12"/>
      <c r="JL610" s="11"/>
      <c r="JM610" s="13"/>
      <c r="JN610" s="11"/>
      <c r="JO610" s="11"/>
      <c r="JP610" s="13"/>
      <c r="JQ610" s="11"/>
      <c r="JR610" s="12"/>
      <c r="JS610" s="12"/>
      <c r="JT610" s="11"/>
      <c r="JU610" s="13"/>
      <c r="JV610" s="11"/>
      <c r="JW610" s="11"/>
      <c r="JX610" s="13"/>
      <c r="JY610" s="11"/>
      <c r="JZ610" s="12"/>
      <c r="KA610" s="12"/>
      <c r="KB610" s="11"/>
      <c r="KC610" s="13"/>
      <c r="KD610" s="11"/>
      <c r="KE610" s="11"/>
      <c r="KF610" s="13"/>
      <c r="KG610" s="11"/>
      <c r="KH610" s="12"/>
      <c r="KI610" s="12"/>
      <c r="KJ610" s="11"/>
      <c r="KK610" s="13"/>
      <c r="KL610" s="11"/>
      <c r="KM610" s="11"/>
      <c r="KN610" s="13"/>
      <c r="KO610" s="11"/>
      <c r="KP610" s="12"/>
      <c r="KQ610" s="12"/>
      <c r="KR610" s="11"/>
      <c r="KS610" s="13"/>
      <c r="KT610" s="11"/>
      <c r="KU610" s="11"/>
      <c r="KV610" s="13"/>
      <c r="KW610" s="11"/>
      <c r="KX610" s="12"/>
      <c r="KY610" s="12"/>
      <c r="KZ610" s="11"/>
      <c r="LA610" s="13"/>
      <c r="LB610" s="11"/>
      <c r="LC610" s="11"/>
      <c r="LD610" s="13"/>
      <c r="LE610" s="11"/>
      <c r="LF610" s="12"/>
      <c r="LG610" s="12"/>
      <c r="LH610" s="11"/>
      <c r="LI610" s="13"/>
      <c r="LJ610" s="11"/>
      <c r="LK610" s="11"/>
      <c r="LL610" s="13"/>
      <c r="LM610" s="11"/>
      <c r="LN610" s="12"/>
      <c r="LO610" s="12"/>
      <c r="LP610" s="11"/>
      <c r="LQ610" s="13"/>
      <c r="LR610" s="11"/>
      <c r="LS610" s="11"/>
      <c r="LT610" s="13"/>
      <c r="LU610" s="11"/>
      <c r="LV610" s="12"/>
      <c r="LW610" s="12"/>
    </row>
    <row r="611">
      <c r="A611" s="10" t="s">
        <v>300</v>
      </c>
      <c r="B611" s="10" t="s">
        <v>111</v>
      </c>
      <c r="C611" s="10" t="s">
        <v>74</v>
      </c>
      <c r="D611" s="11">
        <v>104232</v>
      </c>
      <c r="E611" s="11">
        <f>=ROUNDDOWN(55.006596654177,0)</f>
      </c>
      <c r="F611" s="11">
        <v>12610</v>
      </c>
      <c r="G611" s="12">
        <v>0.9801</v>
      </c>
      <c r="H611" s="11"/>
      <c r="I611" s="11">
        <f>=ROUNDDOWN({0},0)</f>
      </c>
      <c r="J611" s="11"/>
      <c r="K611" s="12"/>
      <c r="L611" s="11">
        <v>30715</v>
      </c>
      <c r="M611" s="13">
        <v>1193350.83</v>
      </c>
      <c r="N611" s="11">
        <v>208</v>
      </c>
      <c r="O611" s="14">
        <v>5737.26</v>
      </c>
      <c r="P611" s="11"/>
      <c r="Q611" s="13"/>
      <c r="R611" s="11"/>
      <c r="S611" s="14"/>
      <c r="T611" s="12"/>
      <c r="U611" s="12"/>
      <c r="V611" s="12"/>
      <c r="W611" s="12"/>
      <c r="X611" s="11">
        <v>8795</v>
      </c>
      <c r="Y611" s="13">
        <v>347043.4</v>
      </c>
      <c r="Z611" s="11">
        <v>193</v>
      </c>
      <c r="AA611" s="11"/>
      <c r="AB611" s="13"/>
      <c r="AC611" s="11"/>
      <c r="AD611" s="12"/>
      <c r="AE611" s="12"/>
      <c r="AF611" s="11">
        <v>2184</v>
      </c>
      <c r="AG611" s="13">
        <v>73186.58</v>
      </c>
      <c r="AH611" s="11">
        <v>203</v>
      </c>
      <c r="AI611" s="11"/>
      <c r="AJ611" s="13"/>
      <c r="AK611" s="11"/>
      <c r="AL611" s="12"/>
      <c r="AM611" s="12"/>
      <c r="AN611" s="11">
        <v>4377</v>
      </c>
      <c r="AO611" s="13">
        <v>156894.7</v>
      </c>
      <c r="AP611" s="11">
        <v>203</v>
      </c>
      <c r="AQ611" s="11"/>
      <c r="AR611" s="13"/>
      <c r="AS611" s="11"/>
      <c r="AT611" s="12"/>
      <c r="AU611" s="12"/>
      <c r="AV611" s="11">
        <v>5764</v>
      </c>
      <c r="AW611" s="13">
        <v>224752.86</v>
      </c>
      <c r="AX611" s="11">
        <v>170</v>
      </c>
      <c r="AY611" s="11"/>
      <c r="AZ611" s="13"/>
      <c r="BA611" s="11"/>
      <c r="BB611" s="12"/>
      <c r="BC611" s="12"/>
      <c r="BD611" s="11">
        <v>2677</v>
      </c>
      <c r="BE611" s="13">
        <v>106961.96</v>
      </c>
      <c r="BF611" s="11">
        <v>201</v>
      </c>
      <c r="BG611" s="11"/>
      <c r="BH611" s="13"/>
      <c r="BI611" s="11"/>
      <c r="BJ611" s="12"/>
      <c r="BK611" s="12"/>
      <c r="BL611" s="11">
        <v>1198</v>
      </c>
      <c r="BM611" s="13">
        <v>48672.56</v>
      </c>
      <c r="BN611" s="11">
        <v>203</v>
      </c>
      <c r="BO611" s="11"/>
      <c r="BP611" s="13"/>
      <c r="BQ611" s="11"/>
      <c r="BR611" s="12"/>
      <c r="BS611" s="12"/>
      <c r="BT611" s="11">
        <v>964</v>
      </c>
      <c r="BU611" s="13">
        <v>37306.22</v>
      </c>
      <c r="BV611" s="11">
        <v>203</v>
      </c>
      <c r="BW611" s="11"/>
      <c r="BX611" s="13"/>
      <c r="BY611" s="11"/>
      <c r="BZ611" s="12"/>
      <c r="CA611" s="12"/>
      <c r="CB611" s="11">
        <v>2240</v>
      </c>
      <c r="CC611" s="13">
        <v>86929.64</v>
      </c>
      <c r="CD611" s="11">
        <v>176</v>
      </c>
      <c r="CE611" s="11"/>
      <c r="CF611" s="13"/>
      <c r="CG611" s="11"/>
      <c r="CH611" s="12"/>
      <c r="CI611" s="12"/>
      <c r="CJ611" s="11">
        <v>695</v>
      </c>
      <c r="CK611" s="13">
        <v>37235.6</v>
      </c>
      <c r="CL611" s="11">
        <v>205</v>
      </c>
      <c r="CM611" s="11"/>
      <c r="CN611" s="13"/>
      <c r="CO611" s="11"/>
      <c r="CP611" s="12"/>
      <c r="CQ611" s="12"/>
      <c r="CR611" s="11"/>
      <c r="CS611" s="13"/>
      <c r="CT611" s="11"/>
      <c r="CU611" s="11"/>
      <c r="CV611" s="13"/>
      <c r="CW611" s="11"/>
      <c r="CX611" s="12"/>
      <c r="CY611" s="12"/>
      <c r="CZ611" s="11">
        <v>32</v>
      </c>
      <c r="DA611" s="13">
        <v>1282.57</v>
      </c>
      <c r="DB611" s="11">
        <v>20</v>
      </c>
      <c r="DC611" s="11"/>
      <c r="DD611" s="13"/>
      <c r="DE611" s="11"/>
      <c r="DF611" s="12"/>
      <c r="DG611" s="12"/>
      <c r="DH611" s="11">
        <v>1</v>
      </c>
      <c r="DI611" s="13">
        <v>23.91</v>
      </c>
      <c r="DJ611" s="11">
        <v>11</v>
      </c>
      <c r="DK611" s="11"/>
      <c r="DL611" s="13"/>
      <c r="DM611" s="11"/>
      <c r="DN611" s="12"/>
      <c r="DO611" s="12"/>
      <c r="DP611" s="11">
        <v>265</v>
      </c>
      <c r="DQ611" s="13">
        <v>10145.93</v>
      </c>
      <c r="DR611" s="11">
        <v>190</v>
      </c>
      <c r="DS611" s="11"/>
      <c r="DT611" s="13"/>
      <c r="DU611" s="11"/>
      <c r="DV611" s="12"/>
      <c r="DW611" s="12"/>
      <c r="DX611" s="11">
        <v>676</v>
      </c>
      <c r="DY611" s="13">
        <v>24361.66</v>
      </c>
      <c r="DZ611" s="11">
        <v>188</v>
      </c>
      <c r="EA611" s="11"/>
      <c r="EB611" s="13"/>
      <c r="EC611" s="11"/>
      <c r="ED611" s="12"/>
      <c r="EE611" s="12"/>
      <c r="EF611" s="11"/>
      <c r="EG611" s="13"/>
      <c r="EH611" s="11"/>
      <c r="EI611" s="11"/>
      <c r="EJ611" s="13"/>
      <c r="EK611" s="11"/>
      <c r="EL611" s="12"/>
      <c r="EM611" s="12"/>
      <c r="EN611" s="11">
        <v>233</v>
      </c>
      <c r="EO611" s="13">
        <v>13112.54</v>
      </c>
      <c r="EP611" s="11">
        <v>206</v>
      </c>
      <c r="EQ611" s="11"/>
      <c r="ER611" s="13"/>
      <c r="ES611" s="11"/>
      <c r="ET611" s="12"/>
      <c r="EU611" s="12"/>
      <c r="EV611" s="11">
        <v>183</v>
      </c>
      <c r="EW611" s="13">
        <v>6644.97</v>
      </c>
      <c r="EX611" s="11">
        <v>17</v>
      </c>
      <c r="EY611" s="11"/>
      <c r="EZ611" s="13"/>
      <c r="FA611" s="11"/>
      <c r="FB611" s="12"/>
      <c r="FC611" s="12"/>
      <c r="FD611" s="11">
        <v>226</v>
      </c>
      <c r="FE611" s="13">
        <v>10306.53</v>
      </c>
      <c r="FF611" s="11">
        <v>43</v>
      </c>
      <c r="FG611" s="11"/>
      <c r="FH611" s="13"/>
      <c r="FI611" s="11"/>
      <c r="FJ611" s="12"/>
      <c r="FK611" s="12"/>
      <c r="FL611" s="11"/>
      <c r="FM611" s="13"/>
      <c r="FN611" s="11">
        <v>3</v>
      </c>
      <c r="FO611" s="11"/>
      <c r="FP611" s="13"/>
      <c r="FQ611" s="11"/>
      <c r="FR611" s="12"/>
      <c r="FS611" s="12"/>
      <c r="FT611" s="11">
        <v>61</v>
      </c>
      <c r="FU611" s="13">
        <v>2290.31</v>
      </c>
      <c r="FV611" s="11">
        <v>101</v>
      </c>
      <c r="FW611" s="11"/>
      <c r="FX611" s="13"/>
      <c r="FY611" s="11"/>
      <c r="FZ611" s="12"/>
      <c r="GA611" s="12"/>
      <c r="GB611" s="11">
        <v>40</v>
      </c>
      <c r="GC611" s="13">
        <v>1757.03</v>
      </c>
      <c r="GD611" s="11">
        <v>66</v>
      </c>
      <c r="GE611" s="11"/>
      <c r="GF611" s="13"/>
      <c r="GG611" s="11"/>
      <c r="GH611" s="12"/>
      <c r="GI611" s="12"/>
      <c r="GJ611" s="11"/>
      <c r="GK611" s="13"/>
      <c r="GL611" s="11"/>
      <c r="GM611" s="11"/>
      <c r="GN611" s="13"/>
      <c r="GO611" s="11"/>
      <c r="GP611" s="12"/>
      <c r="GQ611" s="12"/>
      <c r="GR611" s="11">
        <v>1</v>
      </c>
      <c r="GS611" s="13">
        <v>48.99</v>
      </c>
      <c r="GT611" s="11">
        <v>100</v>
      </c>
      <c r="GU611" s="11"/>
      <c r="GV611" s="13"/>
      <c r="GW611" s="11"/>
      <c r="GX611" s="12"/>
      <c r="GY611" s="12"/>
      <c r="GZ611" s="11">
        <v>22</v>
      </c>
      <c r="HA611" s="13">
        <v>945.3</v>
      </c>
      <c r="HB611" s="11">
        <v>27</v>
      </c>
      <c r="HC611" s="11"/>
      <c r="HD611" s="13"/>
      <c r="HE611" s="11"/>
      <c r="HF611" s="12"/>
      <c r="HG611" s="12"/>
      <c r="HH611" s="11">
        <v>42</v>
      </c>
      <c r="HI611" s="13">
        <v>1854.31</v>
      </c>
      <c r="HJ611" s="11"/>
      <c r="HK611" s="11"/>
      <c r="HL611" s="13"/>
      <c r="HM611" s="11"/>
      <c r="HN611" s="12"/>
      <c r="HO611" s="12"/>
      <c r="HP611" s="11"/>
      <c r="HQ611" s="13"/>
      <c r="HR611" s="11"/>
      <c r="HS611" s="11"/>
      <c r="HT611" s="13"/>
      <c r="HU611" s="11"/>
      <c r="HV611" s="12"/>
      <c r="HW611" s="12"/>
      <c r="HX611" s="11">
        <v>22</v>
      </c>
      <c r="HY611" s="13">
        <v>857.46</v>
      </c>
      <c r="HZ611" s="11">
        <v>61</v>
      </c>
      <c r="IA611" s="11"/>
      <c r="IB611" s="13"/>
      <c r="IC611" s="11"/>
      <c r="ID611" s="12"/>
      <c r="IE611" s="12"/>
      <c r="IF611" s="11"/>
      <c r="IG611" s="13"/>
      <c r="IH611" s="11"/>
      <c r="II611" s="11"/>
      <c r="IJ611" s="13"/>
      <c r="IK611" s="11"/>
      <c r="IL611" s="12"/>
      <c r="IM611" s="12"/>
      <c r="IN611" s="11"/>
      <c r="IO611" s="13"/>
      <c r="IP611" s="11"/>
      <c r="IQ611" s="11"/>
      <c r="IR611" s="13"/>
      <c r="IS611" s="11"/>
      <c r="IT611" s="12"/>
      <c r="IU611" s="12"/>
      <c r="IV611" s="11">
        <v>2</v>
      </c>
      <c r="IW611" s="13">
        <v>83.61</v>
      </c>
      <c r="IX611" s="11">
        <v>68</v>
      </c>
      <c r="IY611" s="11"/>
      <c r="IZ611" s="13"/>
      <c r="JA611" s="11"/>
      <c r="JB611" s="12"/>
      <c r="JC611" s="12"/>
      <c r="JD611" s="11">
        <v>15</v>
      </c>
      <c r="JE611" s="13">
        <v>652.19</v>
      </c>
      <c r="JF611" s="11">
        <v>31</v>
      </c>
      <c r="JG611" s="11"/>
      <c r="JH611" s="13"/>
      <c r="JI611" s="11"/>
      <c r="JJ611" s="12"/>
      <c r="JK611" s="12"/>
      <c r="JL611" s="11"/>
      <c r="JM611" s="13"/>
      <c r="JN611" s="11"/>
      <c r="JO611" s="11"/>
      <c r="JP611" s="13"/>
      <c r="JQ611" s="11"/>
      <c r="JR611" s="12"/>
      <c r="JS611" s="12"/>
      <c r="JT611" s="11"/>
      <c r="JU611" s="13"/>
      <c r="JV611" s="11">
        <v>26</v>
      </c>
      <c r="JW611" s="11"/>
      <c r="JX611" s="13"/>
      <c r="JY611" s="11"/>
      <c r="JZ611" s="12"/>
      <c r="KA611" s="12"/>
      <c r="KB611" s="11"/>
      <c r="KC611" s="13"/>
      <c r="KD611" s="11"/>
      <c r="KE611" s="11"/>
      <c r="KF611" s="13"/>
      <c r="KG611" s="11"/>
      <c r="KH611" s="12"/>
      <c r="KI611" s="12"/>
      <c r="KJ611" s="11"/>
      <c r="KK611" s="13"/>
      <c r="KL611" s="11"/>
      <c r="KM611" s="11"/>
      <c r="KN611" s="13"/>
      <c r="KO611" s="11"/>
      <c r="KP611" s="12"/>
      <c r="KQ611" s="12"/>
      <c r="KR611" s="11"/>
      <c r="KS611" s="13"/>
      <c r="KT611" s="11"/>
      <c r="KU611" s="11"/>
      <c r="KV611" s="13"/>
      <c r="KW611" s="11"/>
      <c r="KX611" s="12"/>
      <c r="KY611" s="12"/>
      <c r="KZ611" s="11"/>
      <c r="LA611" s="13"/>
      <c r="LB611" s="11"/>
      <c r="LC611" s="11"/>
      <c r="LD611" s="13"/>
      <c r="LE611" s="11"/>
      <c r="LF611" s="12"/>
      <c r="LG611" s="12"/>
      <c r="LH611" s="11"/>
      <c r="LI611" s="13"/>
      <c r="LJ611" s="11"/>
      <c r="LK611" s="11"/>
      <c r="LL611" s="13"/>
      <c r="LM611" s="11"/>
      <c r="LN611" s="12"/>
      <c r="LO611" s="12"/>
      <c r="LP611" s="11"/>
      <c r="LQ611" s="13"/>
      <c r="LR611" s="11"/>
      <c r="LS611" s="11"/>
      <c r="LT611" s="13"/>
      <c r="LU611" s="11"/>
      <c r="LV611" s="12"/>
      <c r="LW611" s="12"/>
    </row>
    <row r="612">
      <c r="A612" s="10" t="s">
        <v>300</v>
      </c>
      <c r="B612" s="10" t="s">
        <v>111</v>
      </c>
      <c r="C612" s="10" t="s">
        <v>75</v>
      </c>
      <c r="D612" s="11">
        <v>3729</v>
      </c>
      <c r="E612" s="11">
        <f>=ROUNDDOWN(38.1288343558282,0)</f>
      </c>
      <c r="F612" s="11"/>
      <c r="G612" s="12">
        <v>1</v>
      </c>
      <c r="H612" s="11"/>
      <c r="I612" s="11">
        <f>=ROUNDDOWN({0},0)</f>
      </c>
      <c r="J612" s="11"/>
      <c r="K612" s="12"/>
      <c r="L612" s="11">
        <v>2073</v>
      </c>
      <c r="M612" s="13">
        <v>69755.59</v>
      </c>
      <c r="N612" s="11">
        <v>17</v>
      </c>
      <c r="O612" s="14">
        <v>4103.27</v>
      </c>
      <c r="P612" s="11"/>
      <c r="Q612" s="13"/>
      <c r="R612" s="11"/>
      <c r="S612" s="14"/>
      <c r="T612" s="12"/>
      <c r="U612" s="12"/>
      <c r="V612" s="12"/>
      <c r="W612" s="12"/>
      <c r="X612" s="11">
        <v>327</v>
      </c>
      <c r="Y612" s="13">
        <v>10535.97</v>
      </c>
      <c r="Z612" s="11">
        <v>8</v>
      </c>
      <c r="AA612" s="11"/>
      <c r="AB612" s="13"/>
      <c r="AC612" s="11"/>
      <c r="AD612" s="12"/>
      <c r="AE612" s="12"/>
      <c r="AF612" s="11">
        <v>227</v>
      </c>
      <c r="AG612" s="13">
        <v>6689.36</v>
      </c>
      <c r="AH612" s="11">
        <v>15</v>
      </c>
      <c r="AI612" s="11"/>
      <c r="AJ612" s="13"/>
      <c r="AK612" s="11"/>
      <c r="AL612" s="12"/>
      <c r="AM612" s="12"/>
      <c r="AN612" s="11">
        <v>498</v>
      </c>
      <c r="AO612" s="13">
        <v>16686.74</v>
      </c>
      <c r="AP612" s="11">
        <v>13</v>
      </c>
      <c r="AQ612" s="11"/>
      <c r="AR612" s="13"/>
      <c r="AS612" s="11"/>
      <c r="AT612" s="12"/>
      <c r="AU612" s="12"/>
      <c r="AV612" s="11">
        <v>200</v>
      </c>
      <c r="AW612" s="13">
        <v>7316.22</v>
      </c>
      <c r="AX612" s="11">
        <v>14</v>
      </c>
      <c r="AY612" s="11"/>
      <c r="AZ612" s="13"/>
      <c r="BA612" s="11"/>
      <c r="BB612" s="12"/>
      <c r="BC612" s="12"/>
      <c r="BD612" s="11">
        <v>213</v>
      </c>
      <c r="BE612" s="13">
        <v>7398.94</v>
      </c>
      <c r="BF612" s="11">
        <v>15</v>
      </c>
      <c r="BG612" s="11"/>
      <c r="BH612" s="13"/>
      <c r="BI612" s="11"/>
      <c r="BJ612" s="12"/>
      <c r="BK612" s="12"/>
      <c r="BL612" s="11">
        <v>181</v>
      </c>
      <c r="BM612" s="13">
        <v>6426.73</v>
      </c>
      <c r="BN612" s="11">
        <v>15</v>
      </c>
      <c r="BO612" s="11"/>
      <c r="BP612" s="13"/>
      <c r="BQ612" s="11"/>
      <c r="BR612" s="12"/>
      <c r="BS612" s="12"/>
      <c r="BT612" s="11">
        <v>23</v>
      </c>
      <c r="BU612" s="13">
        <v>938.65</v>
      </c>
      <c r="BV612" s="11">
        <v>15</v>
      </c>
      <c r="BW612" s="11"/>
      <c r="BX612" s="13"/>
      <c r="BY612" s="11"/>
      <c r="BZ612" s="12"/>
      <c r="CA612" s="12"/>
      <c r="CB612" s="11">
        <v>343</v>
      </c>
      <c r="CC612" s="13">
        <v>11311.83</v>
      </c>
      <c r="CD612" s="11">
        <v>13</v>
      </c>
      <c r="CE612" s="11"/>
      <c r="CF612" s="13"/>
      <c r="CG612" s="11"/>
      <c r="CH612" s="12"/>
      <c r="CI612" s="12"/>
      <c r="CJ612" s="11">
        <v>4</v>
      </c>
      <c r="CK612" s="13">
        <v>193.61</v>
      </c>
      <c r="CL612" s="11">
        <v>17</v>
      </c>
      <c r="CM612" s="11"/>
      <c r="CN612" s="13"/>
      <c r="CO612" s="11"/>
      <c r="CP612" s="12"/>
      <c r="CQ612" s="12"/>
      <c r="CR612" s="11"/>
      <c r="CS612" s="13"/>
      <c r="CT612" s="11"/>
      <c r="CU612" s="11"/>
      <c r="CV612" s="13"/>
      <c r="CW612" s="11"/>
      <c r="CX612" s="12"/>
      <c r="CY612" s="12"/>
      <c r="CZ612" s="11">
        <v>12</v>
      </c>
      <c r="DA612" s="13">
        <v>477.24</v>
      </c>
      <c r="DB612" s="11">
        <v>8</v>
      </c>
      <c r="DC612" s="11"/>
      <c r="DD612" s="13"/>
      <c r="DE612" s="11"/>
      <c r="DF612" s="12"/>
      <c r="DG612" s="12"/>
      <c r="DH612" s="11">
        <v>4</v>
      </c>
      <c r="DI612" s="13">
        <v>157.5</v>
      </c>
      <c r="DJ612" s="11">
        <v>5</v>
      </c>
      <c r="DK612" s="11"/>
      <c r="DL612" s="13"/>
      <c r="DM612" s="11"/>
      <c r="DN612" s="12"/>
      <c r="DO612" s="12"/>
      <c r="DP612" s="11">
        <v>22</v>
      </c>
      <c r="DQ612" s="13">
        <v>845.56</v>
      </c>
      <c r="DR612" s="11">
        <v>15</v>
      </c>
      <c r="DS612" s="11"/>
      <c r="DT612" s="13"/>
      <c r="DU612" s="11"/>
      <c r="DV612" s="12"/>
      <c r="DW612" s="12"/>
      <c r="DX612" s="11">
        <v>8</v>
      </c>
      <c r="DY612" s="13">
        <v>293.63</v>
      </c>
      <c r="DZ612" s="11">
        <v>9</v>
      </c>
      <c r="EA612" s="11"/>
      <c r="EB612" s="13"/>
      <c r="EC612" s="11"/>
      <c r="ED612" s="12"/>
      <c r="EE612" s="12"/>
      <c r="EF612" s="11"/>
      <c r="EG612" s="13"/>
      <c r="EH612" s="11"/>
      <c r="EI612" s="11"/>
      <c r="EJ612" s="13"/>
      <c r="EK612" s="11"/>
      <c r="EL612" s="12"/>
      <c r="EM612" s="12"/>
      <c r="EN612" s="11">
        <v>2</v>
      </c>
      <c r="EO612" s="13">
        <v>129.98</v>
      </c>
      <c r="EP612" s="11">
        <v>17</v>
      </c>
      <c r="EQ612" s="11"/>
      <c r="ER612" s="13"/>
      <c r="ES612" s="11"/>
      <c r="ET612" s="12"/>
      <c r="EU612" s="12"/>
      <c r="EV612" s="11">
        <v>4</v>
      </c>
      <c r="EW612" s="13">
        <v>158.19</v>
      </c>
      <c r="EX612" s="11">
        <v>6</v>
      </c>
      <c r="EY612" s="11"/>
      <c r="EZ612" s="13"/>
      <c r="FA612" s="11"/>
      <c r="FB612" s="12"/>
      <c r="FC612" s="12"/>
      <c r="FD612" s="11"/>
      <c r="FE612" s="13"/>
      <c r="FF612" s="11"/>
      <c r="FG612" s="11"/>
      <c r="FH612" s="13"/>
      <c r="FI612" s="11"/>
      <c r="FJ612" s="12"/>
      <c r="FK612" s="12"/>
      <c r="FL612" s="11"/>
      <c r="FM612" s="13"/>
      <c r="FN612" s="11"/>
      <c r="FO612" s="11"/>
      <c r="FP612" s="13"/>
      <c r="FQ612" s="11"/>
      <c r="FR612" s="12"/>
      <c r="FS612" s="12"/>
      <c r="FT612" s="11"/>
      <c r="FU612" s="13"/>
      <c r="FV612" s="11">
        <v>10</v>
      </c>
      <c r="FW612" s="11"/>
      <c r="FX612" s="13"/>
      <c r="FY612" s="11"/>
      <c r="FZ612" s="12"/>
      <c r="GA612" s="12"/>
      <c r="GB612" s="11">
        <v>1</v>
      </c>
      <c r="GC612" s="13">
        <v>45.76</v>
      </c>
      <c r="GD612" s="11">
        <v>2</v>
      </c>
      <c r="GE612" s="11"/>
      <c r="GF612" s="13"/>
      <c r="GG612" s="11"/>
      <c r="GH612" s="12"/>
      <c r="GI612" s="12"/>
      <c r="GJ612" s="11"/>
      <c r="GK612" s="13"/>
      <c r="GL612" s="11"/>
      <c r="GM612" s="11"/>
      <c r="GN612" s="13"/>
      <c r="GO612" s="11"/>
      <c r="GP612" s="12"/>
      <c r="GQ612" s="12"/>
      <c r="GR612" s="11"/>
      <c r="GS612" s="13"/>
      <c r="GT612" s="11">
        <v>4</v>
      </c>
      <c r="GU612" s="11"/>
      <c r="GV612" s="13"/>
      <c r="GW612" s="11"/>
      <c r="GX612" s="12"/>
      <c r="GY612" s="12"/>
      <c r="GZ612" s="11"/>
      <c r="HA612" s="13"/>
      <c r="HB612" s="11"/>
      <c r="HC612" s="11"/>
      <c r="HD612" s="13"/>
      <c r="HE612" s="11"/>
      <c r="HF612" s="12"/>
      <c r="HG612" s="12"/>
      <c r="HH612" s="11"/>
      <c r="HI612" s="13"/>
      <c r="HJ612" s="11"/>
      <c r="HK612" s="11"/>
      <c r="HL612" s="13"/>
      <c r="HM612" s="11"/>
      <c r="HN612" s="12"/>
      <c r="HO612" s="12"/>
      <c r="HP612" s="11"/>
      <c r="HQ612" s="13"/>
      <c r="HR612" s="11"/>
      <c r="HS612" s="11"/>
      <c r="HT612" s="13"/>
      <c r="HU612" s="11"/>
      <c r="HV612" s="12"/>
      <c r="HW612" s="12"/>
      <c r="HX612" s="11"/>
      <c r="HY612" s="13"/>
      <c r="HZ612" s="11"/>
      <c r="IA612" s="11"/>
      <c r="IB612" s="13"/>
      <c r="IC612" s="11"/>
      <c r="ID612" s="12"/>
      <c r="IE612" s="12"/>
      <c r="IF612" s="11"/>
      <c r="IG612" s="13"/>
      <c r="IH612" s="11"/>
      <c r="II612" s="11"/>
      <c r="IJ612" s="13"/>
      <c r="IK612" s="11"/>
      <c r="IL612" s="12"/>
      <c r="IM612" s="12"/>
      <c r="IN612" s="11"/>
      <c r="IO612" s="13"/>
      <c r="IP612" s="11"/>
      <c r="IQ612" s="11"/>
      <c r="IR612" s="13"/>
      <c r="IS612" s="11"/>
      <c r="IT612" s="12"/>
      <c r="IU612" s="12"/>
      <c r="IV612" s="11">
        <v>4</v>
      </c>
      <c r="IW612" s="13">
        <v>149.68</v>
      </c>
      <c r="IX612" s="11">
        <v>9</v>
      </c>
      <c r="IY612" s="11"/>
      <c r="IZ612" s="13"/>
      <c r="JA612" s="11"/>
      <c r="JB612" s="12"/>
      <c r="JC612" s="12"/>
      <c r="JD612" s="11"/>
      <c r="JE612" s="13"/>
      <c r="JF612" s="11"/>
      <c r="JG612" s="11"/>
      <c r="JH612" s="13"/>
      <c r="JI612" s="11"/>
      <c r="JJ612" s="12"/>
      <c r="JK612" s="12"/>
      <c r="JL612" s="11"/>
      <c r="JM612" s="13"/>
      <c r="JN612" s="11"/>
      <c r="JO612" s="11"/>
      <c r="JP612" s="13"/>
      <c r="JQ612" s="11"/>
      <c r="JR612" s="12"/>
      <c r="JS612" s="12"/>
      <c r="JT612" s="11"/>
      <c r="JU612" s="13"/>
      <c r="JV612" s="11">
        <v>5</v>
      </c>
      <c r="JW612" s="11"/>
      <c r="JX612" s="13"/>
      <c r="JY612" s="11"/>
      <c r="JZ612" s="12"/>
      <c r="KA612" s="12"/>
      <c r="KB612" s="11"/>
      <c r="KC612" s="13"/>
      <c r="KD612" s="11"/>
      <c r="KE612" s="11"/>
      <c r="KF612" s="13"/>
      <c r="KG612" s="11"/>
      <c r="KH612" s="12"/>
      <c r="KI612" s="12"/>
      <c r="KJ612" s="11"/>
      <c r="KK612" s="13"/>
      <c r="KL612" s="11"/>
      <c r="KM612" s="11"/>
      <c r="KN612" s="13"/>
      <c r="KO612" s="11"/>
      <c r="KP612" s="12"/>
      <c r="KQ612" s="12"/>
      <c r="KR612" s="11"/>
      <c r="KS612" s="13"/>
      <c r="KT612" s="11"/>
      <c r="KU612" s="11"/>
      <c r="KV612" s="13"/>
      <c r="KW612" s="11"/>
      <c r="KX612" s="12"/>
      <c r="KY612" s="12"/>
      <c r="KZ612" s="11"/>
      <c r="LA612" s="13"/>
      <c r="LB612" s="11"/>
      <c r="LC612" s="11"/>
      <c r="LD612" s="13"/>
      <c r="LE612" s="11"/>
      <c r="LF612" s="12"/>
      <c r="LG612" s="12"/>
      <c r="LH612" s="11"/>
      <c r="LI612" s="13"/>
      <c r="LJ612" s="11"/>
      <c r="LK612" s="11"/>
      <c r="LL612" s="13"/>
      <c r="LM612" s="11"/>
      <c r="LN612" s="12"/>
      <c r="LO612" s="12"/>
      <c r="LP612" s="11"/>
      <c r="LQ612" s="13"/>
      <c r="LR612" s="11"/>
      <c r="LS612" s="11"/>
      <c r="LT612" s="13"/>
      <c r="LU612" s="11"/>
      <c r="LV612" s="12"/>
      <c r="LW612" s="12"/>
    </row>
    <row r="613">
      <c r="A613" s="10" t="s">
        <v>300</v>
      </c>
      <c r="B613" s="10" t="s">
        <v>111</v>
      </c>
      <c r="C613" s="10" t="s">
        <v>83</v>
      </c>
      <c r="D613" s="11">
        <v>16154</v>
      </c>
      <c r="E613" s="11">
        <f>=ROUNDDOWN(56.9203664552502,0)</f>
      </c>
      <c r="F613" s="11">
        <v>1900</v>
      </c>
      <c r="G613" s="12">
        <v>0.9901</v>
      </c>
      <c r="H613" s="11"/>
      <c r="I613" s="11">
        <f>=ROUNDDOWN({0},0)</f>
      </c>
      <c r="J613" s="11"/>
      <c r="K613" s="12"/>
      <c r="L613" s="11">
        <v>3663</v>
      </c>
      <c r="M613" s="13">
        <v>112940.73</v>
      </c>
      <c r="N613" s="11">
        <v>93</v>
      </c>
      <c r="O613" s="14">
        <v>1214.42</v>
      </c>
      <c r="P613" s="11"/>
      <c r="Q613" s="13"/>
      <c r="R613" s="11"/>
      <c r="S613" s="14"/>
      <c r="T613" s="12"/>
      <c r="U613" s="12"/>
      <c r="V613" s="12"/>
      <c r="W613" s="12"/>
      <c r="X613" s="11">
        <v>1211</v>
      </c>
      <c r="Y613" s="13">
        <v>38441.98</v>
      </c>
      <c r="Z613" s="11">
        <v>77</v>
      </c>
      <c r="AA613" s="11"/>
      <c r="AB613" s="13"/>
      <c r="AC613" s="11"/>
      <c r="AD613" s="12"/>
      <c r="AE613" s="12"/>
      <c r="AF613" s="11">
        <v>225</v>
      </c>
      <c r="AG613" s="13">
        <v>6175.27</v>
      </c>
      <c r="AH613" s="11">
        <v>90</v>
      </c>
      <c r="AI613" s="11"/>
      <c r="AJ613" s="13"/>
      <c r="AK613" s="11"/>
      <c r="AL613" s="12"/>
      <c r="AM613" s="12"/>
      <c r="AN613" s="11">
        <v>326</v>
      </c>
      <c r="AO613" s="13">
        <v>9779.71</v>
      </c>
      <c r="AP613" s="11">
        <v>90</v>
      </c>
      <c r="AQ613" s="11"/>
      <c r="AR613" s="13"/>
      <c r="AS613" s="11"/>
      <c r="AT613" s="12"/>
      <c r="AU613" s="12"/>
      <c r="AV613" s="11">
        <v>700</v>
      </c>
      <c r="AW613" s="13">
        <v>21556.81</v>
      </c>
      <c r="AX613" s="11">
        <v>86</v>
      </c>
      <c r="AY613" s="11"/>
      <c r="AZ613" s="13"/>
      <c r="BA613" s="11"/>
      <c r="BB613" s="12"/>
      <c r="BC613" s="12"/>
      <c r="BD613" s="11">
        <v>481</v>
      </c>
      <c r="BE613" s="13">
        <v>14770.77</v>
      </c>
      <c r="BF613" s="11">
        <v>90</v>
      </c>
      <c r="BG613" s="11"/>
      <c r="BH613" s="13"/>
      <c r="BI613" s="11"/>
      <c r="BJ613" s="12"/>
      <c r="BK613" s="12"/>
      <c r="BL613" s="11">
        <v>192</v>
      </c>
      <c r="BM613" s="13">
        <v>6004.88</v>
      </c>
      <c r="BN613" s="11">
        <v>90</v>
      </c>
      <c r="BO613" s="11"/>
      <c r="BP613" s="13"/>
      <c r="BQ613" s="11"/>
      <c r="BR613" s="12"/>
      <c r="BS613" s="12"/>
      <c r="BT613" s="11">
        <v>44</v>
      </c>
      <c r="BU613" s="13">
        <v>1399.75</v>
      </c>
      <c r="BV613" s="11">
        <v>90</v>
      </c>
      <c r="BW613" s="11"/>
      <c r="BX613" s="13"/>
      <c r="BY613" s="11"/>
      <c r="BZ613" s="12"/>
      <c r="CA613" s="12"/>
      <c r="CB613" s="11">
        <v>334</v>
      </c>
      <c r="CC613" s="13">
        <v>9352.82</v>
      </c>
      <c r="CD613" s="11">
        <v>75</v>
      </c>
      <c r="CE613" s="11"/>
      <c r="CF613" s="13"/>
      <c r="CG613" s="11"/>
      <c r="CH613" s="12"/>
      <c r="CI613" s="12"/>
      <c r="CJ613" s="11">
        <v>65</v>
      </c>
      <c r="CK613" s="13">
        <v>2848.18</v>
      </c>
      <c r="CL613" s="11">
        <v>92</v>
      </c>
      <c r="CM613" s="11"/>
      <c r="CN613" s="13"/>
      <c r="CO613" s="11"/>
      <c r="CP613" s="12"/>
      <c r="CQ613" s="12"/>
      <c r="CR613" s="11"/>
      <c r="CS613" s="13"/>
      <c r="CT613" s="11"/>
      <c r="CU613" s="11"/>
      <c r="CV613" s="13"/>
      <c r="CW613" s="11"/>
      <c r="CX613" s="12"/>
      <c r="CY613" s="12"/>
      <c r="CZ613" s="11"/>
      <c r="DA613" s="13"/>
      <c r="DB613" s="11"/>
      <c r="DC613" s="11"/>
      <c r="DD613" s="13"/>
      <c r="DE613" s="11"/>
      <c r="DF613" s="12"/>
      <c r="DG613" s="12"/>
      <c r="DH613" s="11"/>
      <c r="DI613" s="13"/>
      <c r="DJ613" s="11">
        <v>1</v>
      </c>
      <c r="DK613" s="11"/>
      <c r="DL613" s="13"/>
      <c r="DM613" s="11"/>
      <c r="DN613" s="12"/>
      <c r="DO613" s="12"/>
      <c r="DP613" s="11">
        <v>25</v>
      </c>
      <c r="DQ613" s="13">
        <v>805.98</v>
      </c>
      <c r="DR613" s="11">
        <v>78</v>
      </c>
      <c r="DS613" s="11"/>
      <c r="DT613" s="13"/>
      <c r="DU613" s="11"/>
      <c r="DV613" s="12"/>
      <c r="DW613" s="12"/>
      <c r="DX613" s="11">
        <v>41</v>
      </c>
      <c r="DY613" s="13">
        <v>1190</v>
      </c>
      <c r="DZ613" s="11">
        <v>57</v>
      </c>
      <c r="EA613" s="11"/>
      <c r="EB613" s="13"/>
      <c r="EC613" s="11"/>
      <c r="ED613" s="12"/>
      <c r="EE613" s="12"/>
      <c r="EF613" s="11"/>
      <c r="EG613" s="13"/>
      <c r="EH613" s="11"/>
      <c r="EI613" s="11"/>
      <c r="EJ613" s="13"/>
      <c r="EK613" s="11"/>
      <c r="EL613" s="12"/>
      <c r="EM613" s="12"/>
      <c r="EN613" s="11"/>
      <c r="EO613" s="13"/>
      <c r="EP613" s="11">
        <v>93</v>
      </c>
      <c r="EQ613" s="11"/>
      <c r="ER613" s="13"/>
      <c r="ES613" s="11"/>
      <c r="ET613" s="12"/>
      <c r="EU613" s="12"/>
      <c r="EV613" s="11">
        <v>4</v>
      </c>
      <c r="EW613" s="13">
        <v>125.24</v>
      </c>
      <c r="EX613" s="11">
        <v>8</v>
      </c>
      <c r="EY613" s="11"/>
      <c r="EZ613" s="13"/>
      <c r="FA613" s="11"/>
      <c r="FB613" s="12"/>
      <c r="FC613" s="12"/>
      <c r="FD613" s="11">
        <v>6</v>
      </c>
      <c r="FE613" s="13">
        <v>211.68</v>
      </c>
      <c r="FF613" s="11">
        <v>4</v>
      </c>
      <c r="FG613" s="11"/>
      <c r="FH613" s="13"/>
      <c r="FI613" s="11"/>
      <c r="FJ613" s="12"/>
      <c r="FK613" s="12"/>
      <c r="FL613" s="11"/>
      <c r="FM613" s="13"/>
      <c r="FN613" s="11"/>
      <c r="FO613" s="11"/>
      <c r="FP613" s="13"/>
      <c r="FQ613" s="11"/>
      <c r="FR613" s="12"/>
      <c r="FS613" s="12"/>
      <c r="FT613" s="11"/>
      <c r="FU613" s="13"/>
      <c r="FV613" s="11"/>
      <c r="FW613" s="11"/>
      <c r="FX613" s="13"/>
      <c r="FY613" s="11"/>
      <c r="FZ613" s="12"/>
      <c r="GA613" s="12"/>
      <c r="GB613" s="11">
        <v>4</v>
      </c>
      <c r="GC613" s="13">
        <v>128.44</v>
      </c>
      <c r="GD613" s="11">
        <v>36</v>
      </c>
      <c r="GE613" s="11"/>
      <c r="GF613" s="13"/>
      <c r="GG613" s="11"/>
      <c r="GH613" s="12"/>
      <c r="GI613" s="12"/>
      <c r="GJ613" s="11"/>
      <c r="GK613" s="13"/>
      <c r="GL613" s="11"/>
      <c r="GM613" s="11"/>
      <c r="GN613" s="13"/>
      <c r="GO613" s="11"/>
      <c r="GP613" s="12"/>
      <c r="GQ613" s="12"/>
      <c r="GR613" s="11"/>
      <c r="GS613" s="13"/>
      <c r="GT613" s="11"/>
      <c r="GU613" s="11"/>
      <c r="GV613" s="13"/>
      <c r="GW613" s="11"/>
      <c r="GX613" s="12"/>
      <c r="GY613" s="12"/>
      <c r="GZ613" s="11"/>
      <c r="HA613" s="13"/>
      <c r="HB613" s="11">
        <v>6</v>
      </c>
      <c r="HC613" s="11"/>
      <c r="HD613" s="13"/>
      <c r="HE613" s="11"/>
      <c r="HF613" s="12"/>
      <c r="HG613" s="12"/>
      <c r="HH613" s="11">
        <v>5</v>
      </c>
      <c r="HI613" s="13">
        <v>149.22</v>
      </c>
      <c r="HJ613" s="11"/>
      <c r="HK613" s="11"/>
      <c r="HL613" s="13"/>
      <c r="HM613" s="11"/>
      <c r="HN613" s="12"/>
      <c r="HO613" s="12"/>
      <c r="HP613" s="11"/>
      <c r="HQ613" s="13"/>
      <c r="HR613" s="11"/>
      <c r="HS613" s="11"/>
      <c r="HT613" s="13"/>
      <c r="HU613" s="11"/>
      <c r="HV613" s="12"/>
      <c r="HW613" s="12"/>
      <c r="HX613" s="11"/>
      <c r="HY613" s="13"/>
      <c r="HZ613" s="11"/>
      <c r="IA613" s="11"/>
      <c r="IB613" s="13"/>
      <c r="IC613" s="11"/>
      <c r="ID613" s="12"/>
      <c r="IE613" s="12"/>
      <c r="IF613" s="11"/>
      <c r="IG613" s="13"/>
      <c r="IH613" s="11"/>
      <c r="II613" s="11"/>
      <c r="IJ613" s="13"/>
      <c r="IK613" s="11"/>
      <c r="IL613" s="12"/>
      <c r="IM613" s="12"/>
      <c r="IN613" s="11"/>
      <c r="IO613" s="13"/>
      <c r="IP613" s="11"/>
      <c r="IQ613" s="11"/>
      <c r="IR613" s="13"/>
      <c r="IS613" s="11"/>
      <c r="IT613" s="12"/>
      <c r="IU613" s="12"/>
      <c r="IV613" s="11"/>
      <c r="IW613" s="13"/>
      <c r="IX613" s="11">
        <v>9</v>
      </c>
      <c r="IY613" s="11"/>
      <c r="IZ613" s="13"/>
      <c r="JA613" s="11"/>
      <c r="JB613" s="12"/>
      <c r="JC613" s="12"/>
      <c r="JD613" s="11"/>
      <c r="JE613" s="13"/>
      <c r="JF613" s="11"/>
      <c r="JG613" s="11"/>
      <c r="JH613" s="13"/>
      <c r="JI613" s="11"/>
      <c r="JJ613" s="12"/>
      <c r="JK613" s="12"/>
      <c r="JL613" s="11"/>
      <c r="JM613" s="13"/>
      <c r="JN613" s="11"/>
      <c r="JO613" s="11"/>
      <c r="JP613" s="13"/>
      <c r="JQ613" s="11"/>
      <c r="JR613" s="12"/>
      <c r="JS613" s="12"/>
      <c r="JT613" s="11"/>
      <c r="JU613" s="13"/>
      <c r="JV613" s="11">
        <v>32</v>
      </c>
      <c r="JW613" s="11"/>
      <c r="JX613" s="13"/>
      <c r="JY613" s="11"/>
      <c r="JZ613" s="12"/>
      <c r="KA613" s="12"/>
      <c r="KB613" s="11"/>
      <c r="KC613" s="13"/>
      <c r="KD613" s="11"/>
      <c r="KE613" s="11"/>
      <c r="KF613" s="13"/>
      <c r="KG613" s="11"/>
      <c r="KH613" s="12"/>
      <c r="KI613" s="12"/>
      <c r="KJ613" s="11"/>
      <c r="KK613" s="13"/>
      <c r="KL613" s="11"/>
      <c r="KM613" s="11"/>
      <c r="KN613" s="13"/>
      <c r="KO613" s="11"/>
      <c r="KP613" s="12"/>
      <c r="KQ613" s="12"/>
      <c r="KR613" s="11"/>
      <c r="KS613" s="13"/>
      <c r="KT613" s="11"/>
      <c r="KU613" s="11"/>
      <c r="KV613" s="13"/>
      <c r="KW613" s="11"/>
      <c r="KX613" s="12"/>
      <c r="KY613" s="12"/>
      <c r="KZ613" s="11"/>
      <c r="LA613" s="13"/>
      <c r="LB613" s="11"/>
      <c r="LC613" s="11"/>
      <c r="LD613" s="13"/>
      <c r="LE613" s="11"/>
      <c r="LF613" s="12"/>
      <c r="LG613" s="12"/>
      <c r="LH613" s="11"/>
      <c r="LI613" s="13"/>
      <c r="LJ613" s="11"/>
      <c r="LK613" s="11"/>
      <c r="LL613" s="13"/>
      <c r="LM613" s="11"/>
      <c r="LN613" s="12"/>
      <c r="LO613" s="12"/>
      <c r="LP613" s="11"/>
      <c r="LQ613" s="13"/>
      <c r="LR613" s="11"/>
      <c r="LS613" s="11"/>
      <c r="LT613" s="13"/>
      <c r="LU613" s="11"/>
      <c r="LV613" s="12"/>
      <c r="LW613" s="12"/>
    </row>
    <row r="614">
      <c r="A614" s="10" t="s">
        <v>300</v>
      </c>
      <c r="B614" s="10" t="s">
        <v>111</v>
      </c>
      <c r="C614" s="10" t="s">
        <v>93</v>
      </c>
      <c r="D614" s="11">
        <v>1899</v>
      </c>
      <c r="E614" s="11">
        <f>=ROUNDDOWN(135.642857142857,0)</f>
      </c>
      <c r="F614" s="11"/>
      <c r="G614" s="12">
        <v>0.8044</v>
      </c>
      <c r="H614" s="11"/>
      <c r="I614" s="11">
        <f>=ROUNDDOWN({0},0)</f>
      </c>
      <c r="J614" s="11"/>
      <c r="K614" s="12"/>
      <c r="L614" s="11">
        <v>1079</v>
      </c>
      <c r="M614" s="13">
        <v>37245.4</v>
      </c>
      <c r="N614" s="11">
        <v>2</v>
      </c>
      <c r="O614" s="14">
        <v>18622.7</v>
      </c>
      <c r="P614" s="11"/>
      <c r="Q614" s="13"/>
      <c r="R614" s="11"/>
      <c r="S614" s="14"/>
      <c r="T614" s="12"/>
      <c r="U614" s="12"/>
      <c r="V614" s="12"/>
      <c r="W614" s="12"/>
      <c r="X614" s="11"/>
      <c r="Y614" s="13"/>
      <c r="Z614" s="11"/>
      <c r="AA614" s="11"/>
      <c r="AB614" s="13"/>
      <c r="AC614" s="11"/>
      <c r="AD614" s="12"/>
      <c r="AE614" s="12"/>
      <c r="AF614" s="11">
        <v>39</v>
      </c>
      <c r="AG614" s="13">
        <v>1217.18</v>
      </c>
      <c r="AH614" s="11">
        <v>2</v>
      </c>
      <c r="AI614" s="11"/>
      <c r="AJ614" s="13"/>
      <c r="AK614" s="11"/>
      <c r="AL614" s="12"/>
      <c r="AM614" s="12"/>
      <c r="AN614" s="11">
        <v>222</v>
      </c>
      <c r="AO614" s="13">
        <v>7283.82</v>
      </c>
      <c r="AP614" s="11">
        <v>2</v>
      </c>
      <c r="AQ614" s="11"/>
      <c r="AR614" s="13"/>
      <c r="AS614" s="11"/>
      <c r="AT614" s="12"/>
      <c r="AU614" s="12"/>
      <c r="AV614" s="11">
        <v>245</v>
      </c>
      <c r="AW614" s="13">
        <v>8361.85</v>
      </c>
      <c r="AX614" s="11">
        <v>2</v>
      </c>
      <c r="AY614" s="11"/>
      <c r="AZ614" s="13"/>
      <c r="BA614" s="11"/>
      <c r="BB614" s="12"/>
      <c r="BC614" s="12"/>
      <c r="BD614" s="11"/>
      <c r="BE614" s="13"/>
      <c r="BF614" s="11"/>
      <c r="BG614" s="11"/>
      <c r="BH614" s="13"/>
      <c r="BI614" s="11"/>
      <c r="BJ614" s="12"/>
      <c r="BK614" s="12"/>
      <c r="BL614" s="11">
        <v>90</v>
      </c>
      <c r="BM614" s="13">
        <v>3129.3</v>
      </c>
      <c r="BN614" s="11">
        <v>2</v>
      </c>
      <c r="BO614" s="11"/>
      <c r="BP614" s="13"/>
      <c r="BQ614" s="11"/>
      <c r="BR614" s="12"/>
      <c r="BS614" s="12"/>
      <c r="BT614" s="11">
        <v>91</v>
      </c>
      <c r="BU614" s="13">
        <v>3324.15</v>
      </c>
      <c r="BV614" s="11">
        <v>2</v>
      </c>
      <c r="BW614" s="11"/>
      <c r="BX614" s="13"/>
      <c r="BY614" s="11"/>
      <c r="BZ614" s="12"/>
      <c r="CA614" s="12"/>
      <c r="CB614" s="11">
        <v>5</v>
      </c>
      <c r="CC614" s="13">
        <v>179.15</v>
      </c>
      <c r="CD614" s="11">
        <v>2</v>
      </c>
      <c r="CE614" s="11"/>
      <c r="CF614" s="13"/>
      <c r="CG614" s="11"/>
      <c r="CH614" s="12"/>
      <c r="CI614" s="12"/>
      <c r="CJ614" s="11">
        <v>1</v>
      </c>
      <c r="CK614" s="13">
        <v>48.99</v>
      </c>
      <c r="CL614" s="11">
        <v>1</v>
      </c>
      <c r="CM614" s="11"/>
      <c r="CN614" s="13"/>
      <c r="CO614" s="11"/>
      <c r="CP614" s="12"/>
      <c r="CQ614" s="12"/>
      <c r="CR614" s="11"/>
      <c r="CS614" s="13"/>
      <c r="CT614" s="11"/>
      <c r="CU614" s="11"/>
      <c r="CV614" s="13"/>
      <c r="CW614" s="11"/>
      <c r="CX614" s="12"/>
      <c r="CY614" s="12"/>
      <c r="CZ614" s="11"/>
      <c r="DA614" s="13"/>
      <c r="DB614" s="11"/>
      <c r="DC614" s="11"/>
      <c r="DD614" s="13"/>
      <c r="DE614" s="11"/>
      <c r="DF614" s="12"/>
      <c r="DG614" s="12"/>
      <c r="DH614" s="11"/>
      <c r="DI614" s="13"/>
      <c r="DJ614" s="11"/>
      <c r="DK614" s="11"/>
      <c r="DL614" s="13"/>
      <c r="DM614" s="11"/>
      <c r="DN614" s="12"/>
      <c r="DO614" s="12"/>
      <c r="DP614" s="11">
        <v>81</v>
      </c>
      <c r="DQ614" s="13">
        <v>2815.56</v>
      </c>
      <c r="DR614" s="11">
        <v>2</v>
      </c>
      <c r="DS614" s="11"/>
      <c r="DT614" s="13"/>
      <c r="DU614" s="11"/>
      <c r="DV614" s="12"/>
      <c r="DW614" s="12"/>
      <c r="DX614" s="11">
        <v>297</v>
      </c>
      <c r="DY614" s="13">
        <v>10369.05</v>
      </c>
      <c r="DZ614" s="11">
        <v>2</v>
      </c>
      <c r="EA614" s="11"/>
      <c r="EB614" s="13"/>
      <c r="EC614" s="11"/>
      <c r="ED614" s="12"/>
      <c r="EE614" s="12"/>
      <c r="EF614" s="11"/>
      <c r="EG614" s="13"/>
      <c r="EH614" s="11"/>
      <c r="EI614" s="11"/>
      <c r="EJ614" s="13"/>
      <c r="EK614" s="11"/>
      <c r="EL614" s="12"/>
      <c r="EM614" s="12"/>
      <c r="EN614" s="11">
        <v>8</v>
      </c>
      <c r="EO614" s="13">
        <v>516.35</v>
      </c>
      <c r="EP614" s="11">
        <v>2</v>
      </c>
      <c r="EQ614" s="11"/>
      <c r="ER614" s="13"/>
      <c r="ES614" s="11"/>
      <c r="ET614" s="12"/>
      <c r="EU614" s="12"/>
      <c r="EV614" s="11"/>
      <c r="EW614" s="13"/>
      <c r="EX614" s="11"/>
      <c r="EY614" s="11"/>
      <c r="EZ614" s="13"/>
      <c r="FA614" s="11"/>
      <c r="FB614" s="12"/>
      <c r="FC614" s="12"/>
      <c r="FD614" s="11"/>
      <c r="FE614" s="13"/>
      <c r="FF614" s="11"/>
      <c r="FG614" s="11"/>
      <c r="FH614" s="13"/>
      <c r="FI614" s="11"/>
      <c r="FJ614" s="12"/>
      <c r="FK614" s="12"/>
      <c r="FL614" s="11"/>
      <c r="FM614" s="13"/>
      <c r="FN614" s="11"/>
      <c r="FO614" s="11"/>
      <c r="FP614" s="13"/>
      <c r="FQ614" s="11"/>
      <c r="FR614" s="12"/>
      <c r="FS614" s="12"/>
      <c r="FT614" s="11"/>
      <c r="FU614" s="13"/>
      <c r="FV614" s="11"/>
      <c r="FW614" s="11"/>
      <c r="FX614" s="13"/>
      <c r="FY614" s="11"/>
      <c r="FZ614" s="12"/>
      <c r="GA614" s="12"/>
      <c r="GB614" s="11"/>
      <c r="GC614" s="13"/>
      <c r="GD614" s="11">
        <v>2</v>
      </c>
      <c r="GE614" s="11"/>
      <c r="GF614" s="13"/>
      <c r="GG614" s="11"/>
      <c r="GH614" s="12"/>
      <c r="GI614" s="12"/>
      <c r="GJ614" s="11"/>
      <c r="GK614" s="13"/>
      <c r="GL614" s="11"/>
      <c r="GM614" s="11"/>
      <c r="GN614" s="13"/>
      <c r="GO614" s="11"/>
      <c r="GP614" s="12"/>
      <c r="GQ614" s="12"/>
      <c r="GR614" s="11"/>
      <c r="GS614" s="13"/>
      <c r="GT614" s="11"/>
      <c r="GU614" s="11"/>
      <c r="GV614" s="13"/>
      <c r="GW614" s="11"/>
      <c r="GX614" s="12"/>
      <c r="GY614" s="12"/>
      <c r="GZ614" s="11"/>
      <c r="HA614" s="13"/>
      <c r="HB614" s="11">
        <v>2</v>
      </c>
      <c r="HC614" s="11"/>
      <c r="HD614" s="13"/>
      <c r="HE614" s="11"/>
      <c r="HF614" s="12"/>
      <c r="HG614" s="12"/>
      <c r="HH614" s="11"/>
      <c r="HI614" s="13"/>
      <c r="HJ614" s="11"/>
      <c r="HK614" s="11"/>
      <c r="HL614" s="13"/>
      <c r="HM614" s="11"/>
      <c r="HN614" s="12"/>
      <c r="HO614" s="12"/>
      <c r="HP614" s="11"/>
      <c r="HQ614" s="13"/>
      <c r="HR614" s="11"/>
      <c r="HS614" s="11"/>
      <c r="HT614" s="13"/>
      <c r="HU614" s="11"/>
      <c r="HV614" s="12"/>
      <c r="HW614" s="12"/>
      <c r="HX614" s="11"/>
      <c r="HY614" s="13"/>
      <c r="HZ614" s="11"/>
      <c r="IA614" s="11"/>
      <c r="IB614" s="13"/>
      <c r="IC614" s="11"/>
      <c r="ID614" s="12"/>
      <c r="IE614" s="12"/>
      <c r="IF614" s="11"/>
      <c r="IG614" s="13"/>
      <c r="IH614" s="11"/>
      <c r="II614" s="11"/>
      <c r="IJ614" s="13"/>
      <c r="IK614" s="11"/>
      <c r="IL614" s="12"/>
      <c r="IM614" s="12"/>
      <c r="IN614" s="11"/>
      <c r="IO614" s="13"/>
      <c r="IP614" s="11"/>
      <c r="IQ614" s="11"/>
      <c r="IR614" s="13"/>
      <c r="IS614" s="11"/>
      <c r="IT614" s="12"/>
      <c r="IU614" s="12"/>
      <c r="IV614" s="11"/>
      <c r="IW614" s="13"/>
      <c r="IX614" s="11"/>
      <c r="IY614" s="11"/>
      <c r="IZ614" s="13"/>
      <c r="JA614" s="11"/>
      <c r="JB614" s="12"/>
      <c r="JC614" s="12"/>
      <c r="JD614" s="11"/>
      <c r="JE614" s="13"/>
      <c r="JF614" s="11"/>
      <c r="JG614" s="11"/>
      <c r="JH614" s="13"/>
      <c r="JI614" s="11"/>
      <c r="JJ614" s="12"/>
      <c r="JK614" s="12"/>
      <c r="JL614" s="11"/>
      <c r="JM614" s="13"/>
      <c r="JN614" s="11"/>
      <c r="JO614" s="11"/>
      <c r="JP614" s="13"/>
      <c r="JQ614" s="11"/>
      <c r="JR614" s="12"/>
      <c r="JS614" s="12"/>
      <c r="JT614" s="11"/>
      <c r="JU614" s="13"/>
      <c r="JV614" s="11"/>
      <c r="JW614" s="11"/>
      <c r="JX614" s="13"/>
      <c r="JY614" s="11"/>
      <c r="JZ614" s="12"/>
      <c r="KA614" s="12"/>
      <c r="KB614" s="11"/>
      <c r="KC614" s="13"/>
      <c r="KD614" s="11"/>
      <c r="KE614" s="11"/>
      <c r="KF614" s="13"/>
      <c r="KG614" s="11"/>
      <c r="KH614" s="12"/>
      <c r="KI614" s="12"/>
      <c r="KJ614" s="11"/>
      <c r="KK614" s="13"/>
      <c r="KL614" s="11"/>
      <c r="KM614" s="11"/>
      <c r="KN614" s="13"/>
      <c r="KO614" s="11"/>
      <c r="KP614" s="12"/>
      <c r="KQ614" s="12"/>
      <c r="KR614" s="11"/>
      <c r="KS614" s="13"/>
      <c r="KT614" s="11"/>
      <c r="KU614" s="11"/>
      <c r="KV614" s="13"/>
      <c r="KW614" s="11"/>
      <c r="KX614" s="12"/>
      <c r="KY614" s="12"/>
      <c r="KZ614" s="11"/>
      <c r="LA614" s="13"/>
      <c r="LB614" s="11"/>
      <c r="LC614" s="11"/>
      <c r="LD614" s="13"/>
      <c r="LE614" s="11"/>
      <c r="LF614" s="12"/>
      <c r="LG614" s="12"/>
      <c r="LH614" s="11"/>
      <c r="LI614" s="13"/>
      <c r="LJ614" s="11"/>
      <c r="LK614" s="11"/>
      <c r="LL614" s="13"/>
      <c r="LM614" s="11"/>
      <c r="LN614" s="12"/>
      <c r="LO614" s="12"/>
      <c r="LP614" s="11"/>
      <c r="LQ614" s="13"/>
      <c r="LR614" s="11"/>
      <c r="LS614" s="11"/>
      <c r="LT614" s="13"/>
      <c r="LU614" s="11"/>
      <c r="LV614" s="12"/>
      <c r="LW614" s="12"/>
    </row>
    <row r="615">
      <c r="A615" s="10" t="s">
        <v>300</v>
      </c>
      <c r="B615" s="10" t="s">
        <v>112</v>
      </c>
      <c r="C615" s="10" t="s">
        <v>77</v>
      </c>
      <c r="D615" s="11">
        <v>126014</v>
      </c>
      <c r="E615" s="11">
        <f>=ROUNDDOWN({0},0)</f>
      </c>
      <c r="F615" s="11">
        <v>14510</v>
      </c>
      <c r="G615" s="12"/>
      <c r="H615" s="11"/>
      <c r="I615" s="11">
        <f>=ROUNDDOWN({0},0)</f>
      </c>
      <c r="J615" s="11"/>
      <c r="K615" s="12"/>
      <c r="L615" s="11">
        <v>37530</v>
      </c>
      <c r="M615" s="13">
        <v>1413292.55</v>
      </c>
      <c r="N615" s="11">
        <v>320</v>
      </c>
      <c r="O615" s="14">
        <v>4416.54</v>
      </c>
      <c r="P615" s="11"/>
      <c r="Q615" s="13"/>
      <c r="R615" s="11"/>
      <c r="S615" s="14"/>
      <c r="T615" s="12"/>
      <c r="U615" s="12"/>
      <c r="V615" s="12"/>
      <c r="W615" s="12"/>
      <c r="X615" s="11">
        <v>10333</v>
      </c>
      <c r="Y615" s="13">
        <v>396021.35</v>
      </c>
      <c r="Z615" s="11">
        <v>278</v>
      </c>
      <c r="AA615" s="11"/>
      <c r="AB615" s="13"/>
      <c r="AC615" s="11"/>
      <c r="AD615" s="12"/>
      <c r="AE615" s="12"/>
      <c r="AF615" s="11">
        <v>2675</v>
      </c>
      <c r="AG615" s="13">
        <v>87268.39</v>
      </c>
      <c r="AH615" s="11">
        <v>310</v>
      </c>
      <c r="AI615" s="11"/>
      <c r="AJ615" s="13"/>
      <c r="AK615" s="11"/>
      <c r="AL615" s="12"/>
      <c r="AM615" s="12"/>
      <c r="AN615" s="11">
        <v>5423</v>
      </c>
      <c r="AO615" s="13">
        <v>190644.97</v>
      </c>
      <c r="AP615" s="11">
        <v>308</v>
      </c>
      <c r="AQ615" s="11"/>
      <c r="AR615" s="13"/>
      <c r="AS615" s="11"/>
      <c r="AT615" s="12"/>
      <c r="AU615" s="12"/>
      <c r="AV615" s="11">
        <v>6909</v>
      </c>
      <c r="AW615" s="13">
        <v>261987.74</v>
      </c>
      <c r="AX615" s="11">
        <v>272</v>
      </c>
      <c r="AY615" s="11"/>
      <c r="AZ615" s="13"/>
      <c r="BA615" s="11"/>
      <c r="BB615" s="12"/>
      <c r="BC615" s="12"/>
      <c r="BD615" s="11">
        <v>3371</v>
      </c>
      <c r="BE615" s="13">
        <v>129131.67</v>
      </c>
      <c r="BF615" s="11">
        <v>306</v>
      </c>
      <c r="BG615" s="11"/>
      <c r="BH615" s="13"/>
      <c r="BI615" s="11"/>
      <c r="BJ615" s="12"/>
      <c r="BK615" s="12"/>
      <c r="BL615" s="11">
        <v>1661</v>
      </c>
      <c r="BM615" s="13">
        <v>64233.47</v>
      </c>
      <c r="BN615" s="11">
        <v>310</v>
      </c>
      <c r="BO615" s="11"/>
      <c r="BP615" s="13"/>
      <c r="BQ615" s="11"/>
      <c r="BR615" s="12"/>
      <c r="BS615" s="12"/>
      <c r="BT615" s="11">
        <v>1122</v>
      </c>
      <c r="BU615" s="13">
        <v>42968.77</v>
      </c>
      <c r="BV615" s="11">
        <v>310</v>
      </c>
      <c r="BW615" s="11"/>
      <c r="BX615" s="13"/>
      <c r="BY615" s="11"/>
      <c r="BZ615" s="12"/>
      <c r="CA615" s="12"/>
      <c r="CB615" s="11">
        <v>2922</v>
      </c>
      <c r="CC615" s="13">
        <v>107773.44</v>
      </c>
      <c r="CD615" s="11">
        <v>266</v>
      </c>
      <c r="CE615" s="11"/>
      <c r="CF615" s="13"/>
      <c r="CG615" s="11"/>
      <c r="CH615" s="12"/>
      <c r="CI615" s="12"/>
      <c r="CJ615" s="11">
        <v>765</v>
      </c>
      <c r="CK615" s="13">
        <v>40326.38</v>
      </c>
      <c r="CL615" s="11">
        <v>315</v>
      </c>
      <c r="CM615" s="11"/>
      <c r="CN615" s="13"/>
      <c r="CO615" s="11"/>
      <c r="CP615" s="12"/>
      <c r="CQ615" s="12"/>
      <c r="CR615" s="11"/>
      <c r="CS615" s="13"/>
      <c r="CT615" s="11"/>
      <c r="CU615" s="11"/>
      <c r="CV615" s="13"/>
      <c r="CW615" s="11"/>
      <c r="CX615" s="12"/>
      <c r="CY615" s="12"/>
      <c r="CZ615" s="11">
        <v>44</v>
      </c>
      <c r="DA615" s="13">
        <v>1759.81</v>
      </c>
      <c r="DB615" s="11">
        <v>28</v>
      </c>
      <c r="DC615" s="11"/>
      <c r="DD615" s="13"/>
      <c r="DE615" s="11"/>
      <c r="DF615" s="12"/>
      <c r="DG615" s="12"/>
      <c r="DH615" s="11">
        <v>5</v>
      </c>
      <c r="DI615" s="13">
        <v>181.41</v>
      </c>
      <c r="DJ615" s="11">
        <v>17</v>
      </c>
      <c r="DK615" s="11"/>
      <c r="DL615" s="13"/>
      <c r="DM615" s="11"/>
      <c r="DN615" s="12"/>
      <c r="DO615" s="12"/>
      <c r="DP615" s="11">
        <v>393</v>
      </c>
      <c r="DQ615" s="13">
        <v>14613.03</v>
      </c>
      <c r="DR615" s="11">
        <v>285</v>
      </c>
      <c r="DS615" s="11"/>
      <c r="DT615" s="13"/>
      <c r="DU615" s="11"/>
      <c r="DV615" s="12"/>
      <c r="DW615" s="12"/>
      <c r="DX615" s="11">
        <v>1022</v>
      </c>
      <c r="DY615" s="13">
        <v>36214.34</v>
      </c>
      <c r="DZ615" s="11">
        <v>256</v>
      </c>
      <c r="EA615" s="11"/>
      <c r="EB615" s="13"/>
      <c r="EC615" s="11"/>
      <c r="ED615" s="12"/>
      <c r="EE615" s="12"/>
      <c r="EF615" s="11"/>
      <c r="EG615" s="13"/>
      <c r="EH615" s="11"/>
      <c r="EI615" s="11"/>
      <c r="EJ615" s="13"/>
      <c r="EK615" s="11"/>
      <c r="EL615" s="12"/>
      <c r="EM615" s="12"/>
      <c r="EN615" s="11">
        <v>243</v>
      </c>
      <c r="EO615" s="13">
        <v>13758.87</v>
      </c>
      <c r="EP615" s="11">
        <v>318</v>
      </c>
      <c r="EQ615" s="11"/>
      <c r="ER615" s="13"/>
      <c r="ES615" s="11"/>
      <c r="ET615" s="12"/>
      <c r="EU615" s="12"/>
      <c r="EV615" s="11">
        <v>191</v>
      </c>
      <c r="EW615" s="13">
        <v>6928.4</v>
      </c>
      <c r="EX615" s="11">
        <v>31</v>
      </c>
      <c r="EY615" s="11"/>
      <c r="EZ615" s="13"/>
      <c r="FA615" s="11"/>
      <c r="FB615" s="12"/>
      <c r="FC615" s="12"/>
      <c r="FD615" s="11">
        <v>232</v>
      </c>
      <c r="FE615" s="13">
        <v>10518.21</v>
      </c>
      <c r="FF615" s="11">
        <v>47</v>
      </c>
      <c r="FG615" s="11"/>
      <c r="FH615" s="13"/>
      <c r="FI615" s="11"/>
      <c r="FJ615" s="12"/>
      <c r="FK615" s="12"/>
      <c r="FL615" s="11"/>
      <c r="FM615" s="13"/>
      <c r="FN615" s="11">
        <v>3</v>
      </c>
      <c r="FO615" s="11"/>
      <c r="FP615" s="13"/>
      <c r="FQ615" s="11"/>
      <c r="FR615" s="12"/>
      <c r="FS615" s="12"/>
      <c r="FT615" s="11">
        <v>61</v>
      </c>
      <c r="FU615" s="13">
        <v>2290.31</v>
      </c>
      <c r="FV615" s="11">
        <v>111</v>
      </c>
      <c r="FW615" s="11"/>
      <c r="FX615" s="13"/>
      <c r="FY615" s="11"/>
      <c r="FZ615" s="12"/>
      <c r="GA615" s="12"/>
      <c r="GB615" s="11">
        <v>45</v>
      </c>
      <c r="GC615" s="13">
        <v>1931.23</v>
      </c>
      <c r="GD615" s="11">
        <v>106</v>
      </c>
      <c r="GE615" s="11"/>
      <c r="GF615" s="13"/>
      <c r="GG615" s="11"/>
      <c r="GH615" s="12"/>
      <c r="GI615" s="12"/>
      <c r="GJ615" s="11"/>
      <c r="GK615" s="13"/>
      <c r="GL615" s="11"/>
      <c r="GM615" s="11"/>
      <c r="GN615" s="13"/>
      <c r="GO615" s="11"/>
      <c r="GP615" s="12"/>
      <c r="GQ615" s="12"/>
      <c r="GR615" s="11">
        <v>1</v>
      </c>
      <c r="GS615" s="13">
        <v>48.99</v>
      </c>
      <c r="GT615" s="11">
        <v>104</v>
      </c>
      <c r="GU615" s="11"/>
      <c r="GV615" s="13"/>
      <c r="GW615" s="11"/>
      <c r="GX615" s="12"/>
      <c r="GY615" s="12"/>
      <c r="GZ615" s="11">
        <v>22</v>
      </c>
      <c r="HA615" s="13">
        <v>945.3</v>
      </c>
      <c r="HB615" s="11">
        <v>35</v>
      </c>
      <c r="HC615" s="11"/>
      <c r="HD615" s="13"/>
      <c r="HE615" s="11"/>
      <c r="HF615" s="12"/>
      <c r="HG615" s="12"/>
      <c r="HH615" s="11">
        <v>47</v>
      </c>
      <c r="HI615" s="13">
        <v>2003.53</v>
      </c>
      <c r="HJ615" s="11"/>
      <c r="HK615" s="11"/>
      <c r="HL615" s="13"/>
      <c r="HM615" s="11"/>
      <c r="HN615" s="12"/>
      <c r="HO615" s="12"/>
      <c r="HP615" s="11"/>
      <c r="HQ615" s="13"/>
      <c r="HR615" s="11"/>
      <c r="HS615" s="11"/>
      <c r="HT615" s="13"/>
      <c r="HU615" s="11"/>
      <c r="HV615" s="12"/>
      <c r="HW615" s="12"/>
      <c r="HX615" s="11">
        <v>22</v>
      </c>
      <c r="HY615" s="13">
        <v>857.46</v>
      </c>
      <c r="HZ615" s="11">
        <v>61</v>
      </c>
      <c r="IA615" s="11"/>
      <c r="IB615" s="13"/>
      <c r="IC615" s="11"/>
      <c r="ID615" s="12"/>
      <c r="IE615" s="12"/>
      <c r="IF615" s="11"/>
      <c r="IG615" s="13"/>
      <c r="IH615" s="11"/>
      <c r="II615" s="11"/>
      <c r="IJ615" s="13"/>
      <c r="IK615" s="11"/>
      <c r="IL615" s="12"/>
      <c r="IM615" s="12"/>
      <c r="IN615" s="11"/>
      <c r="IO615" s="13"/>
      <c r="IP615" s="11"/>
      <c r="IQ615" s="11"/>
      <c r="IR615" s="13"/>
      <c r="IS615" s="11"/>
      <c r="IT615" s="12"/>
      <c r="IU615" s="12"/>
      <c r="IV615" s="11">
        <v>6</v>
      </c>
      <c r="IW615" s="13">
        <v>233.29</v>
      </c>
      <c r="IX615" s="11">
        <v>86</v>
      </c>
      <c r="IY615" s="11"/>
      <c r="IZ615" s="13"/>
      <c r="JA615" s="11"/>
      <c r="JB615" s="12"/>
      <c r="JC615" s="12"/>
      <c r="JD615" s="11">
        <v>15</v>
      </c>
      <c r="JE615" s="13">
        <v>652.19</v>
      </c>
      <c r="JF615" s="11">
        <v>31</v>
      </c>
      <c r="JG615" s="11"/>
      <c r="JH615" s="13"/>
      <c r="JI615" s="11"/>
      <c r="JJ615" s="12"/>
      <c r="JK615" s="12"/>
      <c r="JL615" s="11"/>
      <c r="JM615" s="13"/>
      <c r="JN615" s="11"/>
      <c r="JO615" s="11"/>
      <c r="JP615" s="13"/>
      <c r="JQ615" s="11"/>
      <c r="JR615" s="12"/>
      <c r="JS615" s="12"/>
      <c r="JT615" s="11"/>
      <c r="JU615" s="13"/>
      <c r="JV615" s="11">
        <v>63</v>
      </c>
      <c r="JW615" s="11"/>
      <c r="JX615" s="13"/>
      <c r="JY615" s="11"/>
      <c r="JZ615" s="12"/>
      <c r="KA615" s="12"/>
      <c r="KB615" s="11"/>
      <c r="KC615" s="13"/>
      <c r="KD615" s="11"/>
      <c r="KE615" s="11"/>
      <c r="KF615" s="13"/>
      <c r="KG615" s="11"/>
      <c r="KH615" s="12"/>
      <c r="KI615" s="12"/>
      <c r="KJ615" s="11"/>
      <c r="KK615" s="13"/>
      <c r="KL615" s="11"/>
      <c r="KM615" s="11"/>
      <c r="KN615" s="13"/>
      <c r="KO615" s="11"/>
      <c r="KP615" s="12"/>
      <c r="KQ615" s="12"/>
      <c r="KR615" s="11"/>
      <c r="KS615" s="13"/>
      <c r="KT615" s="11"/>
      <c r="KU615" s="11"/>
      <c r="KV615" s="13"/>
      <c r="KW615" s="11"/>
      <c r="KX615" s="12"/>
      <c r="KY615" s="12"/>
      <c r="KZ615" s="11"/>
      <c r="LA615" s="13"/>
      <c r="LB615" s="11"/>
      <c r="LC615" s="11"/>
      <c r="LD615" s="13"/>
      <c r="LE615" s="11"/>
      <c r="LF615" s="12"/>
      <c r="LG615" s="12"/>
      <c r="LH615" s="11"/>
      <c r="LI615" s="13"/>
      <c r="LJ615" s="11"/>
      <c r="LK615" s="11"/>
      <c r="LL615" s="13"/>
      <c r="LM615" s="11"/>
      <c r="LN615" s="12"/>
      <c r="LO615" s="12"/>
      <c r="LP615" s="11"/>
      <c r="LQ615" s="13"/>
      <c r="LR615" s="11"/>
      <c r="LS615" s="11"/>
      <c r="LT615" s="13"/>
      <c r="LU615" s="11"/>
      <c r="LV615" s="12"/>
      <c r="LW615" s="12"/>
    </row>
    <row r="616">
      <c r="A616" s="10" t="s">
        <v>300</v>
      </c>
      <c r="B616" s="10" t="s">
        <v>190</v>
      </c>
      <c r="C616" s="10" t="s">
        <v>74</v>
      </c>
      <c r="D616" s="11">
        <v>17400</v>
      </c>
      <c r="E616" s="11">
        <f>=ROUNDDOWN(28.6184210526316,0)</f>
      </c>
      <c r="F616" s="11">
        <v>6800</v>
      </c>
      <c r="G616" s="12">
        <v>0.9965</v>
      </c>
      <c r="H616" s="11"/>
      <c r="I616" s="11">
        <f>=ROUNDDOWN({0},0)</f>
      </c>
      <c r="J616" s="11"/>
      <c r="K616" s="12"/>
      <c r="L616" s="11">
        <v>8337</v>
      </c>
      <c r="M616" s="13">
        <v>313437.31</v>
      </c>
      <c r="N616" s="11">
        <v>40</v>
      </c>
      <c r="O616" s="14">
        <v>7835.93</v>
      </c>
      <c r="P616" s="11"/>
      <c r="Q616" s="13"/>
      <c r="R616" s="11"/>
      <c r="S616" s="14"/>
      <c r="T616" s="12"/>
      <c r="U616" s="12"/>
      <c r="V616" s="12"/>
      <c r="W616" s="12"/>
      <c r="X616" s="11">
        <v>3009</v>
      </c>
      <c r="Y616" s="13">
        <v>117393.31</v>
      </c>
      <c r="Z616" s="11">
        <v>40</v>
      </c>
      <c r="AA616" s="11"/>
      <c r="AB616" s="13"/>
      <c r="AC616" s="11"/>
      <c r="AD616" s="12"/>
      <c r="AE616" s="12"/>
      <c r="AF616" s="11">
        <v>527</v>
      </c>
      <c r="AG616" s="13">
        <v>16180.35</v>
      </c>
      <c r="AH616" s="11">
        <v>40</v>
      </c>
      <c r="AI616" s="11"/>
      <c r="AJ616" s="13"/>
      <c r="AK616" s="11"/>
      <c r="AL616" s="12"/>
      <c r="AM616" s="12"/>
      <c r="AN616" s="11">
        <v>1174</v>
      </c>
      <c r="AO616" s="13">
        <v>41848.57</v>
      </c>
      <c r="AP616" s="11">
        <v>40</v>
      </c>
      <c r="AQ616" s="11"/>
      <c r="AR616" s="13"/>
      <c r="AS616" s="11"/>
      <c r="AT616" s="12"/>
      <c r="AU616" s="12"/>
      <c r="AV616" s="11">
        <v>946</v>
      </c>
      <c r="AW616" s="13">
        <v>35394.26</v>
      </c>
      <c r="AX616" s="11">
        <v>25</v>
      </c>
      <c r="AY616" s="11"/>
      <c r="AZ616" s="13"/>
      <c r="BA616" s="11"/>
      <c r="BB616" s="12"/>
      <c r="BC616" s="12"/>
      <c r="BD616" s="11">
        <v>980</v>
      </c>
      <c r="BE616" s="13">
        <v>34847.19</v>
      </c>
      <c r="BF616" s="11">
        <v>36</v>
      </c>
      <c r="BG616" s="11"/>
      <c r="BH616" s="13"/>
      <c r="BI616" s="11"/>
      <c r="BJ616" s="12"/>
      <c r="BK616" s="12"/>
      <c r="BL616" s="11">
        <v>202</v>
      </c>
      <c r="BM616" s="13">
        <v>8167.37</v>
      </c>
      <c r="BN616" s="11">
        <v>40</v>
      </c>
      <c r="BO616" s="11"/>
      <c r="BP616" s="13"/>
      <c r="BQ616" s="11"/>
      <c r="BR616" s="12"/>
      <c r="BS616" s="12"/>
      <c r="BT616" s="11">
        <v>228</v>
      </c>
      <c r="BU616" s="13">
        <v>8579.9</v>
      </c>
      <c r="BV616" s="11">
        <v>40</v>
      </c>
      <c r="BW616" s="11"/>
      <c r="BX616" s="13"/>
      <c r="BY616" s="11"/>
      <c r="BZ616" s="12"/>
      <c r="CA616" s="12"/>
      <c r="CB616" s="11">
        <v>561</v>
      </c>
      <c r="CC616" s="13">
        <v>20517.82</v>
      </c>
      <c r="CD616" s="11">
        <v>38</v>
      </c>
      <c r="CE616" s="11"/>
      <c r="CF616" s="13"/>
      <c r="CG616" s="11"/>
      <c r="CH616" s="12"/>
      <c r="CI616" s="12"/>
      <c r="CJ616" s="11">
        <v>230</v>
      </c>
      <c r="CK616" s="13">
        <v>10814.2</v>
      </c>
      <c r="CL616" s="11">
        <v>40</v>
      </c>
      <c r="CM616" s="11"/>
      <c r="CN616" s="13"/>
      <c r="CO616" s="11"/>
      <c r="CP616" s="12"/>
      <c r="CQ616" s="12"/>
      <c r="CR616" s="11"/>
      <c r="CS616" s="13"/>
      <c r="CT616" s="11"/>
      <c r="CU616" s="11"/>
      <c r="CV616" s="13"/>
      <c r="CW616" s="11"/>
      <c r="CX616" s="12"/>
      <c r="CY616" s="12"/>
      <c r="CZ616" s="11"/>
      <c r="DA616" s="13"/>
      <c r="DB616" s="11"/>
      <c r="DC616" s="11"/>
      <c r="DD616" s="13"/>
      <c r="DE616" s="11"/>
      <c r="DF616" s="12"/>
      <c r="DG616" s="12"/>
      <c r="DH616" s="11"/>
      <c r="DI616" s="13"/>
      <c r="DJ616" s="11">
        <v>1</v>
      </c>
      <c r="DK616" s="11"/>
      <c r="DL616" s="13"/>
      <c r="DM616" s="11"/>
      <c r="DN616" s="12"/>
      <c r="DO616" s="12"/>
      <c r="DP616" s="11">
        <v>108</v>
      </c>
      <c r="DQ616" s="13">
        <v>3959.66</v>
      </c>
      <c r="DR616" s="11">
        <v>40</v>
      </c>
      <c r="DS616" s="11"/>
      <c r="DT616" s="13"/>
      <c r="DU616" s="11"/>
      <c r="DV616" s="12"/>
      <c r="DW616" s="12"/>
      <c r="DX616" s="11">
        <v>134</v>
      </c>
      <c r="DY616" s="13">
        <v>4549.52</v>
      </c>
      <c r="DZ616" s="11">
        <v>40</v>
      </c>
      <c r="EA616" s="11"/>
      <c r="EB616" s="13"/>
      <c r="EC616" s="11"/>
      <c r="ED616" s="12"/>
      <c r="EE616" s="12"/>
      <c r="EF616" s="11"/>
      <c r="EG616" s="13"/>
      <c r="EH616" s="11"/>
      <c r="EI616" s="11"/>
      <c r="EJ616" s="13"/>
      <c r="EK616" s="11"/>
      <c r="EL616" s="12"/>
      <c r="EM616" s="12"/>
      <c r="EN616" s="11">
        <v>109</v>
      </c>
      <c r="EO616" s="13">
        <v>6557.37</v>
      </c>
      <c r="EP616" s="11">
        <v>40</v>
      </c>
      <c r="EQ616" s="11"/>
      <c r="ER616" s="13"/>
      <c r="ES616" s="11"/>
      <c r="ET616" s="12"/>
      <c r="EU616" s="12"/>
      <c r="EV616" s="11">
        <v>15</v>
      </c>
      <c r="EW616" s="13">
        <v>477.39</v>
      </c>
      <c r="EX616" s="11">
        <v>1</v>
      </c>
      <c r="EY616" s="11"/>
      <c r="EZ616" s="13"/>
      <c r="FA616" s="11"/>
      <c r="FB616" s="12"/>
      <c r="FC616" s="12"/>
      <c r="FD616" s="11">
        <v>89</v>
      </c>
      <c r="FE616" s="13">
        <v>3187.8</v>
      </c>
      <c r="FF616" s="11">
        <v>9</v>
      </c>
      <c r="FG616" s="11"/>
      <c r="FH616" s="13"/>
      <c r="FI616" s="11"/>
      <c r="FJ616" s="12"/>
      <c r="FK616" s="12"/>
      <c r="FL616" s="11"/>
      <c r="FM616" s="13"/>
      <c r="FN616" s="11"/>
      <c r="FO616" s="11"/>
      <c r="FP616" s="13"/>
      <c r="FQ616" s="11"/>
      <c r="FR616" s="12"/>
      <c r="FS616" s="12"/>
      <c r="FT616" s="11">
        <v>7</v>
      </c>
      <c r="FU616" s="13">
        <v>273.52</v>
      </c>
      <c r="FV616" s="11">
        <v>31</v>
      </c>
      <c r="FW616" s="11"/>
      <c r="FX616" s="13"/>
      <c r="FY616" s="11"/>
      <c r="FZ616" s="12"/>
      <c r="GA616" s="12"/>
      <c r="GB616" s="11">
        <v>3</v>
      </c>
      <c r="GC616" s="13">
        <v>120.29</v>
      </c>
      <c r="GD616" s="11">
        <v>7</v>
      </c>
      <c r="GE616" s="11"/>
      <c r="GF616" s="13"/>
      <c r="GG616" s="11"/>
      <c r="GH616" s="12"/>
      <c r="GI616" s="12"/>
      <c r="GJ616" s="11"/>
      <c r="GK616" s="13"/>
      <c r="GL616" s="11"/>
      <c r="GM616" s="11"/>
      <c r="GN616" s="13"/>
      <c r="GO616" s="11"/>
      <c r="GP616" s="12"/>
      <c r="GQ616" s="12"/>
      <c r="GR616" s="11"/>
      <c r="GS616" s="13"/>
      <c r="GT616" s="11">
        <v>11</v>
      </c>
      <c r="GU616" s="11"/>
      <c r="GV616" s="13"/>
      <c r="GW616" s="11"/>
      <c r="GX616" s="12"/>
      <c r="GY616" s="12"/>
      <c r="GZ616" s="11">
        <v>5</v>
      </c>
      <c r="HA616" s="13">
        <v>205.2</v>
      </c>
      <c r="HB616" s="11">
        <v>8</v>
      </c>
      <c r="HC616" s="11"/>
      <c r="HD616" s="13"/>
      <c r="HE616" s="11"/>
      <c r="HF616" s="12"/>
      <c r="HG616" s="12"/>
      <c r="HH616" s="11"/>
      <c r="HI616" s="13"/>
      <c r="HJ616" s="11"/>
      <c r="HK616" s="11"/>
      <c r="HL616" s="13"/>
      <c r="HM616" s="11"/>
      <c r="HN616" s="12"/>
      <c r="HO616" s="12"/>
      <c r="HP616" s="11"/>
      <c r="HQ616" s="13"/>
      <c r="HR616" s="11"/>
      <c r="HS616" s="11"/>
      <c r="HT616" s="13"/>
      <c r="HU616" s="11"/>
      <c r="HV616" s="12"/>
      <c r="HW616" s="12"/>
      <c r="HX616" s="11">
        <v>6</v>
      </c>
      <c r="HY616" s="13">
        <v>215.47</v>
      </c>
      <c r="HZ616" s="11">
        <v>29</v>
      </c>
      <c r="IA616" s="11"/>
      <c r="IB616" s="13"/>
      <c r="IC616" s="11"/>
      <c r="ID616" s="12"/>
      <c r="IE616" s="12"/>
      <c r="IF616" s="11"/>
      <c r="IG616" s="13"/>
      <c r="IH616" s="11"/>
      <c r="II616" s="11"/>
      <c r="IJ616" s="13"/>
      <c r="IK616" s="11"/>
      <c r="IL616" s="12"/>
      <c r="IM616" s="12"/>
      <c r="IN616" s="11"/>
      <c r="IO616" s="13"/>
      <c r="IP616" s="11"/>
      <c r="IQ616" s="11"/>
      <c r="IR616" s="13"/>
      <c r="IS616" s="11"/>
      <c r="IT616" s="12"/>
      <c r="IU616" s="12"/>
      <c r="IV616" s="11">
        <v>2</v>
      </c>
      <c r="IW616" s="13">
        <v>77.31</v>
      </c>
      <c r="IX616" s="11">
        <v>22</v>
      </c>
      <c r="IY616" s="11"/>
      <c r="IZ616" s="13"/>
      <c r="JA616" s="11"/>
      <c r="JB616" s="12"/>
      <c r="JC616" s="12"/>
      <c r="JD616" s="11">
        <v>2</v>
      </c>
      <c r="JE616" s="13">
        <v>70.81</v>
      </c>
      <c r="JF616" s="11">
        <v>7</v>
      </c>
      <c r="JG616" s="11"/>
      <c r="JH616" s="13"/>
      <c r="JI616" s="11"/>
      <c r="JJ616" s="12"/>
      <c r="JK616" s="12"/>
      <c r="JL616" s="11"/>
      <c r="JM616" s="13"/>
      <c r="JN616" s="11"/>
      <c r="JO616" s="11"/>
      <c r="JP616" s="13"/>
      <c r="JQ616" s="11"/>
      <c r="JR616" s="12"/>
      <c r="JS616" s="12"/>
      <c r="JT616" s="11"/>
      <c r="JU616" s="13"/>
      <c r="JV616" s="11">
        <v>3</v>
      </c>
      <c r="JW616" s="11"/>
      <c r="JX616" s="13"/>
      <c r="JY616" s="11"/>
      <c r="JZ616" s="12"/>
      <c r="KA616" s="12"/>
      <c r="KB616" s="11"/>
      <c r="KC616" s="13"/>
      <c r="KD616" s="11"/>
      <c r="KE616" s="11"/>
      <c r="KF616" s="13"/>
      <c r="KG616" s="11"/>
      <c r="KH616" s="12"/>
      <c r="KI616" s="12"/>
      <c r="KJ616" s="11"/>
      <c r="KK616" s="13"/>
      <c r="KL616" s="11"/>
      <c r="KM616" s="11"/>
      <c r="KN616" s="13"/>
      <c r="KO616" s="11"/>
      <c r="KP616" s="12"/>
      <c r="KQ616" s="12"/>
      <c r="KR616" s="11"/>
      <c r="KS616" s="13"/>
      <c r="KT616" s="11"/>
      <c r="KU616" s="11"/>
      <c r="KV616" s="13"/>
      <c r="KW616" s="11"/>
      <c r="KX616" s="12"/>
      <c r="KY616" s="12"/>
      <c r="KZ616" s="11"/>
      <c r="LA616" s="13"/>
      <c r="LB616" s="11"/>
      <c r="LC616" s="11"/>
      <c r="LD616" s="13"/>
      <c r="LE616" s="11"/>
      <c r="LF616" s="12"/>
      <c r="LG616" s="12"/>
      <c r="LH616" s="11"/>
      <c r="LI616" s="13"/>
      <c r="LJ616" s="11"/>
      <c r="LK616" s="11"/>
      <c r="LL616" s="13"/>
      <c r="LM616" s="11"/>
      <c r="LN616" s="12"/>
      <c r="LO616" s="12"/>
      <c r="LP616" s="11"/>
      <c r="LQ616" s="13"/>
      <c r="LR616" s="11"/>
      <c r="LS616" s="11"/>
      <c r="LT616" s="13"/>
      <c r="LU616" s="11"/>
      <c r="LV616" s="12"/>
      <c r="LW616" s="12"/>
    </row>
    <row r="617">
      <c r="A617" s="10" t="s">
        <v>300</v>
      </c>
      <c r="B617" s="10" t="s">
        <v>190</v>
      </c>
      <c r="C617" s="10" t="s">
        <v>75</v>
      </c>
      <c r="D617" s="11">
        <v>748</v>
      </c>
      <c r="E617" s="11">
        <f>=ROUNDDOWN(19.6842105263158,0)</f>
      </c>
      <c r="F617" s="11"/>
      <c r="G617" s="12">
        <v>1</v>
      </c>
      <c r="H617" s="11"/>
      <c r="I617" s="11">
        <f>=ROUNDDOWN({0},0)</f>
      </c>
      <c r="J617" s="11"/>
      <c r="K617" s="12"/>
      <c r="L617" s="11">
        <v>504</v>
      </c>
      <c r="M617" s="13">
        <v>19303.13</v>
      </c>
      <c r="N617" s="11">
        <v>5</v>
      </c>
      <c r="O617" s="14">
        <v>3860.63</v>
      </c>
      <c r="P617" s="11"/>
      <c r="Q617" s="13"/>
      <c r="R617" s="11"/>
      <c r="S617" s="14"/>
      <c r="T617" s="12"/>
      <c r="U617" s="12"/>
      <c r="V617" s="12"/>
      <c r="W617" s="12"/>
      <c r="X617" s="11">
        <v>9</v>
      </c>
      <c r="Y617" s="13">
        <v>322.62</v>
      </c>
      <c r="Z617" s="11"/>
      <c r="AA617" s="11"/>
      <c r="AB617" s="13"/>
      <c r="AC617" s="11"/>
      <c r="AD617" s="12"/>
      <c r="AE617" s="12"/>
      <c r="AF617" s="11">
        <v>43</v>
      </c>
      <c r="AG617" s="13">
        <v>1355.62</v>
      </c>
      <c r="AH617" s="11">
        <v>5</v>
      </c>
      <c r="AI617" s="11"/>
      <c r="AJ617" s="13"/>
      <c r="AK617" s="11"/>
      <c r="AL617" s="12"/>
      <c r="AM617" s="12"/>
      <c r="AN617" s="11">
        <v>91</v>
      </c>
      <c r="AO617" s="13">
        <v>3150.5</v>
      </c>
      <c r="AP617" s="11">
        <v>5</v>
      </c>
      <c r="AQ617" s="11"/>
      <c r="AR617" s="13"/>
      <c r="AS617" s="11"/>
      <c r="AT617" s="12"/>
      <c r="AU617" s="12"/>
      <c r="AV617" s="11">
        <v>25</v>
      </c>
      <c r="AW617" s="13">
        <v>920.4</v>
      </c>
      <c r="AX617" s="11">
        <v>4</v>
      </c>
      <c r="AY617" s="11"/>
      <c r="AZ617" s="13"/>
      <c r="BA617" s="11"/>
      <c r="BB617" s="12"/>
      <c r="BC617" s="12"/>
      <c r="BD617" s="11">
        <v>41</v>
      </c>
      <c r="BE617" s="13">
        <v>1467.26</v>
      </c>
      <c r="BF617" s="11">
        <v>5</v>
      </c>
      <c r="BG617" s="11"/>
      <c r="BH617" s="13"/>
      <c r="BI617" s="11"/>
      <c r="BJ617" s="12"/>
      <c r="BK617" s="12"/>
      <c r="BL617" s="11">
        <v>25</v>
      </c>
      <c r="BM617" s="13">
        <v>974.76</v>
      </c>
      <c r="BN617" s="11">
        <v>5</v>
      </c>
      <c r="BO617" s="11"/>
      <c r="BP617" s="13"/>
      <c r="BQ617" s="11"/>
      <c r="BR617" s="12"/>
      <c r="BS617" s="12"/>
      <c r="BT617" s="11">
        <v>1</v>
      </c>
      <c r="BU617" s="13">
        <v>45.55</v>
      </c>
      <c r="BV617" s="11">
        <v>5</v>
      </c>
      <c r="BW617" s="11"/>
      <c r="BX617" s="13"/>
      <c r="BY617" s="11"/>
      <c r="BZ617" s="12"/>
      <c r="CA617" s="12"/>
      <c r="CB617" s="11">
        <v>240</v>
      </c>
      <c r="CC617" s="13">
        <v>9891.37</v>
      </c>
      <c r="CD617" s="11">
        <v>5</v>
      </c>
      <c r="CE617" s="11"/>
      <c r="CF617" s="13"/>
      <c r="CG617" s="11"/>
      <c r="CH617" s="12"/>
      <c r="CI617" s="12"/>
      <c r="CJ617" s="11"/>
      <c r="CK617" s="13"/>
      <c r="CL617" s="11">
        <v>5</v>
      </c>
      <c r="CM617" s="11"/>
      <c r="CN617" s="13"/>
      <c r="CO617" s="11"/>
      <c r="CP617" s="12"/>
      <c r="CQ617" s="12"/>
      <c r="CR617" s="11"/>
      <c r="CS617" s="13"/>
      <c r="CT617" s="11"/>
      <c r="CU617" s="11"/>
      <c r="CV617" s="13"/>
      <c r="CW617" s="11"/>
      <c r="CX617" s="12"/>
      <c r="CY617" s="12"/>
      <c r="CZ617" s="11"/>
      <c r="DA617" s="13"/>
      <c r="DB617" s="11"/>
      <c r="DC617" s="11"/>
      <c r="DD617" s="13"/>
      <c r="DE617" s="11"/>
      <c r="DF617" s="12"/>
      <c r="DG617" s="12"/>
      <c r="DH617" s="11"/>
      <c r="DI617" s="13"/>
      <c r="DJ617" s="11"/>
      <c r="DK617" s="11"/>
      <c r="DL617" s="13"/>
      <c r="DM617" s="11"/>
      <c r="DN617" s="12"/>
      <c r="DO617" s="12"/>
      <c r="DP617" s="11">
        <v>5</v>
      </c>
      <c r="DQ617" s="13">
        <v>205.73</v>
      </c>
      <c r="DR617" s="11">
        <v>5</v>
      </c>
      <c r="DS617" s="11"/>
      <c r="DT617" s="13"/>
      <c r="DU617" s="11"/>
      <c r="DV617" s="12"/>
      <c r="DW617" s="12"/>
      <c r="DX617" s="11">
        <v>6</v>
      </c>
      <c r="DY617" s="13">
        <v>211.4</v>
      </c>
      <c r="DZ617" s="11">
        <v>5</v>
      </c>
      <c r="EA617" s="11"/>
      <c r="EB617" s="13"/>
      <c r="EC617" s="11"/>
      <c r="ED617" s="12"/>
      <c r="EE617" s="12"/>
      <c r="EF617" s="11"/>
      <c r="EG617" s="13"/>
      <c r="EH617" s="11"/>
      <c r="EI617" s="11"/>
      <c r="EJ617" s="13"/>
      <c r="EK617" s="11"/>
      <c r="EL617" s="12"/>
      <c r="EM617" s="12"/>
      <c r="EN617" s="11">
        <v>1</v>
      </c>
      <c r="EO617" s="13">
        <v>79.99</v>
      </c>
      <c r="EP617" s="11">
        <v>5</v>
      </c>
      <c r="EQ617" s="11"/>
      <c r="ER617" s="13"/>
      <c r="ES617" s="11"/>
      <c r="ET617" s="12"/>
      <c r="EU617" s="12"/>
      <c r="EV617" s="11">
        <v>1</v>
      </c>
      <c r="EW617" s="13">
        <v>39.69</v>
      </c>
      <c r="EX617" s="11">
        <v>1</v>
      </c>
      <c r="EY617" s="11"/>
      <c r="EZ617" s="13"/>
      <c r="FA617" s="11"/>
      <c r="FB617" s="12"/>
      <c r="FC617" s="12"/>
      <c r="FD617" s="11"/>
      <c r="FE617" s="13"/>
      <c r="FF617" s="11">
        <v>1</v>
      </c>
      <c r="FG617" s="11"/>
      <c r="FH617" s="13"/>
      <c r="FI617" s="11"/>
      <c r="FJ617" s="12"/>
      <c r="FK617" s="12"/>
      <c r="FL617" s="11"/>
      <c r="FM617" s="13"/>
      <c r="FN617" s="11"/>
      <c r="FO617" s="11"/>
      <c r="FP617" s="13"/>
      <c r="FQ617" s="11"/>
      <c r="FR617" s="12"/>
      <c r="FS617" s="12"/>
      <c r="FT617" s="11"/>
      <c r="FU617" s="13"/>
      <c r="FV617" s="11">
        <v>4</v>
      </c>
      <c r="FW617" s="11"/>
      <c r="FX617" s="13"/>
      <c r="FY617" s="11"/>
      <c r="FZ617" s="12"/>
      <c r="GA617" s="12"/>
      <c r="GB617" s="11"/>
      <c r="GC617" s="13"/>
      <c r="GD617" s="11"/>
      <c r="GE617" s="11"/>
      <c r="GF617" s="13"/>
      <c r="GG617" s="11"/>
      <c r="GH617" s="12"/>
      <c r="GI617" s="12"/>
      <c r="GJ617" s="11"/>
      <c r="GK617" s="13"/>
      <c r="GL617" s="11"/>
      <c r="GM617" s="11"/>
      <c r="GN617" s="13"/>
      <c r="GO617" s="11"/>
      <c r="GP617" s="12"/>
      <c r="GQ617" s="12"/>
      <c r="GR617" s="11">
        <v>1</v>
      </c>
      <c r="GS617" s="13">
        <v>38.1</v>
      </c>
      <c r="GT617" s="11">
        <v>3</v>
      </c>
      <c r="GU617" s="11"/>
      <c r="GV617" s="13"/>
      <c r="GW617" s="11"/>
      <c r="GX617" s="12"/>
      <c r="GY617" s="12"/>
      <c r="GZ617" s="11">
        <v>15</v>
      </c>
      <c r="HA617" s="13">
        <v>600.14</v>
      </c>
      <c r="HB617" s="11">
        <v>3</v>
      </c>
      <c r="HC617" s="11"/>
      <c r="HD617" s="13"/>
      <c r="HE617" s="11"/>
      <c r="HF617" s="12"/>
      <c r="HG617" s="12"/>
      <c r="HH617" s="11"/>
      <c r="HI617" s="13"/>
      <c r="HJ617" s="11"/>
      <c r="HK617" s="11"/>
      <c r="HL617" s="13"/>
      <c r="HM617" s="11"/>
      <c r="HN617" s="12"/>
      <c r="HO617" s="12"/>
      <c r="HP617" s="11"/>
      <c r="HQ617" s="13"/>
      <c r="HR617" s="11"/>
      <c r="HS617" s="11"/>
      <c r="HT617" s="13"/>
      <c r="HU617" s="11"/>
      <c r="HV617" s="12"/>
      <c r="HW617" s="12"/>
      <c r="HX617" s="11"/>
      <c r="HY617" s="13"/>
      <c r="HZ617" s="11"/>
      <c r="IA617" s="11"/>
      <c r="IB617" s="13"/>
      <c r="IC617" s="11"/>
      <c r="ID617" s="12"/>
      <c r="IE617" s="12"/>
      <c r="IF617" s="11"/>
      <c r="IG617" s="13"/>
      <c r="IH617" s="11"/>
      <c r="II617" s="11"/>
      <c r="IJ617" s="13"/>
      <c r="IK617" s="11"/>
      <c r="IL617" s="12"/>
      <c r="IM617" s="12"/>
      <c r="IN617" s="11"/>
      <c r="IO617" s="13"/>
      <c r="IP617" s="11"/>
      <c r="IQ617" s="11"/>
      <c r="IR617" s="13"/>
      <c r="IS617" s="11"/>
      <c r="IT617" s="12"/>
      <c r="IU617" s="12"/>
      <c r="IV617" s="11"/>
      <c r="IW617" s="13"/>
      <c r="IX617" s="11">
        <v>4</v>
      </c>
      <c r="IY617" s="11"/>
      <c r="IZ617" s="13"/>
      <c r="JA617" s="11"/>
      <c r="JB617" s="12"/>
      <c r="JC617" s="12"/>
      <c r="JD617" s="11"/>
      <c r="JE617" s="13"/>
      <c r="JF617" s="11"/>
      <c r="JG617" s="11"/>
      <c r="JH617" s="13"/>
      <c r="JI617" s="11"/>
      <c r="JJ617" s="12"/>
      <c r="JK617" s="12"/>
      <c r="JL617" s="11"/>
      <c r="JM617" s="13"/>
      <c r="JN617" s="11"/>
      <c r="JO617" s="11"/>
      <c r="JP617" s="13"/>
      <c r="JQ617" s="11"/>
      <c r="JR617" s="12"/>
      <c r="JS617" s="12"/>
      <c r="JT617" s="11"/>
      <c r="JU617" s="13"/>
      <c r="JV617" s="11"/>
      <c r="JW617" s="11"/>
      <c r="JX617" s="13"/>
      <c r="JY617" s="11"/>
      <c r="JZ617" s="12"/>
      <c r="KA617" s="12"/>
      <c r="KB617" s="11"/>
      <c r="KC617" s="13"/>
      <c r="KD617" s="11"/>
      <c r="KE617" s="11"/>
      <c r="KF617" s="13"/>
      <c r="KG617" s="11"/>
      <c r="KH617" s="12"/>
      <c r="KI617" s="12"/>
      <c r="KJ617" s="11"/>
      <c r="KK617" s="13"/>
      <c r="KL617" s="11"/>
      <c r="KM617" s="11"/>
      <c r="KN617" s="13"/>
      <c r="KO617" s="11"/>
      <c r="KP617" s="12"/>
      <c r="KQ617" s="12"/>
      <c r="KR617" s="11"/>
      <c r="KS617" s="13"/>
      <c r="KT617" s="11"/>
      <c r="KU617" s="11"/>
      <c r="KV617" s="13"/>
      <c r="KW617" s="11"/>
      <c r="KX617" s="12"/>
      <c r="KY617" s="12"/>
      <c r="KZ617" s="11"/>
      <c r="LA617" s="13"/>
      <c r="LB617" s="11"/>
      <c r="LC617" s="11"/>
      <c r="LD617" s="13"/>
      <c r="LE617" s="11"/>
      <c r="LF617" s="12"/>
      <c r="LG617" s="12"/>
      <c r="LH617" s="11"/>
      <c r="LI617" s="13"/>
      <c r="LJ617" s="11"/>
      <c r="LK617" s="11"/>
      <c r="LL617" s="13"/>
      <c r="LM617" s="11"/>
      <c r="LN617" s="12"/>
      <c r="LO617" s="12"/>
      <c r="LP617" s="11"/>
      <c r="LQ617" s="13"/>
      <c r="LR617" s="11"/>
      <c r="LS617" s="11"/>
      <c r="LT617" s="13"/>
      <c r="LU617" s="11"/>
      <c r="LV617" s="12"/>
      <c r="LW617" s="12"/>
    </row>
    <row r="618">
      <c r="A618" s="10" t="s">
        <v>300</v>
      </c>
      <c r="B618" s="10" t="s">
        <v>190</v>
      </c>
      <c r="C618" s="10" t="s">
        <v>83</v>
      </c>
      <c r="D618" s="11">
        <v>1878</v>
      </c>
      <c r="E618" s="11">
        <f>=ROUNDDOWN(38.3265306122449,0)</f>
      </c>
      <c r="F618" s="11">
        <v>400</v>
      </c>
      <c r="G618" s="12">
        <v>0.9614</v>
      </c>
      <c r="H618" s="11"/>
      <c r="I618" s="11">
        <f>=ROUNDDOWN({0},0)</f>
      </c>
      <c r="J618" s="11"/>
      <c r="K618" s="12"/>
      <c r="L618" s="11">
        <v>625</v>
      </c>
      <c r="M618" s="13">
        <v>18030.18</v>
      </c>
      <c r="N618" s="11">
        <v>9</v>
      </c>
      <c r="O618" s="14">
        <v>2003.35</v>
      </c>
      <c r="P618" s="11"/>
      <c r="Q618" s="13"/>
      <c r="R618" s="11"/>
      <c r="S618" s="14"/>
      <c r="T618" s="12"/>
      <c r="U618" s="12"/>
      <c r="V618" s="12"/>
      <c r="W618" s="12"/>
      <c r="X618" s="11">
        <v>236</v>
      </c>
      <c r="Y618" s="13">
        <v>7150.65</v>
      </c>
      <c r="Z618" s="11">
        <v>9</v>
      </c>
      <c r="AA618" s="11"/>
      <c r="AB618" s="13"/>
      <c r="AC618" s="11"/>
      <c r="AD618" s="12"/>
      <c r="AE618" s="12"/>
      <c r="AF618" s="11">
        <v>49</v>
      </c>
      <c r="AG618" s="13">
        <v>1187.5</v>
      </c>
      <c r="AH618" s="11">
        <v>9</v>
      </c>
      <c r="AI618" s="11"/>
      <c r="AJ618" s="13"/>
      <c r="AK618" s="11"/>
      <c r="AL618" s="12"/>
      <c r="AM618" s="12"/>
      <c r="AN618" s="11">
        <v>42</v>
      </c>
      <c r="AO618" s="13">
        <v>1175.78</v>
      </c>
      <c r="AP618" s="11">
        <v>9</v>
      </c>
      <c r="AQ618" s="11"/>
      <c r="AR618" s="13"/>
      <c r="AS618" s="11"/>
      <c r="AT618" s="12"/>
      <c r="AU618" s="12"/>
      <c r="AV618" s="11">
        <v>113</v>
      </c>
      <c r="AW618" s="13">
        <v>3266.48</v>
      </c>
      <c r="AX618" s="11">
        <v>7</v>
      </c>
      <c r="AY618" s="11"/>
      <c r="AZ618" s="13"/>
      <c r="BA618" s="11"/>
      <c r="BB618" s="12"/>
      <c r="BC618" s="12"/>
      <c r="BD618" s="11">
        <v>101</v>
      </c>
      <c r="BE618" s="13">
        <v>2565.34</v>
      </c>
      <c r="BF618" s="11">
        <v>9</v>
      </c>
      <c r="BG618" s="11"/>
      <c r="BH618" s="13"/>
      <c r="BI618" s="11"/>
      <c r="BJ618" s="12"/>
      <c r="BK618" s="12"/>
      <c r="BL618" s="11">
        <v>4</v>
      </c>
      <c r="BM618" s="13">
        <v>116.64</v>
      </c>
      <c r="BN618" s="11">
        <v>9</v>
      </c>
      <c r="BO618" s="11"/>
      <c r="BP618" s="13"/>
      <c r="BQ618" s="11"/>
      <c r="BR618" s="12"/>
      <c r="BS618" s="12"/>
      <c r="BT618" s="11">
        <v>15</v>
      </c>
      <c r="BU618" s="13">
        <v>464.97</v>
      </c>
      <c r="BV618" s="11">
        <v>9</v>
      </c>
      <c r="BW618" s="11"/>
      <c r="BX618" s="13"/>
      <c r="BY618" s="11"/>
      <c r="BZ618" s="12"/>
      <c r="CA618" s="12"/>
      <c r="CB618" s="11">
        <v>57</v>
      </c>
      <c r="CC618" s="13">
        <v>1794.43</v>
      </c>
      <c r="CD618" s="11">
        <v>7</v>
      </c>
      <c r="CE618" s="11"/>
      <c r="CF618" s="13"/>
      <c r="CG618" s="11"/>
      <c r="CH618" s="12"/>
      <c r="CI618" s="12"/>
      <c r="CJ618" s="11">
        <v>2</v>
      </c>
      <c r="CK618" s="13">
        <v>92.12</v>
      </c>
      <c r="CL618" s="11">
        <v>9</v>
      </c>
      <c r="CM618" s="11"/>
      <c r="CN618" s="13"/>
      <c r="CO618" s="11"/>
      <c r="CP618" s="12"/>
      <c r="CQ618" s="12"/>
      <c r="CR618" s="11"/>
      <c r="CS618" s="13"/>
      <c r="CT618" s="11"/>
      <c r="CU618" s="11"/>
      <c r="CV618" s="13"/>
      <c r="CW618" s="11"/>
      <c r="CX618" s="12"/>
      <c r="CY618" s="12"/>
      <c r="CZ618" s="11"/>
      <c r="DA618" s="13"/>
      <c r="DB618" s="11"/>
      <c r="DC618" s="11"/>
      <c r="DD618" s="13"/>
      <c r="DE618" s="11"/>
      <c r="DF618" s="12"/>
      <c r="DG618" s="12"/>
      <c r="DH618" s="11">
        <v>3</v>
      </c>
      <c r="DI618" s="13">
        <v>94.5</v>
      </c>
      <c r="DJ618" s="11">
        <v>4</v>
      </c>
      <c r="DK618" s="11"/>
      <c r="DL618" s="13"/>
      <c r="DM618" s="11"/>
      <c r="DN618" s="12"/>
      <c r="DO618" s="12"/>
      <c r="DP618" s="11"/>
      <c r="DQ618" s="13"/>
      <c r="DR618" s="11">
        <v>9</v>
      </c>
      <c r="DS618" s="11"/>
      <c r="DT618" s="13"/>
      <c r="DU618" s="11"/>
      <c r="DV618" s="12"/>
      <c r="DW618" s="12"/>
      <c r="DX618" s="11">
        <v>2</v>
      </c>
      <c r="DY618" s="13">
        <v>57.29</v>
      </c>
      <c r="DZ618" s="11">
        <v>9</v>
      </c>
      <c r="EA618" s="11"/>
      <c r="EB618" s="13"/>
      <c r="EC618" s="11"/>
      <c r="ED618" s="12"/>
      <c r="EE618" s="12"/>
      <c r="EF618" s="11"/>
      <c r="EG618" s="13"/>
      <c r="EH618" s="11"/>
      <c r="EI618" s="11"/>
      <c r="EJ618" s="13"/>
      <c r="EK618" s="11"/>
      <c r="EL618" s="12"/>
      <c r="EM618" s="12"/>
      <c r="EN618" s="11">
        <v>1</v>
      </c>
      <c r="EO618" s="13">
        <v>64.48</v>
      </c>
      <c r="EP618" s="11">
        <v>9</v>
      </c>
      <c r="EQ618" s="11"/>
      <c r="ER618" s="13"/>
      <c r="ES618" s="11"/>
      <c r="ET618" s="12"/>
      <c r="EU618" s="12"/>
      <c r="EV618" s="11"/>
      <c r="EW618" s="13"/>
      <c r="EX618" s="11"/>
      <c r="EY618" s="11"/>
      <c r="EZ618" s="13"/>
      <c r="FA618" s="11"/>
      <c r="FB618" s="12"/>
      <c r="FC618" s="12"/>
      <c r="FD618" s="11"/>
      <c r="FE618" s="13"/>
      <c r="FF618" s="11"/>
      <c r="FG618" s="11"/>
      <c r="FH618" s="13"/>
      <c r="FI618" s="11"/>
      <c r="FJ618" s="12"/>
      <c r="FK618" s="12"/>
      <c r="FL618" s="11"/>
      <c r="FM618" s="13"/>
      <c r="FN618" s="11"/>
      <c r="FO618" s="11"/>
      <c r="FP618" s="13"/>
      <c r="FQ618" s="11"/>
      <c r="FR618" s="12"/>
      <c r="FS618" s="12"/>
      <c r="FT618" s="11"/>
      <c r="FU618" s="13"/>
      <c r="FV618" s="11"/>
      <c r="FW618" s="11"/>
      <c r="FX618" s="13"/>
      <c r="FY618" s="11"/>
      <c r="FZ618" s="12"/>
      <c r="GA618" s="12"/>
      <c r="GB618" s="11"/>
      <c r="GC618" s="13"/>
      <c r="GD618" s="11"/>
      <c r="GE618" s="11"/>
      <c r="GF618" s="13"/>
      <c r="GG618" s="11"/>
      <c r="GH618" s="12"/>
      <c r="GI618" s="12"/>
      <c r="GJ618" s="11"/>
      <c r="GK618" s="13"/>
      <c r="GL618" s="11"/>
      <c r="GM618" s="11"/>
      <c r="GN618" s="13"/>
      <c r="GO618" s="11"/>
      <c r="GP618" s="12"/>
      <c r="GQ618" s="12"/>
      <c r="GR618" s="11"/>
      <c r="GS618" s="13"/>
      <c r="GT618" s="11"/>
      <c r="GU618" s="11"/>
      <c r="GV618" s="13"/>
      <c r="GW618" s="11"/>
      <c r="GX618" s="12"/>
      <c r="GY618" s="12"/>
      <c r="GZ618" s="11"/>
      <c r="HA618" s="13"/>
      <c r="HB618" s="11">
        <v>2</v>
      </c>
      <c r="HC618" s="11"/>
      <c r="HD618" s="13"/>
      <c r="HE618" s="11"/>
      <c r="HF618" s="12"/>
      <c r="HG618" s="12"/>
      <c r="HH618" s="11"/>
      <c r="HI618" s="13"/>
      <c r="HJ618" s="11"/>
      <c r="HK618" s="11"/>
      <c r="HL618" s="13"/>
      <c r="HM618" s="11"/>
      <c r="HN618" s="12"/>
      <c r="HO618" s="12"/>
      <c r="HP618" s="11"/>
      <c r="HQ618" s="13"/>
      <c r="HR618" s="11"/>
      <c r="HS618" s="11"/>
      <c r="HT618" s="13"/>
      <c r="HU618" s="11"/>
      <c r="HV618" s="12"/>
      <c r="HW618" s="12"/>
      <c r="HX618" s="11"/>
      <c r="HY618" s="13"/>
      <c r="HZ618" s="11"/>
      <c r="IA618" s="11"/>
      <c r="IB618" s="13"/>
      <c r="IC618" s="11"/>
      <c r="ID618" s="12"/>
      <c r="IE618" s="12"/>
      <c r="IF618" s="11"/>
      <c r="IG618" s="13"/>
      <c r="IH618" s="11"/>
      <c r="II618" s="11"/>
      <c r="IJ618" s="13"/>
      <c r="IK618" s="11"/>
      <c r="IL618" s="12"/>
      <c r="IM618" s="12"/>
      <c r="IN618" s="11"/>
      <c r="IO618" s="13"/>
      <c r="IP618" s="11"/>
      <c r="IQ618" s="11"/>
      <c r="IR618" s="13"/>
      <c r="IS618" s="11"/>
      <c r="IT618" s="12"/>
      <c r="IU618" s="12"/>
      <c r="IV618" s="11"/>
      <c r="IW618" s="13"/>
      <c r="IX618" s="11">
        <v>5</v>
      </c>
      <c r="IY618" s="11"/>
      <c r="IZ618" s="13"/>
      <c r="JA618" s="11"/>
      <c r="JB618" s="12"/>
      <c r="JC618" s="12"/>
      <c r="JD618" s="11"/>
      <c r="JE618" s="13"/>
      <c r="JF618" s="11"/>
      <c r="JG618" s="11"/>
      <c r="JH618" s="13"/>
      <c r="JI618" s="11"/>
      <c r="JJ618" s="12"/>
      <c r="JK618" s="12"/>
      <c r="JL618" s="11"/>
      <c r="JM618" s="13"/>
      <c r="JN618" s="11"/>
      <c r="JO618" s="11"/>
      <c r="JP618" s="13"/>
      <c r="JQ618" s="11"/>
      <c r="JR618" s="12"/>
      <c r="JS618" s="12"/>
      <c r="JT618" s="11"/>
      <c r="JU618" s="13"/>
      <c r="JV618" s="11">
        <v>3</v>
      </c>
      <c r="JW618" s="11"/>
      <c r="JX618" s="13"/>
      <c r="JY618" s="11"/>
      <c r="JZ618" s="12"/>
      <c r="KA618" s="12"/>
      <c r="KB618" s="11"/>
      <c r="KC618" s="13"/>
      <c r="KD618" s="11"/>
      <c r="KE618" s="11"/>
      <c r="KF618" s="13"/>
      <c r="KG618" s="11"/>
      <c r="KH618" s="12"/>
      <c r="KI618" s="12"/>
      <c r="KJ618" s="11"/>
      <c r="KK618" s="13"/>
      <c r="KL618" s="11"/>
      <c r="KM618" s="11"/>
      <c r="KN618" s="13"/>
      <c r="KO618" s="11"/>
      <c r="KP618" s="12"/>
      <c r="KQ618" s="12"/>
      <c r="KR618" s="11"/>
      <c r="KS618" s="13"/>
      <c r="KT618" s="11"/>
      <c r="KU618" s="11"/>
      <c r="KV618" s="13"/>
      <c r="KW618" s="11"/>
      <c r="KX618" s="12"/>
      <c r="KY618" s="12"/>
      <c r="KZ618" s="11"/>
      <c r="LA618" s="13"/>
      <c r="LB618" s="11"/>
      <c r="LC618" s="11"/>
      <c r="LD618" s="13"/>
      <c r="LE618" s="11"/>
      <c r="LF618" s="12"/>
      <c r="LG618" s="12"/>
      <c r="LH618" s="11"/>
      <c r="LI618" s="13"/>
      <c r="LJ618" s="11"/>
      <c r="LK618" s="11"/>
      <c r="LL618" s="13"/>
      <c r="LM618" s="11"/>
      <c r="LN618" s="12"/>
      <c r="LO618" s="12"/>
      <c r="LP618" s="11"/>
      <c r="LQ618" s="13"/>
      <c r="LR618" s="11"/>
      <c r="LS618" s="11"/>
      <c r="LT618" s="13"/>
      <c r="LU618" s="11"/>
      <c r="LV618" s="12"/>
      <c r="LW618" s="12"/>
    </row>
    <row r="619">
      <c r="A619" s="10" t="s">
        <v>300</v>
      </c>
      <c r="B619" s="10" t="s">
        <v>190</v>
      </c>
      <c r="C619" s="10" t="s">
        <v>115</v>
      </c>
      <c r="D619" s="11"/>
      <c r="E619" s="11">
        <f>=ROUNDDOWN({0},0)</f>
      </c>
      <c r="F619" s="11"/>
      <c r="G619" s="12"/>
      <c r="H619" s="11"/>
      <c r="I619" s="11">
        <f>=ROUNDDOWN({0},0)</f>
      </c>
      <c r="J619" s="11"/>
      <c r="K619" s="12"/>
      <c r="L619" s="11">
        <v>80</v>
      </c>
      <c r="M619" s="13">
        <v>1355.46</v>
      </c>
      <c r="N619" s="11">
        <v>1</v>
      </c>
      <c r="O619" s="14">
        <v>1355.46</v>
      </c>
      <c r="P619" s="11"/>
      <c r="Q619" s="13"/>
      <c r="R619" s="11"/>
      <c r="S619" s="14"/>
      <c r="T619" s="12"/>
      <c r="U619" s="12"/>
      <c r="V619" s="12"/>
      <c r="W619" s="12"/>
      <c r="X619" s="11">
        <v>24</v>
      </c>
      <c r="Y619" s="13">
        <v>428.16</v>
      </c>
      <c r="Z619" s="11">
        <v>1</v>
      </c>
      <c r="AA619" s="11"/>
      <c r="AB619" s="13"/>
      <c r="AC619" s="11"/>
      <c r="AD619" s="12"/>
      <c r="AE619" s="12"/>
      <c r="AF619" s="11">
        <v>8</v>
      </c>
      <c r="AG619" s="13">
        <v>111.49</v>
      </c>
      <c r="AH619" s="11">
        <v>1</v>
      </c>
      <c r="AI619" s="11"/>
      <c r="AJ619" s="13"/>
      <c r="AK619" s="11"/>
      <c r="AL619" s="12"/>
      <c r="AM619" s="12"/>
      <c r="AN619" s="11">
        <v>10</v>
      </c>
      <c r="AO619" s="13">
        <v>159.8</v>
      </c>
      <c r="AP619" s="11">
        <v>1</v>
      </c>
      <c r="AQ619" s="11"/>
      <c r="AR619" s="13"/>
      <c r="AS619" s="11"/>
      <c r="AT619" s="12"/>
      <c r="AU619" s="12"/>
      <c r="AV619" s="11"/>
      <c r="AW619" s="13"/>
      <c r="AX619" s="11"/>
      <c r="AY619" s="11"/>
      <c r="AZ619" s="13"/>
      <c r="BA619" s="11"/>
      <c r="BB619" s="12"/>
      <c r="BC619" s="12"/>
      <c r="BD619" s="11">
        <v>21</v>
      </c>
      <c r="BE619" s="13">
        <v>374.64</v>
      </c>
      <c r="BF619" s="11">
        <v>1</v>
      </c>
      <c r="BG619" s="11"/>
      <c r="BH619" s="13"/>
      <c r="BI619" s="11"/>
      <c r="BJ619" s="12"/>
      <c r="BK619" s="12"/>
      <c r="BL619" s="11">
        <v>6</v>
      </c>
      <c r="BM619" s="13">
        <v>66</v>
      </c>
      <c r="BN619" s="11">
        <v>1</v>
      </c>
      <c r="BO619" s="11"/>
      <c r="BP619" s="13"/>
      <c r="BQ619" s="11"/>
      <c r="BR619" s="12"/>
      <c r="BS619" s="12"/>
      <c r="BT619" s="11">
        <v>5</v>
      </c>
      <c r="BU619" s="13">
        <v>98.97</v>
      </c>
      <c r="BV619" s="11">
        <v>1</v>
      </c>
      <c r="BW619" s="11"/>
      <c r="BX619" s="13"/>
      <c r="BY619" s="11"/>
      <c r="BZ619" s="12"/>
      <c r="CA619" s="12"/>
      <c r="CB619" s="11"/>
      <c r="CC619" s="13"/>
      <c r="CD619" s="11"/>
      <c r="CE619" s="11"/>
      <c r="CF619" s="13"/>
      <c r="CG619" s="11"/>
      <c r="CH619" s="12"/>
      <c r="CI619" s="12"/>
      <c r="CJ619" s="11"/>
      <c r="CK619" s="13"/>
      <c r="CL619" s="11">
        <v>1</v>
      </c>
      <c r="CM619" s="11"/>
      <c r="CN619" s="13"/>
      <c r="CO619" s="11"/>
      <c r="CP619" s="12"/>
      <c r="CQ619" s="12"/>
      <c r="CR619" s="11"/>
      <c r="CS619" s="13"/>
      <c r="CT619" s="11"/>
      <c r="CU619" s="11"/>
      <c r="CV619" s="13"/>
      <c r="CW619" s="11"/>
      <c r="CX619" s="12"/>
      <c r="CY619" s="12"/>
      <c r="CZ619" s="11"/>
      <c r="DA619" s="13"/>
      <c r="DB619" s="11"/>
      <c r="DC619" s="11"/>
      <c r="DD619" s="13"/>
      <c r="DE619" s="11"/>
      <c r="DF619" s="12"/>
      <c r="DG619" s="12"/>
      <c r="DH619" s="11"/>
      <c r="DI619" s="13"/>
      <c r="DJ619" s="11">
        <v>1</v>
      </c>
      <c r="DK619" s="11"/>
      <c r="DL619" s="13"/>
      <c r="DM619" s="11"/>
      <c r="DN619" s="12"/>
      <c r="DO619" s="12"/>
      <c r="DP619" s="11"/>
      <c r="DQ619" s="13"/>
      <c r="DR619" s="11">
        <v>1</v>
      </c>
      <c r="DS619" s="11"/>
      <c r="DT619" s="13"/>
      <c r="DU619" s="11"/>
      <c r="DV619" s="12"/>
      <c r="DW619" s="12"/>
      <c r="DX619" s="11"/>
      <c r="DY619" s="13"/>
      <c r="DZ619" s="11">
        <v>1</v>
      </c>
      <c r="EA619" s="11"/>
      <c r="EB619" s="13"/>
      <c r="EC619" s="11"/>
      <c r="ED619" s="12"/>
      <c r="EE619" s="12"/>
      <c r="EF619" s="11"/>
      <c r="EG619" s="13"/>
      <c r="EH619" s="11"/>
      <c r="EI619" s="11"/>
      <c r="EJ619" s="13"/>
      <c r="EK619" s="11"/>
      <c r="EL619" s="12"/>
      <c r="EM619" s="12"/>
      <c r="EN619" s="11"/>
      <c r="EO619" s="13"/>
      <c r="EP619" s="11">
        <v>1</v>
      </c>
      <c r="EQ619" s="11"/>
      <c r="ER619" s="13"/>
      <c r="ES619" s="11"/>
      <c r="ET619" s="12"/>
      <c r="EU619" s="12"/>
      <c r="EV619" s="11"/>
      <c r="EW619" s="13"/>
      <c r="EX619" s="11"/>
      <c r="EY619" s="11"/>
      <c r="EZ619" s="13"/>
      <c r="FA619" s="11"/>
      <c r="FB619" s="12"/>
      <c r="FC619" s="12"/>
      <c r="FD619" s="11"/>
      <c r="FE619" s="13"/>
      <c r="FF619" s="11"/>
      <c r="FG619" s="11"/>
      <c r="FH619" s="13"/>
      <c r="FI619" s="11"/>
      <c r="FJ619" s="12"/>
      <c r="FK619" s="12"/>
      <c r="FL619" s="11"/>
      <c r="FM619" s="13"/>
      <c r="FN619" s="11"/>
      <c r="FO619" s="11"/>
      <c r="FP619" s="13"/>
      <c r="FQ619" s="11"/>
      <c r="FR619" s="12"/>
      <c r="FS619" s="12"/>
      <c r="FT619" s="11"/>
      <c r="FU619" s="13"/>
      <c r="FV619" s="11"/>
      <c r="FW619" s="11"/>
      <c r="FX619" s="13"/>
      <c r="FY619" s="11"/>
      <c r="FZ619" s="12"/>
      <c r="GA619" s="12"/>
      <c r="GB619" s="11"/>
      <c r="GC619" s="13"/>
      <c r="GD619" s="11"/>
      <c r="GE619" s="11"/>
      <c r="GF619" s="13"/>
      <c r="GG619" s="11"/>
      <c r="GH619" s="12"/>
      <c r="GI619" s="12"/>
      <c r="GJ619" s="11"/>
      <c r="GK619" s="13"/>
      <c r="GL619" s="11"/>
      <c r="GM619" s="11"/>
      <c r="GN619" s="13"/>
      <c r="GO619" s="11"/>
      <c r="GP619" s="12"/>
      <c r="GQ619" s="12"/>
      <c r="GR619" s="11"/>
      <c r="GS619" s="13"/>
      <c r="GT619" s="11"/>
      <c r="GU619" s="11"/>
      <c r="GV619" s="13"/>
      <c r="GW619" s="11"/>
      <c r="GX619" s="12"/>
      <c r="GY619" s="12"/>
      <c r="GZ619" s="11">
        <v>6</v>
      </c>
      <c r="HA619" s="13">
        <v>116.4</v>
      </c>
      <c r="HB619" s="11">
        <v>1</v>
      </c>
      <c r="HC619" s="11"/>
      <c r="HD619" s="13"/>
      <c r="HE619" s="11"/>
      <c r="HF619" s="12"/>
      <c r="HG619" s="12"/>
      <c r="HH619" s="11"/>
      <c r="HI619" s="13"/>
      <c r="HJ619" s="11"/>
      <c r="HK619" s="11"/>
      <c r="HL619" s="13"/>
      <c r="HM619" s="11"/>
      <c r="HN619" s="12"/>
      <c r="HO619" s="12"/>
      <c r="HP619" s="11"/>
      <c r="HQ619" s="13"/>
      <c r="HR619" s="11"/>
      <c r="HS619" s="11"/>
      <c r="HT619" s="13"/>
      <c r="HU619" s="11"/>
      <c r="HV619" s="12"/>
      <c r="HW619" s="12"/>
      <c r="HX619" s="11"/>
      <c r="HY619" s="13"/>
      <c r="HZ619" s="11"/>
      <c r="IA619" s="11"/>
      <c r="IB619" s="13"/>
      <c r="IC619" s="11"/>
      <c r="ID619" s="12"/>
      <c r="IE619" s="12"/>
      <c r="IF619" s="11"/>
      <c r="IG619" s="13"/>
      <c r="IH619" s="11"/>
      <c r="II619" s="11"/>
      <c r="IJ619" s="13"/>
      <c r="IK619" s="11"/>
      <c r="IL619" s="12"/>
      <c r="IM619" s="12"/>
      <c r="IN619" s="11"/>
      <c r="IO619" s="13"/>
      <c r="IP619" s="11"/>
      <c r="IQ619" s="11"/>
      <c r="IR619" s="13"/>
      <c r="IS619" s="11"/>
      <c r="IT619" s="12"/>
      <c r="IU619" s="12"/>
      <c r="IV619" s="11"/>
      <c r="IW619" s="13"/>
      <c r="IX619" s="11"/>
      <c r="IY619" s="11"/>
      <c r="IZ619" s="13"/>
      <c r="JA619" s="11"/>
      <c r="JB619" s="12"/>
      <c r="JC619" s="12"/>
      <c r="JD619" s="11"/>
      <c r="JE619" s="13"/>
      <c r="JF619" s="11"/>
      <c r="JG619" s="11"/>
      <c r="JH619" s="13"/>
      <c r="JI619" s="11"/>
      <c r="JJ619" s="12"/>
      <c r="JK619" s="12"/>
      <c r="JL619" s="11"/>
      <c r="JM619" s="13"/>
      <c r="JN619" s="11"/>
      <c r="JO619" s="11"/>
      <c r="JP619" s="13"/>
      <c r="JQ619" s="11"/>
      <c r="JR619" s="12"/>
      <c r="JS619" s="12"/>
      <c r="JT619" s="11"/>
      <c r="JU619" s="13"/>
      <c r="JV619" s="11">
        <v>1</v>
      </c>
      <c r="JW619" s="11"/>
      <c r="JX619" s="13"/>
      <c r="JY619" s="11"/>
      <c r="JZ619" s="12"/>
      <c r="KA619" s="12"/>
      <c r="KB619" s="11"/>
      <c r="KC619" s="13"/>
      <c r="KD619" s="11"/>
      <c r="KE619" s="11"/>
      <c r="KF619" s="13"/>
      <c r="KG619" s="11"/>
      <c r="KH619" s="12"/>
      <c r="KI619" s="12"/>
      <c r="KJ619" s="11"/>
      <c r="KK619" s="13"/>
      <c r="KL619" s="11"/>
      <c r="KM619" s="11"/>
      <c r="KN619" s="13"/>
      <c r="KO619" s="11"/>
      <c r="KP619" s="12"/>
      <c r="KQ619" s="12"/>
      <c r="KR619" s="11"/>
      <c r="KS619" s="13"/>
      <c r="KT619" s="11"/>
      <c r="KU619" s="11"/>
      <c r="KV619" s="13"/>
      <c r="KW619" s="11"/>
      <c r="KX619" s="12"/>
      <c r="KY619" s="12"/>
      <c r="KZ619" s="11"/>
      <c r="LA619" s="13"/>
      <c r="LB619" s="11"/>
      <c r="LC619" s="11"/>
      <c r="LD619" s="13"/>
      <c r="LE619" s="11"/>
      <c r="LF619" s="12"/>
      <c r="LG619" s="12"/>
      <c r="LH619" s="11"/>
      <c r="LI619" s="13"/>
      <c r="LJ619" s="11"/>
      <c r="LK619" s="11"/>
      <c r="LL619" s="13"/>
      <c r="LM619" s="11"/>
      <c r="LN619" s="12"/>
      <c r="LO619" s="12"/>
      <c r="LP619" s="11"/>
      <c r="LQ619" s="13"/>
      <c r="LR619" s="11"/>
      <c r="LS619" s="11"/>
      <c r="LT619" s="13"/>
      <c r="LU619" s="11"/>
      <c r="LV619" s="12"/>
      <c r="LW619" s="12"/>
    </row>
    <row r="620">
      <c r="A620" s="10" t="s">
        <v>300</v>
      </c>
      <c r="B620" s="10" t="s">
        <v>191</v>
      </c>
      <c r="C620" s="10" t="s">
        <v>77</v>
      </c>
      <c r="D620" s="11">
        <v>20026</v>
      </c>
      <c r="E620" s="11">
        <f>=ROUNDDOWN({0},0)</f>
      </c>
      <c r="F620" s="11">
        <v>7200</v>
      </c>
      <c r="G620" s="12"/>
      <c r="H620" s="11"/>
      <c r="I620" s="11">
        <f>=ROUNDDOWN({0},0)</f>
      </c>
      <c r="J620" s="11"/>
      <c r="K620" s="12"/>
      <c r="L620" s="11">
        <v>9546</v>
      </c>
      <c r="M620" s="13">
        <v>352126.08</v>
      </c>
      <c r="N620" s="11">
        <v>55</v>
      </c>
      <c r="O620" s="14">
        <v>6402.29</v>
      </c>
      <c r="P620" s="11"/>
      <c r="Q620" s="13"/>
      <c r="R620" s="11"/>
      <c r="S620" s="14"/>
      <c r="T620" s="12"/>
      <c r="U620" s="12"/>
      <c r="V620" s="12"/>
      <c r="W620" s="12"/>
      <c r="X620" s="11">
        <v>3278</v>
      </c>
      <c r="Y620" s="13">
        <v>125294.74</v>
      </c>
      <c r="Z620" s="11">
        <v>50</v>
      </c>
      <c r="AA620" s="11"/>
      <c r="AB620" s="13"/>
      <c r="AC620" s="11"/>
      <c r="AD620" s="12"/>
      <c r="AE620" s="12"/>
      <c r="AF620" s="11">
        <v>627</v>
      </c>
      <c r="AG620" s="13">
        <v>18834.96</v>
      </c>
      <c r="AH620" s="11">
        <v>55</v>
      </c>
      <c r="AI620" s="11"/>
      <c r="AJ620" s="13"/>
      <c r="AK620" s="11"/>
      <c r="AL620" s="12"/>
      <c r="AM620" s="12"/>
      <c r="AN620" s="11">
        <v>1317</v>
      </c>
      <c r="AO620" s="13">
        <v>46334.65</v>
      </c>
      <c r="AP620" s="11">
        <v>55</v>
      </c>
      <c r="AQ620" s="11"/>
      <c r="AR620" s="13"/>
      <c r="AS620" s="11"/>
      <c r="AT620" s="12"/>
      <c r="AU620" s="12"/>
      <c r="AV620" s="11">
        <v>1084</v>
      </c>
      <c r="AW620" s="13">
        <v>39581.14</v>
      </c>
      <c r="AX620" s="11">
        <v>36</v>
      </c>
      <c r="AY620" s="11"/>
      <c r="AZ620" s="13"/>
      <c r="BA620" s="11"/>
      <c r="BB620" s="12"/>
      <c r="BC620" s="12"/>
      <c r="BD620" s="11">
        <v>1143</v>
      </c>
      <c r="BE620" s="13">
        <v>39254.43</v>
      </c>
      <c r="BF620" s="11">
        <v>51</v>
      </c>
      <c r="BG620" s="11"/>
      <c r="BH620" s="13"/>
      <c r="BI620" s="11"/>
      <c r="BJ620" s="12"/>
      <c r="BK620" s="12"/>
      <c r="BL620" s="11">
        <v>237</v>
      </c>
      <c r="BM620" s="13">
        <v>9324.77</v>
      </c>
      <c r="BN620" s="11">
        <v>55</v>
      </c>
      <c r="BO620" s="11"/>
      <c r="BP620" s="13"/>
      <c r="BQ620" s="11"/>
      <c r="BR620" s="12"/>
      <c r="BS620" s="12"/>
      <c r="BT620" s="11">
        <v>249</v>
      </c>
      <c r="BU620" s="13">
        <v>9189.39</v>
      </c>
      <c r="BV620" s="11">
        <v>55</v>
      </c>
      <c r="BW620" s="11"/>
      <c r="BX620" s="13"/>
      <c r="BY620" s="11"/>
      <c r="BZ620" s="12"/>
      <c r="CA620" s="12"/>
      <c r="CB620" s="11">
        <v>858</v>
      </c>
      <c r="CC620" s="13">
        <v>32203.62</v>
      </c>
      <c r="CD620" s="11">
        <v>50</v>
      </c>
      <c r="CE620" s="11"/>
      <c r="CF620" s="13"/>
      <c r="CG620" s="11"/>
      <c r="CH620" s="12"/>
      <c r="CI620" s="12"/>
      <c r="CJ620" s="11">
        <v>232</v>
      </c>
      <c r="CK620" s="13">
        <v>10906.32</v>
      </c>
      <c r="CL620" s="11">
        <v>55</v>
      </c>
      <c r="CM620" s="11"/>
      <c r="CN620" s="13"/>
      <c r="CO620" s="11"/>
      <c r="CP620" s="12"/>
      <c r="CQ620" s="12"/>
      <c r="CR620" s="11"/>
      <c r="CS620" s="13"/>
      <c r="CT620" s="11"/>
      <c r="CU620" s="11"/>
      <c r="CV620" s="13"/>
      <c r="CW620" s="11"/>
      <c r="CX620" s="12"/>
      <c r="CY620" s="12"/>
      <c r="CZ620" s="11"/>
      <c r="DA620" s="13"/>
      <c r="DB620" s="11"/>
      <c r="DC620" s="11"/>
      <c r="DD620" s="13"/>
      <c r="DE620" s="11"/>
      <c r="DF620" s="12"/>
      <c r="DG620" s="12"/>
      <c r="DH620" s="11">
        <v>3</v>
      </c>
      <c r="DI620" s="13">
        <v>94.5</v>
      </c>
      <c r="DJ620" s="11">
        <v>6</v>
      </c>
      <c r="DK620" s="11"/>
      <c r="DL620" s="13"/>
      <c r="DM620" s="11"/>
      <c r="DN620" s="12"/>
      <c r="DO620" s="12"/>
      <c r="DP620" s="11">
        <v>113</v>
      </c>
      <c r="DQ620" s="13">
        <v>4165.39</v>
      </c>
      <c r="DR620" s="11">
        <v>55</v>
      </c>
      <c r="DS620" s="11"/>
      <c r="DT620" s="13"/>
      <c r="DU620" s="11"/>
      <c r="DV620" s="12"/>
      <c r="DW620" s="12"/>
      <c r="DX620" s="11">
        <v>142</v>
      </c>
      <c r="DY620" s="13">
        <v>4818.21</v>
      </c>
      <c r="DZ620" s="11">
        <v>55</v>
      </c>
      <c r="EA620" s="11"/>
      <c r="EB620" s="13"/>
      <c r="EC620" s="11"/>
      <c r="ED620" s="12"/>
      <c r="EE620" s="12"/>
      <c r="EF620" s="11"/>
      <c r="EG620" s="13"/>
      <c r="EH620" s="11"/>
      <c r="EI620" s="11"/>
      <c r="EJ620" s="13"/>
      <c r="EK620" s="11"/>
      <c r="EL620" s="12"/>
      <c r="EM620" s="12"/>
      <c r="EN620" s="11">
        <v>111</v>
      </c>
      <c r="EO620" s="13">
        <v>6701.84</v>
      </c>
      <c r="EP620" s="11">
        <v>55</v>
      </c>
      <c r="EQ620" s="11"/>
      <c r="ER620" s="13"/>
      <c r="ES620" s="11"/>
      <c r="ET620" s="12"/>
      <c r="EU620" s="12"/>
      <c r="EV620" s="11">
        <v>16</v>
      </c>
      <c r="EW620" s="13">
        <v>517.08</v>
      </c>
      <c r="EX620" s="11">
        <v>2</v>
      </c>
      <c r="EY620" s="11"/>
      <c r="EZ620" s="13"/>
      <c r="FA620" s="11"/>
      <c r="FB620" s="12"/>
      <c r="FC620" s="12"/>
      <c r="FD620" s="11">
        <v>89</v>
      </c>
      <c r="FE620" s="13">
        <v>3187.8</v>
      </c>
      <c r="FF620" s="11">
        <v>10</v>
      </c>
      <c r="FG620" s="11"/>
      <c r="FH620" s="13"/>
      <c r="FI620" s="11"/>
      <c r="FJ620" s="12"/>
      <c r="FK620" s="12"/>
      <c r="FL620" s="11"/>
      <c r="FM620" s="13"/>
      <c r="FN620" s="11"/>
      <c r="FO620" s="11"/>
      <c r="FP620" s="13"/>
      <c r="FQ620" s="11"/>
      <c r="FR620" s="12"/>
      <c r="FS620" s="12"/>
      <c r="FT620" s="11">
        <v>7</v>
      </c>
      <c r="FU620" s="13">
        <v>273.52</v>
      </c>
      <c r="FV620" s="11">
        <v>35</v>
      </c>
      <c r="FW620" s="11"/>
      <c r="FX620" s="13"/>
      <c r="FY620" s="11"/>
      <c r="FZ620" s="12"/>
      <c r="GA620" s="12"/>
      <c r="GB620" s="11">
        <v>3</v>
      </c>
      <c r="GC620" s="13">
        <v>120.29</v>
      </c>
      <c r="GD620" s="11">
        <v>7</v>
      </c>
      <c r="GE620" s="11"/>
      <c r="GF620" s="13"/>
      <c r="GG620" s="11"/>
      <c r="GH620" s="12"/>
      <c r="GI620" s="12"/>
      <c r="GJ620" s="11"/>
      <c r="GK620" s="13"/>
      <c r="GL620" s="11"/>
      <c r="GM620" s="11"/>
      <c r="GN620" s="13"/>
      <c r="GO620" s="11"/>
      <c r="GP620" s="12"/>
      <c r="GQ620" s="12"/>
      <c r="GR620" s="11">
        <v>1</v>
      </c>
      <c r="GS620" s="13">
        <v>38.1</v>
      </c>
      <c r="GT620" s="11">
        <v>14</v>
      </c>
      <c r="GU620" s="11"/>
      <c r="GV620" s="13"/>
      <c r="GW620" s="11"/>
      <c r="GX620" s="12"/>
      <c r="GY620" s="12"/>
      <c r="GZ620" s="11">
        <v>26</v>
      </c>
      <c r="HA620" s="13">
        <v>921.74</v>
      </c>
      <c r="HB620" s="11">
        <v>14</v>
      </c>
      <c r="HC620" s="11"/>
      <c r="HD620" s="13"/>
      <c r="HE620" s="11"/>
      <c r="HF620" s="12"/>
      <c r="HG620" s="12"/>
      <c r="HH620" s="11"/>
      <c r="HI620" s="13"/>
      <c r="HJ620" s="11"/>
      <c r="HK620" s="11"/>
      <c r="HL620" s="13"/>
      <c r="HM620" s="11"/>
      <c r="HN620" s="12"/>
      <c r="HO620" s="12"/>
      <c r="HP620" s="11"/>
      <c r="HQ620" s="13"/>
      <c r="HR620" s="11"/>
      <c r="HS620" s="11"/>
      <c r="HT620" s="13"/>
      <c r="HU620" s="11"/>
      <c r="HV620" s="12"/>
      <c r="HW620" s="12"/>
      <c r="HX620" s="11">
        <v>6</v>
      </c>
      <c r="HY620" s="13">
        <v>215.47</v>
      </c>
      <c r="HZ620" s="11">
        <v>29</v>
      </c>
      <c r="IA620" s="11"/>
      <c r="IB620" s="13"/>
      <c r="IC620" s="11"/>
      <c r="ID620" s="12"/>
      <c r="IE620" s="12"/>
      <c r="IF620" s="11"/>
      <c r="IG620" s="13"/>
      <c r="IH620" s="11"/>
      <c r="II620" s="11"/>
      <c r="IJ620" s="13"/>
      <c r="IK620" s="11"/>
      <c r="IL620" s="12"/>
      <c r="IM620" s="12"/>
      <c r="IN620" s="11"/>
      <c r="IO620" s="13"/>
      <c r="IP620" s="11"/>
      <c r="IQ620" s="11"/>
      <c r="IR620" s="13"/>
      <c r="IS620" s="11"/>
      <c r="IT620" s="12"/>
      <c r="IU620" s="12"/>
      <c r="IV620" s="11">
        <v>2</v>
      </c>
      <c r="IW620" s="13">
        <v>77.31</v>
      </c>
      <c r="IX620" s="11">
        <v>31</v>
      </c>
      <c r="IY620" s="11"/>
      <c r="IZ620" s="13"/>
      <c r="JA620" s="11"/>
      <c r="JB620" s="12"/>
      <c r="JC620" s="12"/>
      <c r="JD620" s="11">
        <v>2</v>
      </c>
      <c r="JE620" s="13">
        <v>70.81</v>
      </c>
      <c r="JF620" s="11">
        <v>7</v>
      </c>
      <c r="JG620" s="11"/>
      <c r="JH620" s="13"/>
      <c r="JI620" s="11"/>
      <c r="JJ620" s="12"/>
      <c r="JK620" s="12"/>
      <c r="JL620" s="11"/>
      <c r="JM620" s="13"/>
      <c r="JN620" s="11"/>
      <c r="JO620" s="11"/>
      <c r="JP620" s="13"/>
      <c r="JQ620" s="11"/>
      <c r="JR620" s="12"/>
      <c r="JS620" s="12"/>
      <c r="JT620" s="11"/>
      <c r="JU620" s="13"/>
      <c r="JV620" s="11">
        <v>7</v>
      </c>
      <c r="JW620" s="11"/>
      <c r="JX620" s="13"/>
      <c r="JY620" s="11"/>
      <c r="JZ620" s="12"/>
      <c r="KA620" s="12"/>
      <c r="KB620" s="11"/>
      <c r="KC620" s="13"/>
      <c r="KD620" s="11"/>
      <c r="KE620" s="11"/>
      <c r="KF620" s="13"/>
      <c r="KG620" s="11"/>
      <c r="KH620" s="12"/>
      <c r="KI620" s="12"/>
      <c r="KJ620" s="11"/>
      <c r="KK620" s="13"/>
      <c r="KL620" s="11"/>
      <c r="KM620" s="11"/>
      <c r="KN620" s="13"/>
      <c r="KO620" s="11"/>
      <c r="KP620" s="12"/>
      <c r="KQ620" s="12"/>
      <c r="KR620" s="11"/>
      <c r="KS620" s="13"/>
      <c r="KT620" s="11"/>
      <c r="KU620" s="11"/>
      <c r="KV620" s="13"/>
      <c r="KW620" s="11"/>
      <c r="KX620" s="12"/>
      <c r="KY620" s="12"/>
      <c r="KZ620" s="11"/>
      <c r="LA620" s="13"/>
      <c r="LB620" s="11"/>
      <c r="LC620" s="11"/>
      <c r="LD620" s="13"/>
      <c r="LE620" s="11"/>
      <c r="LF620" s="12"/>
      <c r="LG620" s="12"/>
      <c r="LH620" s="11"/>
      <c r="LI620" s="13"/>
      <c r="LJ620" s="11"/>
      <c r="LK620" s="11"/>
      <c r="LL620" s="13"/>
      <c r="LM620" s="11"/>
      <c r="LN620" s="12"/>
      <c r="LO620" s="12"/>
      <c r="LP620" s="11"/>
      <c r="LQ620" s="13"/>
      <c r="LR620" s="11"/>
      <c r="LS620" s="11"/>
      <c r="LT620" s="13"/>
      <c r="LU620" s="11"/>
      <c r="LV620" s="12"/>
      <c r="LW620" s="12"/>
    </row>
    <row r="621">
      <c r="A621" s="10" t="s">
        <v>300</v>
      </c>
      <c r="B621" s="10" t="s">
        <v>293</v>
      </c>
      <c r="C621" s="10" t="s">
        <v>74</v>
      </c>
      <c r="D621" s="11">
        <v>7708</v>
      </c>
      <c r="E621" s="11">
        <f>=ROUNDDOWN(19.7135549872123,0)</f>
      </c>
      <c r="F621" s="11">
        <v>6915</v>
      </c>
      <c r="G621" s="12">
        <v>0.9995</v>
      </c>
      <c r="H621" s="11"/>
      <c r="I621" s="11">
        <f>=ROUNDDOWN({0},0)</f>
      </c>
      <c r="J621" s="11"/>
      <c r="K621" s="12"/>
      <c r="L621" s="11">
        <v>4847</v>
      </c>
      <c r="M621" s="13">
        <v>185544.78</v>
      </c>
      <c r="N621" s="11">
        <v>33</v>
      </c>
      <c r="O621" s="14">
        <v>5622.57</v>
      </c>
      <c r="P621" s="11"/>
      <c r="Q621" s="13"/>
      <c r="R621" s="11"/>
      <c r="S621" s="14"/>
      <c r="T621" s="12"/>
      <c r="U621" s="12"/>
      <c r="V621" s="12"/>
      <c r="W621" s="12"/>
      <c r="X621" s="11">
        <v>1488</v>
      </c>
      <c r="Y621" s="13">
        <v>57614.37</v>
      </c>
      <c r="Z621" s="11">
        <v>33</v>
      </c>
      <c r="AA621" s="11"/>
      <c r="AB621" s="13"/>
      <c r="AC621" s="11"/>
      <c r="AD621" s="12"/>
      <c r="AE621" s="12"/>
      <c r="AF621" s="11">
        <v>422</v>
      </c>
      <c r="AG621" s="13">
        <v>14404.91</v>
      </c>
      <c r="AH621" s="11">
        <v>29</v>
      </c>
      <c r="AI621" s="11"/>
      <c r="AJ621" s="13"/>
      <c r="AK621" s="11"/>
      <c r="AL621" s="12"/>
      <c r="AM621" s="12"/>
      <c r="AN621" s="11">
        <v>753</v>
      </c>
      <c r="AO621" s="13">
        <v>27623.86</v>
      </c>
      <c r="AP621" s="11">
        <v>29</v>
      </c>
      <c r="AQ621" s="11"/>
      <c r="AR621" s="13"/>
      <c r="AS621" s="11"/>
      <c r="AT621" s="12"/>
      <c r="AU621" s="12"/>
      <c r="AV621" s="11">
        <v>603</v>
      </c>
      <c r="AW621" s="13">
        <v>23070.66</v>
      </c>
      <c r="AX621" s="11">
        <v>24</v>
      </c>
      <c r="AY621" s="11"/>
      <c r="AZ621" s="13"/>
      <c r="BA621" s="11"/>
      <c r="BB621" s="12"/>
      <c r="BC621" s="12"/>
      <c r="BD621" s="11">
        <v>320</v>
      </c>
      <c r="BE621" s="13">
        <v>12736.71</v>
      </c>
      <c r="BF621" s="11">
        <v>29</v>
      </c>
      <c r="BG621" s="11"/>
      <c r="BH621" s="13"/>
      <c r="BI621" s="11"/>
      <c r="BJ621" s="12"/>
      <c r="BK621" s="12"/>
      <c r="BL621" s="11">
        <v>184</v>
      </c>
      <c r="BM621" s="13">
        <v>7433.27</v>
      </c>
      <c r="BN621" s="11">
        <v>33</v>
      </c>
      <c r="BO621" s="11"/>
      <c r="BP621" s="13"/>
      <c r="BQ621" s="11"/>
      <c r="BR621" s="12"/>
      <c r="BS621" s="12"/>
      <c r="BT621" s="11">
        <v>278</v>
      </c>
      <c r="BU621" s="13">
        <v>10005.5</v>
      </c>
      <c r="BV621" s="11">
        <v>29</v>
      </c>
      <c r="BW621" s="11"/>
      <c r="BX621" s="13"/>
      <c r="BY621" s="11"/>
      <c r="BZ621" s="12"/>
      <c r="CA621" s="12"/>
      <c r="CB621" s="11">
        <v>279</v>
      </c>
      <c r="CC621" s="13">
        <v>10264.75</v>
      </c>
      <c r="CD621" s="11">
        <v>27</v>
      </c>
      <c r="CE621" s="11"/>
      <c r="CF621" s="13"/>
      <c r="CG621" s="11"/>
      <c r="CH621" s="12"/>
      <c r="CI621" s="12"/>
      <c r="CJ621" s="11">
        <v>61</v>
      </c>
      <c r="CK621" s="13">
        <v>3071.87</v>
      </c>
      <c r="CL621" s="11">
        <v>29</v>
      </c>
      <c r="CM621" s="11"/>
      <c r="CN621" s="13"/>
      <c r="CO621" s="11"/>
      <c r="CP621" s="12"/>
      <c r="CQ621" s="12"/>
      <c r="CR621" s="11"/>
      <c r="CS621" s="13"/>
      <c r="CT621" s="11"/>
      <c r="CU621" s="11"/>
      <c r="CV621" s="13"/>
      <c r="CW621" s="11"/>
      <c r="CX621" s="12"/>
      <c r="CY621" s="12"/>
      <c r="CZ621" s="11"/>
      <c r="DA621" s="13"/>
      <c r="DB621" s="11"/>
      <c r="DC621" s="11"/>
      <c r="DD621" s="13"/>
      <c r="DE621" s="11"/>
      <c r="DF621" s="12"/>
      <c r="DG621" s="12"/>
      <c r="DH621" s="11"/>
      <c r="DI621" s="13"/>
      <c r="DJ621" s="11">
        <v>3</v>
      </c>
      <c r="DK621" s="11"/>
      <c r="DL621" s="13"/>
      <c r="DM621" s="11"/>
      <c r="DN621" s="12"/>
      <c r="DO621" s="12"/>
      <c r="DP621" s="11">
        <v>80</v>
      </c>
      <c r="DQ621" s="13">
        <v>2814.89</v>
      </c>
      <c r="DR621" s="11">
        <v>27</v>
      </c>
      <c r="DS621" s="11"/>
      <c r="DT621" s="13"/>
      <c r="DU621" s="11"/>
      <c r="DV621" s="12"/>
      <c r="DW621" s="12"/>
      <c r="DX621" s="11">
        <v>106</v>
      </c>
      <c r="DY621" s="13">
        <v>3557.19</v>
      </c>
      <c r="DZ621" s="11">
        <v>25</v>
      </c>
      <c r="EA621" s="11"/>
      <c r="EB621" s="13"/>
      <c r="EC621" s="11"/>
      <c r="ED621" s="12"/>
      <c r="EE621" s="12"/>
      <c r="EF621" s="11"/>
      <c r="EG621" s="13"/>
      <c r="EH621" s="11"/>
      <c r="EI621" s="11"/>
      <c r="EJ621" s="13"/>
      <c r="EK621" s="11"/>
      <c r="EL621" s="12"/>
      <c r="EM621" s="12"/>
      <c r="EN621" s="11">
        <v>238</v>
      </c>
      <c r="EO621" s="13">
        <v>11634.54</v>
      </c>
      <c r="EP621" s="11">
        <v>29</v>
      </c>
      <c r="EQ621" s="11"/>
      <c r="ER621" s="13"/>
      <c r="ES621" s="11"/>
      <c r="ET621" s="12"/>
      <c r="EU621" s="12"/>
      <c r="EV621" s="11">
        <v>1</v>
      </c>
      <c r="EW621" s="13">
        <v>36.75</v>
      </c>
      <c r="EX621" s="11">
        <v>1</v>
      </c>
      <c r="EY621" s="11"/>
      <c r="EZ621" s="13"/>
      <c r="FA621" s="11"/>
      <c r="FB621" s="12"/>
      <c r="FC621" s="12"/>
      <c r="FD621" s="11">
        <v>10</v>
      </c>
      <c r="FE621" s="13">
        <v>307.81</v>
      </c>
      <c r="FF621" s="11">
        <v>3</v>
      </c>
      <c r="FG621" s="11"/>
      <c r="FH621" s="13"/>
      <c r="FI621" s="11"/>
      <c r="FJ621" s="12"/>
      <c r="FK621" s="12"/>
      <c r="FL621" s="11"/>
      <c r="FM621" s="13"/>
      <c r="FN621" s="11"/>
      <c r="FO621" s="11"/>
      <c r="FP621" s="13"/>
      <c r="FQ621" s="11"/>
      <c r="FR621" s="12"/>
      <c r="FS621" s="12"/>
      <c r="FT621" s="11">
        <v>7</v>
      </c>
      <c r="FU621" s="13">
        <v>294.34</v>
      </c>
      <c r="FV621" s="11">
        <v>19</v>
      </c>
      <c r="FW621" s="11"/>
      <c r="FX621" s="13"/>
      <c r="FY621" s="11"/>
      <c r="FZ621" s="12"/>
      <c r="GA621" s="12"/>
      <c r="GB621" s="11"/>
      <c r="GC621" s="13"/>
      <c r="GD621" s="11"/>
      <c r="GE621" s="11"/>
      <c r="GF621" s="13"/>
      <c r="GG621" s="11"/>
      <c r="GH621" s="12"/>
      <c r="GI621" s="12"/>
      <c r="GJ621" s="11"/>
      <c r="GK621" s="13"/>
      <c r="GL621" s="11"/>
      <c r="GM621" s="11"/>
      <c r="GN621" s="13"/>
      <c r="GO621" s="11"/>
      <c r="GP621" s="12"/>
      <c r="GQ621" s="12"/>
      <c r="GR621" s="11"/>
      <c r="GS621" s="13"/>
      <c r="GT621" s="11"/>
      <c r="GU621" s="11"/>
      <c r="GV621" s="13"/>
      <c r="GW621" s="11"/>
      <c r="GX621" s="12"/>
      <c r="GY621" s="12"/>
      <c r="GZ621" s="11">
        <v>5</v>
      </c>
      <c r="HA621" s="13">
        <v>255.15</v>
      </c>
      <c r="HB621" s="11">
        <v>3</v>
      </c>
      <c r="HC621" s="11"/>
      <c r="HD621" s="13"/>
      <c r="HE621" s="11"/>
      <c r="HF621" s="12"/>
      <c r="HG621" s="12"/>
      <c r="HH621" s="11"/>
      <c r="HI621" s="13"/>
      <c r="HJ621" s="11"/>
      <c r="HK621" s="11"/>
      <c r="HL621" s="13"/>
      <c r="HM621" s="11"/>
      <c r="HN621" s="12"/>
      <c r="HO621" s="12"/>
      <c r="HP621" s="11"/>
      <c r="HQ621" s="13"/>
      <c r="HR621" s="11"/>
      <c r="HS621" s="11"/>
      <c r="HT621" s="13"/>
      <c r="HU621" s="11"/>
      <c r="HV621" s="12"/>
      <c r="HW621" s="12"/>
      <c r="HX621" s="11">
        <v>12</v>
      </c>
      <c r="HY621" s="13">
        <v>418.21</v>
      </c>
      <c r="HZ621" s="11">
        <v>10</v>
      </c>
      <c r="IA621" s="11"/>
      <c r="IB621" s="13"/>
      <c r="IC621" s="11"/>
      <c r="ID621" s="12"/>
      <c r="IE621" s="12"/>
      <c r="IF621" s="11"/>
      <c r="IG621" s="13"/>
      <c r="IH621" s="11"/>
      <c r="II621" s="11"/>
      <c r="IJ621" s="13"/>
      <c r="IK621" s="11"/>
      <c r="IL621" s="12"/>
      <c r="IM621" s="12"/>
      <c r="IN621" s="11"/>
      <c r="IO621" s="13"/>
      <c r="IP621" s="11"/>
      <c r="IQ621" s="11"/>
      <c r="IR621" s="13"/>
      <c r="IS621" s="11"/>
      <c r="IT621" s="12"/>
      <c r="IU621" s="12"/>
      <c r="IV621" s="11"/>
      <c r="IW621" s="13"/>
      <c r="IX621" s="11">
        <v>9</v>
      </c>
      <c r="IY621" s="11"/>
      <c r="IZ621" s="13"/>
      <c r="JA621" s="11"/>
      <c r="JB621" s="12"/>
      <c r="JC621" s="12"/>
      <c r="JD621" s="11"/>
      <c r="JE621" s="13"/>
      <c r="JF621" s="11">
        <v>2</v>
      </c>
      <c r="JG621" s="11"/>
      <c r="JH621" s="13"/>
      <c r="JI621" s="11"/>
      <c r="JJ621" s="12"/>
      <c r="JK621" s="12"/>
      <c r="JL621" s="11"/>
      <c r="JM621" s="13"/>
      <c r="JN621" s="11"/>
      <c r="JO621" s="11"/>
      <c r="JP621" s="13"/>
      <c r="JQ621" s="11"/>
      <c r="JR621" s="12"/>
      <c r="JS621" s="12"/>
      <c r="JT621" s="11"/>
      <c r="JU621" s="13"/>
      <c r="JV621" s="11">
        <v>5</v>
      </c>
      <c r="JW621" s="11"/>
      <c r="JX621" s="13"/>
      <c r="JY621" s="11"/>
      <c r="JZ621" s="12"/>
      <c r="KA621" s="12"/>
      <c r="KB621" s="11"/>
      <c r="KC621" s="13"/>
      <c r="KD621" s="11"/>
      <c r="KE621" s="11"/>
      <c r="KF621" s="13"/>
      <c r="KG621" s="11"/>
      <c r="KH621" s="12"/>
      <c r="KI621" s="12"/>
      <c r="KJ621" s="11"/>
      <c r="KK621" s="13"/>
      <c r="KL621" s="11"/>
      <c r="KM621" s="11"/>
      <c r="KN621" s="13"/>
      <c r="KO621" s="11"/>
      <c r="KP621" s="12"/>
      <c r="KQ621" s="12"/>
      <c r="KR621" s="11"/>
      <c r="KS621" s="13"/>
      <c r="KT621" s="11"/>
      <c r="KU621" s="11"/>
      <c r="KV621" s="13"/>
      <c r="KW621" s="11"/>
      <c r="KX621" s="12"/>
      <c r="KY621" s="12"/>
      <c r="KZ621" s="11"/>
      <c r="LA621" s="13"/>
      <c r="LB621" s="11"/>
      <c r="LC621" s="11"/>
      <c r="LD621" s="13"/>
      <c r="LE621" s="11"/>
      <c r="LF621" s="12"/>
      <c r="LG621" s="12"/>
      <c r="LH621" s="11"/>
      <c r="LI621" s="13"/>
      <c r="LJ621" s="11"/>
      <c r="LK621" s="11"/>
      <c r="LL621" s="13"/>
      <c r="LM621" s="11"/>
      <c r="LN621" s="12"/>
      <c r="LO621" s="12"/>
      <c r="LP621" s="11"/>
      <c r="LQ621" s="13"/>
      <c r="LR621" s="11"/>
      <c r="LS621" s="11"/>
      <c r="LT621" s="13"/>
      <c r="LU621" s="11"/>
      <c r="LV621" s="12"/>
      <c r="LW621" s="12"/>
    </row>
    <row r="622">
      <c r="A622" s="10" t="s">
        <v>300</v>
      </c>
      <c r="B622" s="10" t="s">
        <v>293</v>
      </c>
      <c r="C622" s="10" t="s">
        <v>75</v>
      </c>
      <c r="D622" s="11">
        <v>1160</v>
      </c>
      <c r="E622" s="11">
        <f>=ROUNDDOWN(16.1111111111111,0)</f>
      </c>
      <c r="F622" s="11">
        <v>1140</v>
      </c>
      <c r="G622" s="12">
        <v>1</v>
      </c>
      <c r="H622" s="11"/>
      <c r="I622" s="11">
        <f>=ROUNDDOWN({0},0)</f>
      </c>
      <c r="J622" s="11"/>
      <c r="K622" s="12"/>
      <c r="L622" s="11">
        <v>1057</v>
      </c>
      <c r="M622" s="13">
        <v>42986.22</v>
      </c>
      <c r="N622" s="11">
        <v>7</v>
      </c>
      <c r="O622" s="14">
        <v>6140.89</v>
      </c>
      <c r="P622" s="11"/>
      <c r="Q622" s="13"/>
      <c r="R622" s="11"/>
      <c r="S622" s="14"/>
      <c r="T622" s="12"/>
      <c r="U622" s="12"/>
      <c r="V622" s="12"/>
      <c r="W622" s="12"/>
      <c r="X622" s="11">
        <v>479</v>
      </c>
      <c r="Y622" s="13">
        <v>20045.55</v>
      </c>
      <c r="Z622" s="11">
        <v>7</v>
      </c>
      <c r="AA622" s="11"/>
      <c r="AB622" s="13"/>
      <c r="AC622" s="11"/>
      <c r="AD622" s="12"/>
      <c r="AE622" s="12"/>
      <c r="AF622" s="11">
        <v>93</v>
      </c>
      <c r="AG622" s="13">
        <v>3244.99</v>
      </c>
      <c r="AH622" s="11">
        <v>5</v>
      </c>
      <c r="AI622" s="11"/>
      <c r="AJ622" s="13"/>
      <c r="AK622" s="11"/>
      <c r="AL622" s="12"/>
      <c r="AM622" s="12"/>
      <c r="AN622" s="11">
        <v>166</v>
      </c>
      <c r="AO622" s="13">
        <v>6501.7</v>
      </c>
      <c r="AP622" s="11">
        <v>5</v>
      </c>
      <c r="AQ622" s="11"/>
      <c r="AR622" s="13"/>
      <c r="AS622" s="11"/>
      <c r="AT622" s="12"/>
      <c r="AU622" s="12"/>
      <c r="AV622" s="11">
        <v>41</v>
      </c>
      <c r="AW622" s="13">
        <v>1618.93</v>
      </c>
      <c r="AX622" s="11">
        <v>4</v>
      </c>
      <c r="AY622" s="11"/>
      <c r="AZ622" s="13"/>
      <c r="BA622" s="11"/>
      <c r="BB622" s="12"/>
      <c r="BC622" s="12"/>
      <c r="BD622" s="11">
        <v>73</v>
      </c>
      <c r="BE622" s="13">
        <v>2886.63</v>
      </c>
      <c r="BF622" s="11">
        <v>5</v>
      </c>
      <c r="BG622" s="11"/>
      <c r="BH622" s="13"/>
      <c r="BI622" s="11"/>
      <c r="BJ622" s="12"/>
      <c r="BK622" s="12"/>
      <c r="BL622" s="11">
        <v>33</v>
      </c>
      <c r="BM622" s="13">
        <v>1357.58</v>
      </c>
      <c r="BN622" s="11">
        <v>7</v>
      </c>
      <c r="BO622" s="11"/>
      <c r="BP622" s="13"/>
      <c r="BQ622" s="11"/>
      <c r="BR622" s="12"/>
      <c r="BS622" s="12"/>
      <c r="BT622" s="11">
        <v>1</v>
      </c>
      <c r="BU622" s="13">
        <v>37.36</v>
      </c>
      <c r="BV622" s="11">
        <v>5</v>
      </c>
      <c r="BW622" s="11"/>
      <c r="BX622" s="13"/>
      <c r="BY622" s="11"/>
      <c r="BZ622" s="12"/>
      <c r="CA622" s="12"/>
      <c r="CB622" s="11">
        <v>128</v>
      </c>
      <c r="CC622" s="13">
        <v>5346.63</v>
      </c>
      <c r="CD622" s="11">
        <v>5</v>
      </c>
      <c r="CE622" s="11"/>
      <c r="CF622" s="13"/>
      <c r="CG622" s="11"/>
      <c r="CH622" s="12"/>
      <c r="CI622" s="12"/>
      <c r="CJ622" s="11">
        <v>6</v>
      </c>
      <c r="CK622" s="13">
        <v>346.15</v>
      </c>
      <c r="CL622" s="11">
        <v>5</v>
      </c>
      <c r="CM622" s="11"/>
      <c r="CN622" s="13"/>
      <c r="CO622" s="11"/>
      <c r="CP622" s="12"/>
      <c r="CQ622" s="12"/>
      <c r="CR622" s="11"/>
      <c r="CS622" s="13"/>
      <c r="CT622" s="11"/>
      <c r="CU622" s="11"/>
      <c r="CV622" s="13"/>
      <c r="CW622" s="11"/>
      <c r="CX622" s="12"/>
      <c r="CY622" s="12"/>
      <c r="CZ622" s="11"/>
      <c r="DA622" s="13"/>
      <c r="DB622" s="11"/>
      <c r="DC622" s="11"/>
      <c r="DD622" s="13"/>
      <c r="DE622" s="11"/>
      <c r="DF622" s="12"/>
      <c r="DG622" s="12"/>
      <c r="DH622" s="11"/>
      <c r="DI622" s="13"/>
      <c r="DJ622" s="11">
        <v>1</v>
      </c>
      <c r="DK622" s="11"/>
      <c r="DL622" s="13"/>
      <c r="DM622" s="11"/>
      <c r="DN622" s="12"/>
      <c r="DO622" s="12"/>
      <c r="DP622" s="11">
        <v>19</v>
      </c>
      <c r="DQ622" s="13">
        <v>810.33</v>
      </c>
      <c r="DR622" s="11">
        <v>5</v>
      </c>
      <c r="DS622" s="11"/>
      <c r="DT622" s="13"/>
      <c r="DU622" s="11"/>
      <c r="DV622" s="12"/>
      <c r="DW622" s="12"/>
      <c r="DX622" s="11">
        <v>14</v>
      </c>
      <c r="DY622" s="13">
        <v>522.05</v>
      </c>
      <c r="DZ622" s="11">
        <v>5</v>
      </c>
      <c r="EA622" s="11"/>
      <c r="EB622" s="13"/>
      <c r="EC622" s="11"/>
      <c r="ED622" s="12"/>
      <c r="EE622" s="12"/>
      <c r="EF622" s="11"/>
      <c r="EG622" s="13"/>
      <c r="EH622" s="11"/>
      <c r="EI622" s="11"/>
      <c r="EJ622" s="13"/>
      <c r="EK622" s="11"/>
      <c r="EL622" s="12"/>
      <c r="EM622" s="12"/>
      <c r="EN622" s="11">
        <v>3</v>
      </c>
      <c r="EO622" s="13">
        <v>222.97</v>
      </c>
      <c r="EP622" s="11">
        <v>5</v>
      </c>
      <c r="EQ622" s="11"/>
      <c r="ER622" s="13"/>
      <c r="ES622" s="11"/>
      <c r="ET622" s="12"/>
      <c r="EU622" s="12"/>
      <c r="EV622" s="11"/>
      <c r="EW622" s="13"/>
      <c r="EX622" s="11"/>
      <c r="EY622" s="11"/>
      <c r="EZ622" s="13"/>
      <c r="FA622" s="11"/>
      <c r="FB622" s="12"/>
      <c r="FC622" s="12"/>
      <c r="FD622" s="11"/>
      <c r="FE622" s="13"/>
      <c r="FF622" s="11"/>
      <c r="FG622" s="11"/>
      <c r="FH622" s="13"/>
      <c r="FI622" s="11"/>
      <c r="FJ622" s="12"/>
      <c r="FK622" s="12"/>
      <c r="FL622" s="11"/>
      <c r="FM622" s="13"/>
      <c r="FN622" s="11"/>
      <c r="FO622" s="11"/>
      <c r="FP622" s="13"/>
      <c r="FQ622" s="11"/>
      <c r="FR622" s="12"/>
      <c r="FS622" s="12"/>
      <c r="FT622" s="11">
        <v>1</v>
      </c>
      <c r="FU622" s="13">
        <v>45.35</v>
      </c>
      <c r="FV622" s="11">
        <v>5</v>
      </c>
      <c r="FW622" s="11"/>
      <c r="FX622" s="13"/>
      <c r="FY622" s="11"/>
      <c r="FZ622" s="12"/>
      <c r="GA622" s="12"/>
      <c r="GB622" s="11"/>
      <c r="GC622" s="13"/>
      <c r="GD622" s="11"/>
      <c r="GE622" s="11"/>
      <c r="GF622" s="13"/>
      <c r="GG622" s="11"/>
      <c r="GH622" s="12"/>
      <c r="GI622" s="12"/>
      <c r="GJ622" s="11"/>
      <c r="GK622" s="13"/>
      <c r="GL622" s="11"/>
      <c r="GM622" s="11"/>
      <c r="GN622" s="13"/>
      <c r="GO622" s="11"/>
      <c r="GP622" s="12"/>
      <c r="GQ622" s="12"/>
      <c r="GR622" s="11"/>
      <c r="GS622" s="13"/>
      <c r="GT622" s="11"/>
      <c r="GU622" s="11"/>
      <c r="GV622" s="13"/>
      <c r="GW622" s="11"/>
      <c r="GX622" s="12"/>
      <c r="GY622" s="12"/>
      <c r="GZ622" s="11"/>
      <c r="HA622" s="13"/>
      <c r="HB622" s="11"/>
      <c r="HC622" s="11"/>
      <c r="HD622" s="13"/>
      <c r="HE622" s="11"/>
      <c r="HF622" s="12"/>
      <c r="HG622" s="12"/>
      <c r="HH622" s="11"/>
      <c r="HI622" s="13"/>
      <c r="HJ622" s="11"/>
      <c r="HK622" s="11"/>
      <c r="HL622" s="13"/>
      <c r="HM622" s="11"/>
      <c r="HN622" s="12"/>
      <c r="HO622" s="12"/>
      <c r="HP622" s="11"/>
      <c r="HQ622" s="13"/>
      <c r="HR622" s="11"/>
      <c r="HS622" s="11"/>
      <c r="HT622" s="13"/>
      <c r="HU622" s="11"/>
      <c r="HV622" s="12"/>
      <c r="HW622" s="12"/>
      <c r="HX622" s="11"/>
      <c r="HY622" s="13"/>
      <c r="HZ622" s="11"/>
      <c r="IA622" s="11"/>
      <c r="IB622" s="13"/>
      <c r="IC622" s="11"/>
      <c r="ID622" s="12"/>
      <c r="IE622" s="12"/>
      <c r="IF622" s="11"/>
      <c r="IG622" s="13"/>
      <c r="IH622" s="11"/>
      <c r="II622" s="11"/>
      <c r="IJ622" s="13"/>
      <c r="IK622" s="11"/>
      <c r="IL622" s="12"/>
      <c r="IM622" s="12"/>
      <c r="IN622" s="11"/>
      <c r="IO622" s="13"/>
      <c r="IP622" s="11"/>
      <c r="IQ622" s="11"/>
      <c r="IR622" s="13"/>
      <c r="IS622" s="11"/>
      <c r="IT622" s="12"/>
      <c r="IU622" s="12"/>
      <c r="IV622" s="11"/>
      <c r="IW622" s="13"/>
      <c r="IX622" s="11">
        <v>4</v>
      </c>
      <c r="IY622" s="11"/>
      <c r="IZ622" s="13"/>
      <c r="JA622" s="11"/>
      <c r="JB622" s="12"/>
      <c r="JC622" s="12"/>
      <c r="JD622" s="11"/>
      <c r="JE622" s="13"/>
      <c r="JF622" s="11"/>
      <c r="JG622" s="11"/>
      <c r="JH622" s="13"/>
      <c r="JI622" s="11"/>
      <c r="JJ622" s="12"/>
      <c r="JK622" s="12"/>
      <c r="JL622" s="11"/>
      <c r="JM622" s="13"/>
      <c r="JN622" s="11"/>
      <c r="JO622" s="11"/>
      <c r="JP622" s="13"/>
      <c r="JQ622" s="11"/>
      <c r="JR622" s="12"/>
      <c r="JS622" s="12"/>
      <c r="JT622" s="11"/>
      <c r="JU622" s="13"/>
      <c r="JV622" s="11"/>
      <c r="JW622" s="11"/>
      <c r="JX622" s="13"/>
      <c r="JY622" s="11"/>
      <c r="JZ622" s="12"/>
      <c r="KA622" s="12"/>
      <c r="KB622" s="11"/>
      <c r="KC622" s="13"/>
      <c r="KD622" s="11"/>
      <c r="KE622" s="11"/>
      <c r="KF622" s="13"/>
      <c r="KG622" s="11"/>
      <c r="KH622" s="12"/>
      <c r="KI622" s="12"/>
      <c r="KJ622" s="11"/>
      <c r="KK622" s="13"/>
      <c r="KL622" s="11"/>
      <c r="KM622" s="11"/>
      <c r="KN622" s="13"/>
      <c r="KO622" s="11"/>
      <c r="KP622" s="12"/>
      <c r="KQ622" s="12"/>
      <c r="KR622" s="11"/>
      <c r="KS622" s="13"/>
      <c r="KT622" s="11"/>
      <c r="KU622" s="11"/>
      <c r="KV622" s="13"/>
      <c r="KW622" s="11"/>
      <c r="KX622" s="12"/>
      <c r="KY622" s="12"/>
      <c r="KZ622" s="11"/>
      <c r="LA622" s="13"/>
      <c r="LB622" s="11"/>
      <c r="LC622" s="11"/>
      <c r="LD622" s="13"/>
      <c r="LE622" s="11"/>
      <c r="LF622" s="12"/>
      <c r="LG622" s="12"/>
      <c r="LH622" s="11"/>
      <c r="LI622" s="13"/>
      <c r="LJ622" s="11"/>
      <c r="LK622" s="11"/>
      <c r="LL622" s="13"/>
      <c r="LM622" s="11"/>
      <c r="LN622" s="12"/>
      <c r="LO622" s="12"/>
      <c r="LP622" s="11"/>
      <c r="LQ622" s="13"/>
      <c r="LR622" s="11"/>
      <c r="LS622" s="11"/>
      <c r="LT622" s="13"/>
      <c r="LU622" s="11"/>
      <c r="LV622" s="12"/>
      <c r="LW622" s="12"/>
    </row>
    <row r="623">
      <c r="A623" s="10" t="s">
        <v>300</v>
      </c>
      <c r="B623" s="10" t="s">
        <v>293</v>
      </c>
      <c r="C623" s="10" t="s">
        <v>83</v>
      </c>
      <c r="D623" s="11">
        <v>84</v>
      </c>
      <c r="E623" s="11">
        <f>=ROUNDDOWN(16.8,0)</f>
      </c>
      <c r="F623" s="11"/>
      <c r="G623" s="12"/>
      <c r="H623" s="11"/>
      <c r="I623" s="11">
        <f>=ROUNDDOWN({0},0)</f>
      </c>
      <c r="J623" s="11"/>
      <c r="K623" s="12"/>
      <c r="L623" s="11">
        <v>51</v>
      </c>
      <c r="M623" s="13">
        <v>1224.65</v>
      </c>
      <c r="N623" s="11">
        <v>2</v>
      </c>
      <c r="O623" s="14">
        <v>612.32</v>
      </c>
      <c r="P623" s="11"/>
      <c r="Q623" s="13"/>
      <c r="R623" s="11"/>
      <c r="S623" s="14"/>
      <c r="T623" s="12"/>
      <c r="U623" s="12"/>
      <c r="V623" s="12"/>
      <c r="W623" s="12"/>
      <c r="X623" s="11">
        <v>19</v>
      </c>
      <c r="Y623" s="13">
        <v>459.86</v>
      </c>
      <c r="Z623" s="11">
        <v>2</v>
      </c>
      <c r="AA623" s="11"/>
      <c r="AB623" s="13"/>
      <c r="AC623" s="11"/>
      <c r="AD623" s="12"/>
      <c r="AE623" s="12"/>
      <c r="AF623" s="11">
        <v>1</v>
      </c>
      <c r="AG623" s="13">
        <v>24.99</v>
      </c>
      <c r="AH623" s="11">
        <v>2</v>
      </c>
      <c r="AI623" s="11"/>
      <c r="AJ623" s="13"/>
      <c r="AK623" s="11"/>
      <c r="AL623" s="12"/>
      <c r="AM623" s="12"/>
      <c r="AN623" s="11">
        <v>6</v>
      </c>
      <c r="AO623" s="13">
        <v>145.74</v>
      </c>
      <c r="AP623" s="11">
        <v>2</v>
      </c>
      <c r="AQ623" s="11"/>
      <c r="AR623" s="13"/>
      <c r="AS623" s="11"/>
      <c r="AT623" s="12"/>
      <c r="AU623" s="12"/>
      <c r="AV623" s="11">
        <v>7</v>
      </c>
      <c r="AW623" s="13">
        <v>165.64</v>
      </c>
      <c r="AX623" s="11">
        <v>2</v>
      </c>
      <c r="AY623" s="11"/>
      <c r="AZ623" s="13"/>
      <c r="BA623" s="11"/>
      <c r="BB623" s="12"/>
      <c r="BC623" s="12"/>
      <c r="BD623" s="11"/>
      <c r="BE623" s="13"/>
      <c r="BF623" s="11">
        <v>2</v>
      </c>
      <c r="BG623" s="11"/>
      <c r="BH623" s="13"/>
      <c r="BI623" s="11"/>
      <c r="BJ623" s="12"/>
      <c r="BK623" s="12"/>
      <c r="BL623" s="11">
        <v>9</v>
      </c>
      <c r="BM623" s="13">
        <v>210.51</v>
      </c>
      <c r="BN623" s="11">
        <v>2</v>
      </c>
      <c r="BO623" s="11"/>
      <c r="BP623" s="13"/>
      <c r="BQ623" s="11"/>
      <c r="BR623" s="12"/>
      <c r="BS623" s="12"/>
      <c r="BT623" s="11">
        <v>2</v>
      </c>
      <c r="BU623" s="13">
        <v>49.98</v>
      </c>
      <c r="BV623" s="11">
        <v>2</v>
      </c>
      <c r="BW623" s="11"/>
      <c r="BX623" s="13"/>
      <c r="BY623" s="11"/>
      <c r="BZ623" s="12"/>
      <c r="CA623" s="12"/>
      <c r="CB623" s="11">
        <v>7</v>
      </c>
      <c r="CC623" s="13">
        <v>167.93</v>
      </c>
      <c r="CD623" s="11">
        <v>2</v>
      </c>
      <c r="CE623" s="11"/>
      <c r="CF623" s="13"/>
      <c r="CG623" s="11"/>
      <c r="CH623" s="12"/>
      <c r="CI623" s="12"/>
      <c r="CJ623" s="11"/>
      <c r="CK623" s="13"/>
      <c r="CL623" s="11">
        <v>2</v>
      </c>
      <c r="CM623" s="11"/>
      <c r="CN623" s="13"/>
      <c r="CO623" s="11"/>
      <c r="CP623" s="12"/>
      <c r="CQ623" s="12"/>
      <c r="CR623" s="11"/>
      <c r="CS623" s="13"/>
      <c r="CT623" s="11"/>
      <c r="CU623" s="11"/>
      <c r="CV623" s="13"/>
      <c r="CW623" s="11"/>
      <c r="CX623" s="12"/>
      <c r="CY623" s="12"/>
      <c r="CZ623" s="11"/>
      <c r="DA623" s="13"/>
      <c r="DB623" s="11"/>
      <c r="DC623" s="11"/>
      <c r="DD623" s="13"/>
      <c r="DE623" s="11"/>
      <c r="DF623" s="12"/>
      <c r="DG623" s="12"/>
      <c r="DH623" s="11"/>
      <c r="DI623" s="13"/>
      <c r="DJ623" s="11"/>
      <c r="DK623" s="11"/>
      <c r="DL623" s="13"/>
      <c r="DM623" s="11"/>
      <c r="DN623" s="12"/>
      <c r="DO623" s="12"/>
      <c r="DP623" s="11"/>
      <c r="DQ623" s="13"/>
      <c r="DR623" s="11"/>
      <c r="DS623" s="11"/>
      <c r="DT623" s="13"/>
      <c r="DU623" s="11"/>
      <c r="DV623" s="12"/>
      <c r="DW623" s="12"/>
      <c r="DX623" s="11"/>
      <c r="DY623" s="13"/>
      <c r="DZ623" s="11">
        <v>2</v>
      </c>
      <c r="EA623" s="11"/>
      <c r="EB623" s="13"/>
      <c r="EC623" s="11"/>
      <c r="ED623" s="12"/>
      <c r="EE623" s="12"/>
      <c r="EF623" s="11"/>
      <c r="EG623" s="13"/>
      <c r="EH623" s="11"/>
      <c r="EI623" s="11"/>
      <c r="EJ623" s="13"/>
      <c r="EK623" s="11"/>
      <c r="EL623" s="12"/>
      <c r="EM623" s="12"/>
      <c r="EN623" s="11"/>
      <c r="EO623" s="13"/>
      <c r="EP623" s="11">
        <v>2</v>
      </c>
      <c r="EQ623" s="11"/>
      <c r="ER623" s="13"/>
      <c r="ES623" s="11"/>
      <c r="ET623" s="12"/>
      <c r="EU623" s="12"/>
      <c r="EV623" s="11"/>
      <c r="EW623" s="13"/>
      <c r="EX623" s="11"/>
      <c r="EY623" s="11"/>
      <c r="EZ623" s="13"/>
      <c r="FA623" s="11"/>
      <c r="FB623" s="12"/>
      <c r="FC623" s="12"/>
      <c r="FD623" s="11"/>
      <c r="FE623" s="13"/>
      <c r="FF623" s="11"/>
      <c r="FG623" s="11"/>
      <c r="FH623" s="13"/>
      <c r="FI623" s="11"/>
      <c r="FJ623" s="12"/>
      <c r="FK623" s="12"/>
      <c r="FL623" s="11"/>
      <c r="FM623" s="13"/>
      <c r="FN623" s="11"/>
      <c r="FO623" s="11"/>
      <c r="FP623" s="13"/>
      <c r="FQ623" s="11"/>
      <c r="FR623" s="12"/>
      <c r="FS623" s="12"/>
      <c r="FT623" s="11"/>
      <c r="FU623" s="13"/>
      <c r="FV623" s="11"/>
      <c r="FW623" s="11"/>
      <c r="FX623" s="13"/>
      <c r="FY623" s="11"/>
      <c r="FZ623" s="12"/>
      <c r="GA623" s="12"/>
      <c r="GB623" s="11"/>
      <c r="GC623" s="13"/>
      <c r="GD623" s="11"/>
      <c r="GE623" s="11"/>
      <c r="GF623" s="13"/>
      <c r="GG623" s="11"/>
      <c r="GH623" s="12"/>
      <c r="GI623" s="12"/>
      <c r="GJ623" s="11"/>
      <c r="GK623" s="13"/>
      <c r="GL623" s="11"/>
      <c r="GM623" s="11"/>
      <c r="GN623" s="13"/>
      <c r="GO623" s="11"/>
      <c r="GP623" s="12"/>
      <c r="GQ623" s="12"/>
      <c r="GR623" s="11"/>
      <c r="GS623" s="13"/>
      <c r="GT623" s="11"/>
      <c r="GU623" s="11"/>
      <c r="GV623" s="13"/>
      <c r="GW623" s="11"/>
      <c r="GX623" s="12"/>
      <c r="GY623" s="12"/>
      <c r="GZ623" s="11"/>
      <c r="HA623" s="13"/>
      <c r="HB623" s="11"/>
      <c r="HC623" s="11"/>
      <c r="HD623" s="13"/>
      <c r="HE623" s="11"/>
      <c r="HF623" s="12"/>
      <c r="HG623" s="12"/>
      <c r="HH623" s="11"/>
      <c r="HI623" s="13"/>
      <c r="HJ623" s="11"/>
      <c r="HK623" s="11"/>
      <c r="HL623" s="13"/>
      <c r="HM623" s="11"/>
      <c r="HN623" s="12"/>
      <c r="HO623" s="12"/>
      <c r="HP623" s="11"/>
      <c r="HQ623" s="13"/>
      <c r="HR623" s="11"/>
      <c r="HS623" s="11"/>
      <c r="HT623" s="13"/>
      <c r="HU623" s="11"/>
      <c r="HV623" s="12"/>
      <c r="HW623" s="12"/>
      <c r="HX623" s="11"/>
      <c r="HY623" s="13"/>
      <c r="HZ623" s="11"/>
      <c r="IA623" s="11"/>
      <c r="IB623" s="13"/>
      <c r="IC623" s="11"/>
      <c r="ID623" s="12"/>
      <c r="IE623" s="12"/>
      <c r="IF623" s="11"/>
      <c r="IG623" s="13"/>
      <c r="IH623" s="11"/>
      <c r="II623" s="11"/>
      <c r="IJ623" s="13"/>
      <c r="IK623" s="11"/>
      <c r="IL623" s="12"/>
      <c r="IM623" s="12"/>
      <c r="IN623" s="11"/>
      <c r="IO623" s="13"/>
      <c r="IP623" s="11"/>
      <c r="IQ623" s="11"/>
      <c r="IR623" s="13"/>
      <c r="IS623" s="11"/>
      <c r="IT623" s="12"/>
      <c r="IU623" s="12"/>
      <c r="IV623" s="11"/>
      <c r="IW623" s="13"/>
      <c r="IX623" s="11"/>
      <c r="IY623" s="11"/>
      <c r="IZ623" s="13"/>
      <c r="JA623" s="11"/>
      <c r="JB623" s="12"/>
      <c r="JC623" s="12"/>
      <c r="JD623" s="11"/>
      <c r="JE623" s="13"/>
      <c r="JF623" s="11"/>
      <c r="JG623" s="11"/>
      <c r="JH623" s="13"/>
      <c r="JI623" s="11"/>
      <c r="JJ623" s="12"/>
      <c r="JK623" s="12"/>
      <c r="JL623" s="11"/>
      <c r="JM623" s="13"/>
      <c r="JN623" s="11"/>
      <c r="JO623" s="11"/>
      <c r="JP623" s="13"/>
      <c r="JQ623" s="11"/>
      <c r="JR623" s="12"/>
      <c r="JS623" s="12"/>
      <c r="JT623" s="11"/>
      <c r="JU623" s="13"/>
      <c r="JV623" s="11"/>
      <c r="JW623" s="11"/>
      <c r="JX623" s="13"/>
      <c r="JY623" s="11"/>
      <c r="JZ623" s="12"/>
      <c r="KA623" s="12"/>
      <c r="KB623" s="11"/>
      <c r="KC623" s="13"/>
      <c r="KD623" s="11"/>
      <c r="KE623" s="11"/>
      <c r="KF623" s="13"/>
      <c r="KG623" s="11"/>
      <c r="KH623" s="12"/>
      <c r="KI623" s="12"/>
      <c r="KJ623" s="11"/>
      <c r="KK623" s="13"/>
      <c r="KL623" s="11"/>
      <c r="KM623" s="11"/>
      <c r="KN623" s="13"/>
      <c r="KO623" s="11"/>
      <c r="KP623" s="12"/>
      <c r="KQ623" s="12"/>
      <c r="KR623" s="11"/>
      <c r="KS623" s="13"/>
      <c r="KT623" s="11"/>
      <c r="KU623" s="11"/>
      <c r="KV623" s="13"/>
      <c r="KW623" s="11"/>
      <c r="KX623" s="12"/>
      <c r="KY623" s="12"/>
      <c r="KZ623" s="11"/>
      <c r="LA623" s="13"/>
      <c r="LB623" s="11"/>
      <c r="LC623" s="11"/>
      <c r="LD623" s="13"/>
      <c r="LE623" s="11"/>
      <c r="LF623" s="12"/>
      <c r="LG623" s="12"/>
      <c r="LH623" s="11"/>
      <c r="LI623" s="13"/>
      <c r="LJ623" s="11"/>
      <c r="LK623" s="11"/>
      <c r="LL623" s="13"/>
      <c r="LM623" s="11"/>
      <c r="LN623" s="12"/>
      <c r="LO623" s="12"/>
      <c r="LP623" s="11"/>
      <c r="LQ623" s="13"/>
      <c r="LR623" s="11"/>
      <c r="LS623" s="11"/>
      <c r="LT623" s="13"/>
      <c r="LU623" s="11"/>
      <c r="LV623" s="12"/>
      <c r="LW623" s="12"/>
    </row>
    <row r="624">
      <c r="A624" s="10" t="s">
        <v>300</v>
      </c>
      <c r="B624" s="10" t="s">
        <v>294</v>
      </c>
      <c r="C624" s="10" t="s">
        <v>77</v>
      </c>
      <c r="D624" s="11">
        <v>8952</v>
      </c>
      <c r="E624" s="11">
        <f>=ROUNDDOWN({0},0)</f>
      </c>
      <c r="F624" s="11">
        <v>8055</v>
      </c>
      <c r="G624" s="12"/>
      <c r="H624" s="11"/>
      <c r="I624" s="11">
        <f>=ROUNDDOWN({0},0)</f>
      </c>
      <c r="J624" s="11"/>
      <c r="K624" s="12"/>
      <c r="L624" s="11">
        <v>5955</v>
      </c>
      <c r="M624" s="13">
        <v>229755.65</v>
      </c>
      <c r="N624" s="11">
        <v>42</v>
      </c>
      <c r="O624" s="14">
        <v>5470.37</v>
      </c>
      <c r="P624" s="11"/>
      <c r="Q624" s="13"/>
      <c r="R624" s="11"/>
      <c r="S624" s="14"/>
      <c r="T624" s="12"/>
      <c r="U624" s="12"/>
      <c r="V624" s="12"/>
      <c r="W624" s="12"/>
      <c r="X624" s="11">
        <v>1986</v>
      </c>
      <c r="Y624" s="13">
        <v>78119.78</v>
      </c>
      <c r="Z624" s="11">
        <v>42</v>
      </c>
      <c r="AA624" s="11"/>
      <c r="AB624" s="13"/>
      <c r="AC624" s="11"/>
      <c r="AD624" s="12"/>
      <c r="AE624" s="12"/>
      <c r="AF624" s="11">
        <v>516</v>
      </c>
      <c r="AG624" s="13">
        <v>17674.89</v>
      </c>
      <c r="AH624" s="11">
        <v>36</v>
      </c>
      <c r="AI624" s="11"/>
      <c r="AJ624" s="13"/>
      <c r="AK624" s="11"/>
      <c r="AL624" s="12"/>
      <c r="AM624" s="12"/>
      <c r="AN624" s="11">
        <v>925</v>
      </c>
      <c r="AO624" s="13">
        <v>34271.3</v>
      </c>
      <c r="AP624" s="11">
        <v>36</v>
      </c>
      <c r="AQ624" s="11"/>
      <c r="AR624" s="13"/>
      <c r="AS624" s="11"/>
      <c r="AT624" s="12"/>
      <c r="AU624" s="12"/>
      <c r="AV624" s="11">
        <v>651</v>
      </c>
      <c r="AW624" s="13">
        <v>24855.23</v>
      </c>
      <c r="AX624" s="11">
        <v>30</v>
      </c>
      <c r="AY624" s="11"/>
      <c r="AZ624" s="13"/>
      <c r="BA624" s="11"/>
      <c r="BB624" s="12"/>
      <c r="BC624" s="12"/>
      <c r="BD624" s="11">
        <v>393</v>
      </c>
      <c r="BE624" s="13">
        <v>15623.34</v>
      </c>
      <c r="BF624" s="11">
        <v>36</v>
      </c>
      <c r="BG624" s="11"/>
      <c r="BH624" s="13"/>
      <c r="BI624" s="11"/>
      <c r="BJ624" s="12"/>
      <c r="BK624" s="12"/>
      <c r="BL624" s="11">
        <v>226</v>
      </c>
      <c r="BM624" s="13">
        <v>9001.36</v>
      </c>
      <c r="BN624" s="11">
        <v>42</v>
      </c>
      <c r="BO624" s="11"/>
      <c r="BP624" s="13"/>
      <c r="BQ624" s="11"/>
      <c r="BR624" s="12"/>
      <c r="BS624" s="12"/>
      <c r="BT624" s="11">
        <v>281</v>
      </c>
      <c r="BU624" s="13">
        <v>10092.84</v>
      </c>
      <c r="BV624" s="11">
        <v>36</v>
      </c>
      <c r="BW624" s="11"/>
      <c r="BX624" s="13"/>
      <c r="BY624" s="11"/>
      <c r="BZ624" s="12"/>
      <c r="CA624" s="12"/>
      <c r="CB624" s="11">
        <v>414</v>
      </c>
      <c r="CC624" s="13">
        <v>15779.31</v>
      </c>
      <c r="CD624" s="11">
        <v>34</v>
      </c>
      <c r="CE624" s="11"/>
      <c r="CF624" s="13"/>
      <c r="CG624" s="11"/>
      <c r="CH624" s="12"/>
      <c r="CI624" s="12"/>
      <c r="CJ624" s="11">
        <v>67</v>
      </c>
      <c r="CK624" s="13">
        <v>3418.02</v>
      </c>
      <c r="CL624" s="11">
        <v>36</v>
      </c>
      <c r="CM624" s="11"/>
      <c r="CN624" s="13"/>
      <c r="CO624" s="11"/>
      <c r="CP624" s="12"/>
      <c r="CQ624" s="12"/>
      <c r="CR624" s="11"/>
      <c r="CS624" s="13"/>
      <c r="CT624" s="11"/>
      <c r="CU624" s="11"/>
      <c r="CV624" s="13"/>
      <c r="CW624" s="11"/>
      <c r="CX624" s="12"/>
      <c r="CY624" s="12"/>
      <c r="CZ624" s="11"/>
      <c r="DA624" s="13"/>
      <c r="DB624" s="11"/>
      <c r="DC624" s="11"/>
      <c r="DD624" s="13"/>
      <c r="DE624" s="11"/>
      <c r="DF624" s="12"/>
      <c r="DG624" s="12"/>
      <c r="DH624" s="11"/>
      <c r="DI624" s="13"/>
      <c r="DJ624" s="11">
        <v>4</v>
      </c>
      <c r="DK624" s="11"/>
      <c r="DL624" s="13"/>
      <c r="DM624" s="11"/>
      <c r="DN624" s="12"/>
      <c r="DO624" s="12"/>
      <c r="DP624" s="11">
        <v>99</v>
      </c>
      <c r="DQ624" s="13">
        <v>3625.22</v>
      </c>
      <c r="DR624" s="11">
        <v>32</v>
      </c>
      <c r="DS624" s="11"/>
      <c r="DT624" s="13"/>
      <c r="DU624" s="11"/>
      <c r="DV624" s="12"/>
      <c r="DW624" s="12"/>
      <c r="DX624" s="11">
        <v>120</v>
      </c>
      <c r="DY624" s="13">
        <v>4079.24</v>
      </c>
      <c r="DZ624" s="11">
        <v>32</v>
      </c>
      <c r="EA624" s="11"/>
      <c r="EB624" s="13"/>
      <c r="EC624" s="11"/>
      <c r="ED624" s="12"/>
      <c r="EE624" s="12"/>
      <c r="EF624" s="11"/>
      <c r="EG624" s="13"/>
      <c r="EH624" s="11"/>
      <c r="EI624" s="11"/>
      <c r="EJ624" s="13"/>
      <c r="EK624" s="11"/>
      <c r="EL624" s="12"/>
      <c r="EM624" s="12"/>
      <c r="EN624" s="11">
        <v>241</v>
      </c>
      <c r="EO624" s="13">
        <v>11857.51</v>
      </c>
      <c r="EP624" s="11">
        <v>36</v>
      </c>
      <c r="EQ624" s="11"/>
      <c r="ER624" s="13"/>
      <c r="ES624" s="11"/>
      <c r="ET624" s="12"/>
      <c r="EU624" s="12"/>
      <c r="EV624" s="11">
        <v>1</v>
      </c>
      <c r="EW624" s="13">
        <v>36.75</v>
      </c>
      <c r="EX624" s="11">
        <v>1</v>
      </c>
      <c r="EY624" s="11"/>
      <c r="EZ624" s="13"/>
      <c r="FA624" s="11"/>
      <c r="FB624" s="12"/>
      <c r="FC624" s="12"/>
      <c r="FD624" s="11">
        <v>10</v>
      </c>
      <c r="FE624" s="13">
        <v>307.81</v>
      </c>
      <c r="FF624" s="11">
        <v>3</v>
      </c>
      <c r="FG624" s="11"/>
      <c r="FH624" s="13"/>
      <c r="FI624" s="11"/>
      <c r="FJ624" s="12"/>
      <c r="FK624" s="12"/>
      <c r="FL624" s="11"/>
      <c r="FM624" s="13"/>
      <c r="FN624" s="11"/>
      <c r="FO624" s="11"/>
      <c r="FP624" s="13"/>
      <c r="FQ624" s="11"/>
      <c r="FR624" s="12"/>
      <c r="FS624" s="12"/>
      <c r="FT624" s="11">
        <v>8</v>
      </c>
      <c r="FU624" s="13">
        <v>339.69</v>
      </c>
      <c r="FV624" s="11">
        <v>24</v>
      </c>
      <c r="FW624" s="11"/>
      <c r="FX624" s="13"/>
      <c r="FY624" s="11"/>
      <c r="FZ624" s="12"/>
      <c r="GA624" s="12"/>
      <c r="GB624" s="11"/>
      <c r="GC624" s="13"/>
      <c r="GD624" s="11"/>
      <c r="GE624" s="11"/>
      <c r="GF624" s="13"/>
      <c r="GG624" s="11"/>
      <c r="GH624" s="12"/>
      <c r="GI624" s="12"/>
      <c r="GJ624" s="11"/>
      <c r="GK624" s="13"/>
      <c r="GL624" s="11"/>
      <c r="GM624" s="11"/>
      <c r="GN624" s="13"/>
      <c r="GO624" s="11"/>
      <c r="GP624" s="12"/>
      <c r="GQ624" s="12"/>
      <c r="GR624" s="11"/>
      <c r="GS624" s="13"/>
      <c r="GT624" s="11"/>
      <c r="GU624" s="11"/>
      <c r="GV624" s="13"/>
      <c r="GW624" s="11"/>
      <c r="GX624" s="12"/>
      <c r="GY624" s="12"/>
      <c r="GZ624" s="11">
        <v>5</v>
      </c>
      <c r="HA624" s="13">
        <v>255.15</v>
      </c>
      <c r="HB624" s="11">
        <v>3</v>
      </c>
      <c r="HC624" s="11"/>
      <c r="HD624" s="13"/>
      <c r="HE624" s="11"/>
      <c r="HF624" s="12"/>
      <c r="HG624" s="12"/>
      <c r="HH624" s="11"/>
      <c r="HI624" s="13"/>
      <c r="HJ624" s="11"/>
      <c r="HK624" s="11"/>
      <c r="HL624" s="13"/>
      <c r="HM624" s="11"/>
      <c r="HN624" s="12"/>
      <c r="HO624" s="12"/>
      <c r="HP624" s="11"/>
      <c r="HQ624" s="13"/>
      <c r="HR624" s="11"/>
      <c r="HS624" s="11"/>
      <c r="HT624" s="13"/>
      <c r="HU624" s="11"/>
      <c r="HV624" s="12"/>
      <c r="HW624" s="12"/>
      <c r="HX624" s="11">
        <v>12</v>
      </c>
      <c r="HY624" s="13">
        <v>418.21</v>
      </c>
      <c r="HZ624" s="11">
        <v>10</v>
      </c>
      <c r="IA624" s="11"/>
      <c r="IB624" s="13"/>
      <c r="IC624" s="11"/>
      <c r="ID624" s="12"/>
      <c r="IE624" s="12"/>
      <c r="IF624" s="11"/>
      <c r="IG624" s="13"/>
      <c r="IH624" s="11"/>
      <c r="II624" s="11"/>
      <c r="IJ624" s="13"/>
      <c r="IK624" s="11"/>
      <c r="IL624" s="12"/>
      <c r="IM624" s="12"/>
      <c r="IN624" s="11"/>
      <c r="IO624" s="13"/>
      <c r="IP624" s="11"/>
      <c r="IQ624" s="11"/>
      <c r="IR624" s="13"/>
      <c r="IS624" s="11"/>
      <c r="IT624" s="12"/>
      <c r="IU624" s="12"/>
      <c r="IV624" s="11"/>
      <c r="IW624" s="13"/>
      <c r="IX624" s="11">
        <v>13</v>
      </c>
      <c r="IY624" s="11"/>
      <c r="IZ624" s="13"/>
      <c r="JA624" s="11"/>
      <c r="JB624" s="12"/>
      <c r="JC624" s="12"/>
      <c r="JD624" s="11"/>
      <c r="JE624" s="13"/>
      <c r="JF624" s="11">
        <v>2</v>
      </c>
      <c r="JG624" s="11"/>
      <c r="JH624" s="13"/>
      <c r="JI624" s="11"/>
      <c r="JJ624" s="12"/>
      <c r="JK624" s="12"/>
      <c r="JL624" s="11"/>
      <c r="JM624" s="13"/>
      <c r="JN624" s="11"/>
      <c r="JO624" s="11"/>
      <c r="JP624" s="13"/>
      <c r="JQ624" s="11"/>
      <c r="JR624" s="12"/>
      <c r="JS624" s="12"/>
      <c r="JT624" s="11"/>
      <c r="JU624" s="13"/>
      <c r="JV624" s="11">
        <v>5</v>
      </c>
      <c r="JW624" s="11"/>
      <c r="JX624" s="13"/>
      <c r="JY624" s="11"/>
      <c r="JZ624" s="12"/>
      <c r="KA624" s="12"/>
      <c r="KB624" s="11"/>
      <c r="KC624" s="13"/>
      <c r="KD624" s="11"/>
      <c r="KE624" s="11"/>
      <c r="KF624" s="13"/>
      <c r="KG624" s="11"/>
      <c r="KH624" s="12"/>
      <c r="KI624" s="12"/>
      <c r="KJ624" s="11"/>
      <c r="KK624" s="13"/>
      <c r="KL624" s="11"/>
      <c r="KM624" s="11"/>
      <c r="KN624" s="13"/>
      <c r="KO624" s="11"/>
      <c r="KP624" s="12"/>
      <c r="KQ624" s="12"/>
      <c r="KR624" s="11"/>
      <c r="KS624" s="13"/>
      <c r="KT624" s="11"/>
      <c r="KU624" s="11"/>
      <c r="KV624" s="13"/>
      <c r="KW624" s="11"/>
      <c r="KX624" s="12"/>
      <c r="KY624" s="12"/>
      <c r="KZ624" s="11"/>
      <c r="LA624" s="13"/>
      <c r="LB624" s="11"/>
      <c r="LC624" s="11"/>
      <c r="LD624" s="13"/>
      <c r="LE624" s="11"/>
      <c r="LF624" s="12"/>
      <c r="LG624" s="12"/>
      <c r="LH624" s="11"/>
      <c r="LI624" s="13"/>
      <c r="LJ624" s="11"/>
      <c r="LK624" s="11"/>
      <c r="LL624" s="13"/>
      <c r="LM624" s="11"/>
      <c r="LN624" s="12"/>
      <c r="LO624" s="12"/>
      <c r="LP624" s="11"/>
      <c r="LQ624" s="13"/>
      <c r="LR624" s="11"/>
      <c r="LS624" s="11"/>
      <c r="LT624" s="13"/>
      <c r="LU624" s="11"/>
      <c r="LV624" s="12"/>
      <c r="LW624" s="12"/>
    </row>
    <row r="625">
      <c r="A625" s="10" t="s">
        <v>300</v>
      </c>
      <c r="B625" s="10" t="s">
        <v>165</v>
      </c>
      <c r="C625" s="10" t="s">
        <v>74</v>
      </c>
      <c r="D625" s="11">
        <v>11230</v>
      </c>
      <c r="E625" s="11">
        <f>=ROUNDDOWN(53.8350910834132,0)</f>
      </c>
      <c r="F625" s="11">
        <v>600</v>
      </c>
      <c r="G625" s="12">
        <v>0.9849</v>
      </c>
      <c r="H625" s="11"/>
      <c r="I625" s="11">
        <f>=ROUNDDOWN({0},0)</f>
      </c>
      <c r="J625" s="11"/>
      <c r="K625" s="12"/>
      <c r="L625" s="11">
        <v>4373</v>
      </c>
      <c r="M625" s="13">
        <v>284575.75</v>
      </c>
      <c r="N625" s="11">
        <v>50</v>
      </c>
      <c r="O625" s="14">
        <v>5691.52</v>
      </c>
      <c r="P625" s="11"/>
      <c r="Q625" s="13"/>
      <c r="R625" s="11"/>
      <c r="S625" s="14"/>
      <c r="T625" s="12"/>
      <c r="U625" s="12"/>
      <c r="V625" s="12"/>
      <c r="W625" s="12"/>
      <c r="X625" s="11">
        <v>990</v>
      </c>
      <c r="Y625" s="13">
        <v>69016.69</v>
      </c>
      <c r="Z625" s="11">
        <v>39</v>
      </c>
      <c r="AA625" s="11"/>
      <c r="AB625" s="13"/>
      <c r="AC625" s="11"/>
      <c r="AD625" s="12"/>
      <c r="AE625" s="12"/>
      <c r="AF625" s="11">
        <v>449</v>
      </c>
      <c r="AG625" s="13">
        <v>24717.14</v>
      </c>
      <c r="AH625" s="11">
        <v>50</v>
      </c>
      <c r="AI625" s="11"/>
      <c r="AJ625" s="13"/>
      <c r="AK625" s="11"/>
      <c r="AL625" s="12"/>
      <c r="AM625" s="12"/>
      <c r="AN625" s="11">
        <v>347</v>
      </c>
      <c r="AO625" s="13">
        <v>18129.32</v>
      </c>
      <c r="AP625" s="11">
        <v>50</v>
      </c>
      <c r="AQ625" s="11"/>
      <c r="AR625" s="13"/>
      <c r="AS625" s="11"/>
      <c r="AT625" s="12"/>
      <c r="AU625" s="12"/>
      <c r="AV625" s="11">
        <v>1254</v>
      </c>
      <c r="AW625" s="13">
        <v>84453.23</v>
      </c>
      <c r="AX625" s="11">
        <v>42</v>
      </c>
      <c r="AY625" s="11"/>
      <c r="AZ625" s="13"/>
      <c r="BA625" s="11"/>
      <c r="BB625" s="12"/>
      <c r="BC625" s="12"/>
      <c r="BD625" s="11">
        <v>634</v>
      </c>
      <c r="BE625" s="13">
        <v>43149.06</v>
      </c>
      <c r="BF625" s="11">
        <v>44</v>
      </c>
      <c r="BG625" s="11"/>
      <c r="BH625" s="13"/>
      <c r="BI625" s="11"/>
      <c r="BJ625" s="12"/>
      <c r="BK625" s="12"/>
      <c r="BL625" s="11">
        <v>95</v>
      </c>
      <c r="BM625" s="13">
        <v>5740.14</v>
      </c>
      <c r="BN625" s="11">
        <v>50</v>
      </c>
      <c r="BO625" s="11"/>
      <c r="BP625" s="13"/>
      <c r="BQ625" s="11"/>
      <c r="BR625" s="12"/>
      <c r="BS625" s="12"/>
      <c r="BT625" s="11">
        <v>293</v>
      </c>
      <c r="BU625" s="13">
        <v>19385.63</v>
      </c>
      <c r="BV625" s="11">
        <v>50</v>
      </c>
      <c r="BW625" s="11"/>
      <c r="BX625" s="13"/>
      <c r="BY625" s="11"/>
      <c r="BZ625" s="12"/>
      <c r="CA625" s="12"/>
      <c r="CB625" s="11">
        <v>138</v>
      </c>
      <c r="CC625" s="13">
        <v>7732.09</v>
      </c>
      <c r="CD625" s="11">
        <v>50</v>
      </c>
      <c r="CE625" s="11"/>
      <c r="CF625" s="13"/>
      <c r="CG625" s="11"/>
      <c r="CH625" s="12"/>
      <c r="CI625" s="12"/>
      <c r="CJ625" s="11">
        <v>10</v>
      </c>
      <c r="CK625" s="13">
        <v>631.6</v>
      </c>
      <c r="CL625" s="11">
        <v>45</v>
      </c>
      <c r="CM625" s="11"/>
      <c r="CN625" s="13"/>
      <c r="CO625" s="11"/>
      <c r="CP625" s="12"/>
      <c r="CQ625" s="12"/>
      <c r="CR625" s="11"/>
      <c r="CS625" s="13"/>
      <c r="CT625" s="11"/>
      <c r="CU625" s="11"/>
      <c r="CV625" s="13"/>
      <c r="CW625" s="11"/>
      <c r="CX625" s="12"/>
      <c r="CY625" s="12"/>
      <c r="CZ625" s="11"/>
      <c r="DA625" s="13"/>
      <c r="DB625" s="11"/>
      <c r="DC625" s="11"/>
      <c r="DD625" s="13"/>
      <c r="DE625" s="11"/>
      <c r="DF625" s="12"/>
      <c r="DG625" s="12"/>
      <c r="DH625" s="11">
        <v>17</v>
      </c>
      <c r="DI625" s="13">
        <v>1222.75</v>
      </c>
      <c r="DJ625" s="11">
        <v>26</v>
      </c>
      <c r="DK625" s="11"/>
      <c r="DL625" s="13"/>
      <c r="DM625" s="11"/>
      <c r="DN625" s="12"/>
      <c r="DO625" s="12"/>
      <c r="DP625" s="11">
        <v>58</v>
      </c>
      <c r="DQ625" s="13">
        <v>4375.27</v>
      </c>
      <c r="DR625" s="11">
        <v>50</v>
      </c>
      <c r="DS625" s="11"/>
      <c r="DT625" s="13"/>
      <c r="DU625" s="11"/>
      <c r="DV625" s="12"/>
      <c r="DW625" s="12"/>
      <c r="DX625" s="11">
        <v>51</v>
      </c>
      <c r="DY625" s="13">
        <v>3301.5</v>
      </c>
      <c r="DZ625" s="11">
        <v>30</v>
      </c>
      <c r="EA625" s="11"/>
      <c r="EB625" s="13"/>
      <c r="EC625" s="11"/>
      <c r="ED625" s="12"/>
      <c r="EE625" s="12"/>
      <c r="EF625" s="11"/>
      <c r="EG625" s="13"/>
      <c r="EH625" s="11"/>
      <c r="EI625" s="11"/>
      <c r="EJ625" s="13"/>
      <c r="EK625" s="11"/>
      <c r="EL625" s="12"/>
      <c r="EM625" s="12"/>
      <c r="EN625" s="11">
        <v>1</v>
      </c>
      <c r="EO625" s="13">
        <v>129.99</v>
      </c>
      <c r="EP625" s="11">
        <v>50</v>
      </c>
      <c r="EQ625" s="11"/>
      <c r="ER625" s="13"/>
      <c r="ES625" s="11"/>
      <c r="ET625" s="12"/>
      <c r="EU625" s="12"/>
      <c r="EV625" s="11">
        <v>2</v>
      </c>
      <c r="EW625" s="13">
        <v>119.08</v>
      </c>
      <c r="EX625" s="11">
        <v>2</v>
      </c>
      <c r="EY625" s="11"/>
      <c r="EZ625" s="13"/>
      <c r="FA625" s="11"/>
      <c r="FB625" s="12"/>
      <c r="FC625" s="12"/>
      <c r="FD625" s="11"/>
      <c r="FE625" s="13"/>
      <c r="FF625" s="11"/>
      <c r="FG625" s="11"/>
      <c r="FH625" s="13"/>
      <c r="FI625" s="11"/>
      <c r="FJ625" s="12"/>
      <c r="FK625" s="12"/>
      <c r="FL625" s="11">
        <v>9</v>
      </c>
      <c r="FM625" s="13">
        <v>702.97</v>
      </c>
      <c r="FN625" s="11">
        <v>9</v>
      </c>
      <c r="FO625" s="11"/>
      <c r="FP625" s="13"/>
      <c r="FQ625" s="11"/>
      <c r="FR625" s="12"/>
      <c r="FS625" s="12"/>
      <c r="FT625" s="11">
        <v>14</v>
      </c>
      <c r="FU625" s="13">
        <v>939.97</v>
      </c>
      <c r="FV625" s="11">
        <v>23</v>
      </c>
      <c r="FW625" s="11"/>
      <c r="FX625" s="13"/>
      <c r="FY625" s="11"/>
      <c r="FZ625" s="12"/>
      <c r="GA625" s="12"/>
      <c r="GB625" s="11">
        <v>4</v>
      </c>
      <c r="GC625" s="13">
        <v>333.12</v>
      </c>
      <c r="GD625" s="11">
        <v>9</v>
      </c>
      <c r="GE625" s="11"/>
      <c r="GF625" s="13"/>
      <c r="GG625" s="11"/>
      <c r="GH625" s="12"/>
      <c r="GI625" s="12"/>
      <c r="GJ625" s="11"/>
      <c r="GK625" s="13"/>
      <c r="GL625" s="11"/>
      <c r="GM625" s="11"/>
      <c r="GN625" s="13"/>
      <c r="GO625" s="11"/>
      <c r="GP625" s="12"/>
      <c r="GQ625" s="12"/>
      <c r="GR625" s="11"/>
      <c r="GS625" s="13"/>
      <c r="GT625" s="11">
        <v>6</v>
      </c>
      <c r="GU625" s="11"/>
      <c r="GV625" s="13"/>
      <c r="GW625" s="11"/>
      <c r="GX625" s="12"/>
      <c r="GY625" s="12"/>
      <c r="GZ625" s="11">
        <v>5</v>
      </c>
      <c r="HA625" s="13">
        <v>346.51</v>
      </c>
      <c r="HB625" s="11">
        <v>16</v>
      </c>
      <c r="HC625" s="11"/>
      <c r="HD625" s="13"/>
      <c r="HE625" s="11"/>
      <c r="HF625" s="12"/>
      <c r="HG625" s="12"/>
      <c r="HH625" s="11"/>
      <c r="HI625" s="13"/>
      <c r="HJ625" s="11"/>
      <c r="HK625" s="11"/>
      <c r="HL625" s="13"/>
      <c r="HM625" s="11"/>
      <c r="HN625" s="12"/>
      <c r="HO625" s="12"/>
      <c r="HP625" s="11"/>
      <c r="HQ625" s="13"/>
      <c r="HR625" s="11"/>
      <c r="HS625" s="11"/>
      <c r="HT625" s="13"/>
      <c r="HU625" s="11"/>
      <c r="HV625" s="12"/>
      <c r="HW625" s="12"/>
      <c r="HX625" s="11">
        <v>2</v>
      </c>
      <c r="HY625" s="13">
        <v>149.69</v>
      </c>
      <c r="HZ625" s="11">
        <v>25</v>
      </c>
      <c r="IA625" s="11"/>
      <c r="IB625" s="13"/>
      <c r="IC625" s="11"/>
      <c r="ID625" s="12"/>
      <c r="IE625" s="12"/>
      <c r="IF625" s="11"/>
      <c r="IG625" s="13"/>
      <c r="IH625" s="11"/>
      <c r="II625" s="11"/>
      <c r="IJ625" s="13"/>
      <c r="IK625" s="11"/>
      <c r="IL625" s="12"/>
      <c r="IM625" s="12"/>
      <c r="IN625" s="11"/>
      <c r="IO625" s="13"/>
      <c r="IP625" s="11"/>
      <c r="IQ625" s="11"/>
      <c r="IR625" s="13"/>
      <c r="IS625" s="11"/>
      <c r="IT625" s="12"/>
      <c r="IU625" s="12"/>
      <c r="IV625" s="11"/>
      <c r="IW625" s="13"/>
      <c r="IX625" s="11">
        <v>26</v>
      </c>
      <c r="IY625" s="11"/>
      <c r="IZ625" s="13"/>
      <c r="JA625" s="11"/>
      <c r="JB625" s="12"/>
      <c r="JC625" s="12"/>
      <c r="JD625" s="11"/>
      <c r="JE625" s="13"/>
      <c r="JF625" s="11"/>
      <c r="JG625" s="11"/>
      <c r="JH625" s="13"/>
      <c r="JI625" s="11"/>
      <c r="JJ625" s="12"/>
      <c r="JK625" s="12"/>
      <c r="JL625" s="11"/>
      <c r="JM625" s="13"/>
      <c r="JN625" s="11"/>
      <c r="JO625" s="11"/>
      <c r="JP625" s="13"/>
      <c r="JQ625" s="11"/>
      <c r="JR625" s="12"/>
      <c r="JS625" s="12"/>
      <c r="JT625" s="11"/>
      <c r="JU625" s="13"/>
      <c r="JV625" s="11"/>
      <c r="JW625" s="11"/>
      <c r="JX625" s="13"/>
      <c r="JY625" s="11"/>
      <c r="JZ625" s="12"/>
      <c r="KA625" s="12"/>
      <c r="KB625" s="11"/>
      <c r="KC625" s="13"/>
      <c r="KD625" s="11"/>
      <c r="KE625" s="11"/>
      <c r="KF625" s="13"/>
      <c r="KG625" s="11"/>
      <c r="KH625" s="12"/>
      <c r="KI625" s="12"/>
      <c r="KJ625" s="11"/>
      <c r="KK625" s="13"/>
      <c r="KL625" s="11"/>
      <c r="KM625" s="11"/>
      <c r="KN625" s="13"/>
      <c r="KO625" s="11"/>
      <c r="KP625" s="12"/>
      <c r="KQ625" s="12"/>
      <c r="KR625" s="11"/>
      <c r="KS625" s="13"/>
      <c r="KT625" s="11"/>
      <c r="KU625" s="11"/>
      <c r="KV625" s="13"/>
      <c r="KW625" s="11"/>
      <c r="KX625" s="12"/>
      <c r="KY625" s="12"/>
      <c r="KZ625" s="11"/>
      <c r="LA625" s="13"/>
      <c r="LB625" s="11"/>
      <c r="LC625" s="11"/>
      <c r="LD625" s="13"/>
      <c r="LE625" s="11"/>
      <c r="LF625" s="12"/>
      <c r="LG625" s="12"/>
      <c r="LH625" s="11"/>
      <c r="LI625" s="13"/>
      <c r="LJ625" s="11"/>
      <c r="LK625" s="11"/>
      <c r="LL625" s="13"/>
      <c r="LM625" s="11"/>
      <c r="LN625" s="12"/>
      <c r="LO625" s="12"/>
      <c r="LP625" s="11"/>
      <c r="LQ625" s="13"/>
      <c r="LR625" s="11"/>
      <c r="LS625" s="11"/>
      <c r="LT625" s="13"/>
      <c r="LU625" s="11"/>
      <c r="LV625" s="12"/>
      <c r="LW625" s="12"/>
    </row>
    <row r="626">
      <c r="A626" s="10" t="s">
        <v>300</v>
      </c>
      <c r="B626" s="10" t="s">
        <v>165</v>
      </c>
      <c r="C626" s="10" t="s">
        <v>75</v>
      </c>
      <c r="D626" s="11">
        <v>2418</v>
      </c>
      <c r="E626" s="11">
        <f>=ROUNDDOWN(66.0655737704918,0)</f>
      </c>
      <c r="F626" s="11"/>
      <c r="G626" s="12">
        <v>1</v>
      </c>
      <c r="H626" s="11"/>
      <c r="I626" s="11">
        <f>=ROUNDDOWN({0},0)</f>
      </c>
      <c r="J626" s="11"/>
      <c r="K626" s="12"/>
      <c r="L626" s="11">
        <v>592</v>
      </c>
      <c r="M626" s="13">
        <v>29149.03</v>
      </c>
      <c r="N626" s="11">
        <v>12</v>
      </c>
      <c r="O626" s="14">
        <v>2429.09</v>
      </c>
      <c r="P626" s="11"/>
      <c r="Q626" s="13"/>
      <c r="R626" s="11"/>
      <c r="S626" s="14"/>
      <c r="T626" s="12"/>
      <c r="U626" s="12"/>
      <c r="V626" s="12"/>
      <c r="W626" s="12"/>
      <c r="X626" s="11">
        <v>128</v>
      </c>
      <c r="Y626" s="13">
        <v>6409.27</v>
      </c>
      <c r="Z626" s="11">
        <v>6</v>
      </c>
      <c r="AA626" s="11"/>
      <c r="AB626" s="13"/>
      <c r="AC626" s="11"/>
      <c r="AD626" s="12"/>
      <c r="AE626" s="12"/>
      <c r="AF626" s="11">
        <v>76</v>
      </c>
      <c r="AG626" s="13">
        <v>3725.66</v>
      </c>
      <c r="AH626" s="11">
        <v>12</v>
      </c>
      <c r="AI626" s="11"/>
      <c r="AJ626" s="13"/>
      <c r="AK626" s="11"/>
      <c r="AL626" s="12"/>
      <c r="AM626" s="12"/>
      <c r="AN626" s="11">
        <v>100</v>
      </c>
      <c r="AO626" s="13">
        <v>4807.04</v>
      </c>
      <c r="AP626" s="11">
        <v>12</v>
      </c>
      <c r="AQ626" s="11"/>
      <c r="AR626" s="13"/>
      <c r="AS626" s="11"/>
      <c r="AT626" s="12"/>
      <c r="AU626" s="12"/>
      <c r="AV626" s="11">
        <v>48</v>
      </c>
      <c r="AW626" s="13">
        <v>2789.32</v>
      </c>
      <c r="AX626" s="11">
        <v>12</v>
      </c>
      <c r="AY626" s="11"/>
      <c r="AZ626" s="13"/>
      <c r="BA626" s="11"/>
      <c r="BB626" s="12"/>
      <c r="BC626" s="12"/>
      <c r="BD626" s="11">
        <v>77</v>
      </c>
      <c r="BE626" s="13">
        <v>3054.81</v>
      </c>
      <c r="BF626" s="11">
        <v>6</v>
      </c>
      <c r="BG626" s="11"/>
      <c r="BH626" s="13"/>
      <c r="BI626" s="11"/>
      <c r="BJ626" s="12"/>
      <c r="BK626" s="12"/>
      <c r="BL626" s="11">
        <v>9</v>
      </c>
      <c r="BM626" s="13">
        <v>517.21</v>
      </c>
      <c r="BN626" s="11">
        <v>12</v>
      </c>
      <c r="BO626" s="11"/>
      <c r="BP626" s="13"/>
      <c r="BQ626" s="11"/>
      <c r="BR626" s="12"/>
      <c r="BS626" s="12"/>
      <c r="BT626" s="11">
        <v>43</v>
      </c>
      <c r="BU626" s="13">
        <v>2158.08</v>
      </c>
      <c r="BV626" s="11">
        <v>12</v>
      </c>
      <c r="BW626" s="11"/>
      <c r="BX626" s="13"/>
      <c r="BY626" s="11"/>
      <c r="BZ626" s="12"/>
      <c r="CA626" s="12"/>
      <c r="CB626" s="11">
        <v>82</v>
      </c>
      <c r="CC626" s="13">
        <v>4017.83</v>
      </c>
      <c r="CD626" s="11">
        <v>12</v>
      </c>
      <c r="CE626" s="11"/>
      <c r="CF626" s="13"/>
      <c r="CG626" s="11"/>
      <c r="CH626" s="12"/>
      <c r="CI626" s="12"/>
      <c r="CJ626" s="11"/>
      <c r="CK626" s="13"/>
      <c r="CL626" s="11">
        <v>10</v>
      </c>
      <c r="CM626" s="11"/>
      <c r="CN626" s="13"/>
      <c r="CO626" s="11"/>
      <c r="CP626" s="12"/>
      <c r="CQ626" s="12"/>
      <c r="CR626" s="11"/>
      <c r="CS626" s="13"/>
      <c r="CT626" s="11"/>
      <c r="CU626" s="11"/>
      <c r="CV626" s="13"/>
      <c r="CW626" s="11"/>
      <c r="CX626" s="12"/>
      <c r="CY626" s="12"/>
      <c r="CZ626" s="11"/>
      <c r="DA626" s="13"/>
      <c r="DB626" s="11"/>
      <c r="DC626" s="11"/>
      <c r="DD626" s="13"/>
      <c r="DE626" s="11"/>
      <c r="DF626" s="12"/>
      <c r="DG626" s="12"/>
      <c r="DH626" s="11">
        <v>1</v>
      </c>
      <c r="DI626" s="13">
        <v>85.67</v>
      </c>
      <c r="DJ626" s="11">
        <v>6</v>
      </c>
      <c r="DK626" s="11"/>
      <c r="DL626" s="13"/>
      <c r="DM626" s="11"/>
      <c r="DN626" s="12"/>
      <c r="DO626" s="12"/>
      <c r="DP626" s="11">
        <v>15</v>
      </c>
      <c r="DQ626" s="13">
        <v>776.5</v>
      </c>
      <c r="DR626" s="11">
        <v>12</v>
      </c>
      <c r="DS626" s="11"/>
      <c r="DT626" s="13"/>
      <c r="DU626" s="11"/>
      <c r="DV626" s="12"/>
      <c r="DW626" s="12"/>
      <c r="DX626" s="11">
        <v>6</v>
      </c>
      <c r="DY626" s="13">
        <v>348.4</v>
      </c>
      <c r="DZ626" s="11">
        <v>6</v>
      </c>
      <c r="EA626" s="11"/>
      <c r="EB626" s="13"/>
      <c r="EC626" s="11"/>
      <c r="ED626" s="12"/>
      <c r="EE626" s="12"/>
      <c r="EF626" s="11"/>
      <c r="EG626" s="13"/>
      <c r="EH626" s="11"/>
      <c r="EI626" s="11"/>
      <c r="EJ626" s="13"/>
      <c r="EK626" s="11"/>
      <c r="EL626" s="12"/>
      <c r="EM626" s="12"/>
      <c r="EN626" s="11">
        <v>1</v>
      </c>
      <c r="EO626" s="13">
        <v>79.99</v>
      </c>
      <c r="EP626" s="11">
        <v>12</v>
      </c>
      <c r="EQ626" s="11"/>
      <c r="ER626" s="13"/>
      <c r="ES626" s="11"/>
      <c r="ET626" s="12"/>
      <c r="EU626" s="12"/>
      <c r="EV626" s="11">
        <v>4</v>
      </c>
      <c r="EW626" s="13">
        <v>243.81</v>
      </c>
      <c r="EX626" s="11">
        <v>6</v>
      </c>
      <c r="EY626" s="11"/>
      <c r="EZ626" s="13"/>
      <c r="FA626" s="11"/>
      <c r="FB626" s="12"/>
      <c r="FC626" s="12"/>
      <c r="FD626" s="11"/>
      <c r="FE626" s="13"/>
      <c r="FF626" s="11"/>
      <c r="FG626" s="11"/>
      <c r="FH626" s="13"/>
      <c r="FI626" s="11"/>
      <c r="FJ626" s="12"/>
      <c r="FK626" s="12"/>
      <c r="FL626" s="11"/>
      <c r="FM626" s="13"/>
      <c r="FN626" s="11"/>
      <c r="FO626" s="11"/>
      <c r="FP626" s="13"/>
      <c r="FQ626" s="11"/>
      <c r="FR626" s="12"/>
      <c r="FS626" s="12"/>
      <c r="FT626" s="11">
        <v>2</v>
      </c>
      <c r="FU626" s="13">
        <v>135.44</v>
      </c>
      <c r="FV626" s="11">
        <v>4</v>
      </c>
      <c r="FW626" s="11"/>
      <c r="FX626" s="13"/>
      <c r="FY626" s="11"/>
      <c r="FZ626" s="12"/>
      <c r="GA626" s="12"/>
      <c r="GB626" s="11"/>
      <c r="GC626" s="13"/>
      <c r="GD626" s="11"/>
      <c r="GE626" s="11"/>
      <c r="GF626" s="13"/>
      <c r="GG626" s="11"/>
      <c r="GH626" s="12"/>
      <c r="GI626" s="12"/>
      <c r="GJ626" s="11"/>
      <c r="GK626" s="13"/>
      <c r="GL626" s="11"/>
      <c r="GM626" s="11"/>
      <c r="GN626" s="13"/>
      <c r="GO626" s="11"/>
      <c r="GP626" s="12"/>
      <c r="GQ626" s="12"/>
      <c r="GR626" s="11"/>
      <c r="GS626" s="13"/>
      <c r="GT626" s="11"/>
      <c r="GU626" s="11"/>
      <c r="GV626" s="13"/>
      <c r="GW626" s="11"/>
      <c r="GX626" s="12"/>
      <c r="GY626" s="12"/>
      <c r="GZ626" s="11"/>
      <c r="HA626" s="13"/>
      <c r="HB626" s="11">
        <v>2</v>
      </c>
      <c r="HC626" s="11"/>
      <c r="HD626" s="13"/>
      <c r="HE626" s="11"/>
      <c r="HF626" s="12"/>
      <c r="HG626" s="12"/>
      <c r="HH626" s="11"/>
      <c r="HI626" s="13"/>
      <c r="HJ626" s="11"/>
      <c r="HK626" s="11"/>
      <c r="HL626" s="13"/>
      <c r="HM626" s="11"/>
      <c r="HN626" s="12"/>
      <c r="HO626" s="12"/>
      <c r="HP626" s="11"/>
      <c r="HQ626" s="13"/>
      <c r="HR626" s="11"/>
      <c r="HS626" s="11"/>
      <c r="HT626" s="13"/>
      <c r="HU626" s="11"/>
      <c r="HV626" s="12"/>
      <c r="HW626" s="12"/>
      <c r="HX626" s="11"/>
      <c r="HY626" s="13"/>
      <c r="HZ626" s="11"/>
      <c r="IA626" s="11"/>
      <c r="IB626" s="13"/>
      <c r="IC626" s="11"/>
      <c r="ID626" s="12"/>
      <c r="IE626" s="12"/>
      <c r="IF626" s="11"/>
      <c r="IG626" s="13"/>
      <c r="IH626" s="11"/>
      <c r="II626" s="11"/>
      <c r="IJ626" s="13"/>
      <c r="IK626" s="11"/>
      <c r="IL626" s="12"/>
      <c r="IM626" s="12"/>
      <c r="IN626" s="11"/>
      <c r="IO626" s="13"/>
      <c r="IP626" s="11"/>
      <c r="IQ626" s="11"/>
      <c r="IR626" s="13"/>
      <c r="IS626" s="11"/>
      <c r="IT626" s="12"/>
      <c r="IU626" s="12"/>
      <c r="IV626" s="11"/>
      <c r="IW626" s="13"/>
      <c r="IX626" s="11">
        <v>4</v>
      </c>
      <c r="IY626" s="11"/>
      <c r="IZ626" s="13"/>
      <c r="JA626" s="11"/>
      <c r="JB626" s="12"/>
      <c r="JC626" s="12"/>
      <c r="JD626" s="11"/>
      <c r="JE626" s="13"/>
      <c r="JF626" s="11"/>
      <c r="JG626" s="11"/>
      <c r="JH626" s="13"/>
      <c r="JI626" s="11"/>
      <c r="JJ626" s="12"/>
      <c r="JK626" s="12"/>
      <c r="JL626" s="11"/>
      <c r="JM626" s="13"/>
      <c r="JN626" s="11"/>
      <c r="JO626" s="11"/>
      <c r="JP626" s="13"/>
      <c r="JQ626" s="11"/>
      <c r="JR626" s="12"/>
      <c r="JS626" s="12"/>
      <c r="JT626" s="11"/>
      <c r="JU626" s="13"/>
      <c r="JV626" s="11"/>
      <c r="JW626" s="11"/>
      <c r="JX626" s="13"/>
      <c r="JY626" s="11"/>
      <c r="JZ626" s="12"/>
      <c r="KA626" s="12"/>
      <c r="KB626" s="11"/>
      <c r="KC626" s="13"/>
      <c r="KD626" s="11"/>
      <c r="KE626" s="11"/>
      <c r="KF626" s="13"/>
      <c r="KG626" s="11"/>
      <c r="KH626" s="12"/>
      <c r="KI626" s="12"/>
      <c r="KJ626" s="11"/>
      <c r="KK626" s="13"/>
      <c r="KL626" s="11"/>
      <c r="KM626" s="11"/>
      <c r="KN626" s="13"/>
      <c r="KO626" s="11"/>
      <c r="KP626" s="12"/>
      <c r="KQ626" s="12"/>
      <c r="KR626" s="11"/>
      <c r="KS626" s="13"/>
      <c r="KT626" s="11"/>
      <c r="KU626" s="11"/>
      <c r="KV626" s="13"/>
      <c r="KW626" s="11"/>
      <c r="KX626" s="12"/>
      <c r="KY626" s="12"/>
      <c r="KZ626" s="11"/>
      <c r="LA626" s="13"/>
      <c r="LB626" s="11"/>
      <c r="LC626" s="11"/>
      <c r="LD626" s="13"/>
      <c r="LE626" s="11"/>
      <c r="LF626" s="12"/>
      <c r="LG626" s="12"/>
      <c r="LH626" s="11"/>
      <c r="LI626" s="13"/>
      <c r="LJ626" s="11"/>
      <c r="LK626" s="11"/>
      <c r="LL626" s="13"/>
      <c r="LM626" s="11"/>
      <c r="LN626" s="12"/>
      <c r="LO626" s="12"/>
      <c r="LP626" s="11"/>
      <c r="LQ626" s="13"/>
      <c r="LR626" s="11"/>
      <c r="LS626" s="11"/>
      <c r="LT626" s="13"/>
      <c r="LU626" s="11"/>
      <c r="LV626" s="12"/>
      <c r="LW626" s="12"/>
    </row>
    <row r="627">
      <c r="A627" s="10" t="s">
        <v>300</v>
      </c>
      <c r="B627" s="10" t="s">
        <v>165</v>
      </c>
      <c r="C627" s="10" t="s">
        <v>83</v>
      </c>
      <c r="D627" s="11">
        <v>4735</v>
      </c>
      <c r="E627" s="11">
        <f>=ROUNDDOWN(49.0165631469979,0)</f>
      </c>
      <c r="F627" s="11"/>
      <c r="G627" s="12">
        <v>0.9939</v>
      </c>
      <c r="H627" s="11"/>
      <c r="I627" s="11">
        <f>=ROUNDDOWN({0},0)</f>
      </c>
      <c r="J627" s="11"/>
      <c r="K627" s="12"/>
      <c r="L627" s="11">
        <v>1621</v>
      </c>
      <c r="M627" s="13">
        <v>84591.23</v>
      </c>
      <c r="N627" s="11">
        <v>40</v>
      </c>
      <c r="O627" s="14">
        <v>2114.78</v>
      </c>
      <c r="P627" s="11"/>
      <c r="Q627" s="13"/>
      <c r="R627" s="11"/>
      <c r="S627" s="14"/>
      <c r="T627" s="12"/>
      <c r="U627" s="12"/>
      <c r="V627" s="12"/>
      <c r="W627" s="12"/>
      <c r="X627" s="11">
        <v>237</v>
      </c>
      <c r="Y627" s="13">
        <v>13576.94</v>
      </c>
      <c r="Z627" s="11">
        <v>27</v>
      </c>
      <c r="AA627" s="11"/>
      <c r="AB627" s="13"/>
      <c r="AC627" s="11"/>
      <c r="AD627" s="12"/>
      <c r="AE627" s="12"/>
      <c r="AF627" s="11">
        <v>201</v>
      </c>
      <c r="AG627" s="13">
        <v>8502.17</v>
      </c>
      <c r="AH627" s="11">
        <v>40</v>
      </c>
      <c r="AI627" s="11"/>
      <c r="AJ627" s="13"/>
      <c r="AK627" s="11"/>
      <c r="AL627" s="12"/>
      <c r="AM627" s="12"/>
      <c r="AN627" s="11">
        <v>136</v>
      </c>
      <c r="AO627" s="13">
        <v>7156.72</v>
      </c>
      <c r="AP627" s="11">
        <v>40</v>
      </c>
      <c r="AQ627" s="11"/>
      <c r="AR627" s="13"/>
      <c r="AS627" s="11"/>
      <c r="AT627" s="12"/>
      <c r="AU627" s="12"/>
      <c r="AV627" s="11">
        <v>550</v>
      </c>
      <c r="AW627" s="13">
        <v>28363.11</v>
      </c>
      <c r="AX627" s="11">
        <v>37</v>
      </c>
      <c r="AY627" s="11"/>
      <c r="AZ627" s="13"/>
      <c r="BA627" s="11"/>
      <c r="BB627" s="12"/>
      <c r="BC627" s="12"/>
      <c r="BD627" s="11">
        <v>325</v>
      </c>
      <c r="BE627" s="13">
        <v>16960.9</v>
      </c>
      <c r="BF627" s="11">
        <v>38</v>
      </c>
      <c r="BG627" s="11"/>
      <c r="BH627" s="13"/>
      <c r="BI627" s="11"/>
      <c r="BJ627" s="12"/>
      <c r="BK627" s="12"/>
      <c r="BL627" s="11">
        <v>49</v>
      </c>
      <c r="BM627" s="13">
        <v>2889.96</v>
      </c>
      <c r="BN627" s="11">
        <v>40</v>
      </c>
      <c r="BO627" s="11"/>
      <c r="BP627" s="13"/>
      <c r="BQ627" s="11"/>
      <c r="BR627" s="12"/>
      <c r="BS627" s="12"/>
      <c r="BT627" s="11">
        <v>24</v>
      </c>
      <c r="BU627" s="13">
        <v>1293.62</v>
      </c>
      <c r="BV627" s="11">
        <v>40</v>
      </c>
      <c r="BW627" s="11"/>
      <c r="BX627" s="13"/>
      <c r="BY627" s="11"/>
      <c r="BZ627" s="12"/>
      <c r="CA627" s="12"/>
      <c r="CB627" s="11">
        <v>70</v>
      </c>
      <c r="CC627" s="13">
        <v>4116.07</v>
      </c>
      <c r="CD627" s="11">
        <v>40</v>
      </c>
      <c r="CE627" s="11"/>
      <c r="CF627" s="13"/>
      <c r="CG627" s="11"/>
      <c r="CH627" s="12"/>
      <c r="CI627" s="12"/>
      <c r="CJ627" s="11">
        <v>3</v>
      </c>
      <c r="CK627" s="13">
        <v>209.47</v>
      </c>
      <c r="CL627" s="11">
        <v>38</v>
      </c>
      <c r="CM627" s="11"/>
      <c r="CN627" s="13"/>
      <c r="CO627" s="11"/>
      <c r="CP627" s="12"/>
      <c r="CQ627" s="12"/>
      <c r="CR627" s="11"/>
      <c r="CS627" s="13"/>
      <c r="CT627" s="11"/>
      <c r="CU627" s="11"/>
      <c r="CV627" s="13"/>
      <c r="CW627" s="11"/>
      <c r="CX627" s="12"/>
      <c r="CY627" s="12"/>
      <c r="CZ627" s="11"/>
      <c r="DA627" s="13"/>
      <c r="DB627" s="11">
        <v>5</v>
      </c>
      <c r="DC627" s="11"/>
      <c r="DD627" s="13"/>
      <c r="DE627" s="11"/>
      <c r="DF627" s="12"/>
      <c r="DG627" s="12"/>
      <c r="DH627" s="11"/>
      <c r="DI627" s="13"/>
      <c r="DJ627" s="11">
        <v>3</v>
      </c>
      <c r="DK627" s="11"/>
      <c r="DL627" s="13"/>
      <c r="DM627" s="11"/>
      <c r="DN627" s="12"/>
      <c r="DO627" s="12"/>
      <c r="DP627" s="11">
        <v>10</v>
      </c>
      <c r="DQ627" s="13">
        <v>488.72</v>
      </c>
      <c r="DR627" s="11">
        <v>31</v>
      </c>
      <c r="DS627" s="11"/>
      <c r="DT627" s="13"/>
      <c r="DU627" s="11"/>
      <c r="DV627" s="12"/>
      <c r="DW627" s="12"/>
      <c r="DX627" s="11">
        <v>1</v>
      </c>
      <c r="DY627" s="13">
        <v>58.7</v>
      </c>
      <c r="DZ627" s="11">
        <v>2</v>
      </c>
      <c r="EA627" s="11"/>
      <c r="EB627" s="13"/>
      <c r="EC627" s="11"/>
      <c r="ED627" s="12"/>
      <c r="EE627" s="12"/>
      <c r="EF627" s="11"/>
      <c r="EG627" s="13"/>
      <c r="EH627" s="11"/>
      <c r="EI627" s="11"/>
      <c r="EJ627" s="13"/>
      <c r="EK627" s="11"/>
      <c r="EL627" s="12"/>
      <c r="EM627" s="12"/>
      <c r="EN627" s="11"/>
      <c r="EO627" s="13"/>
      <c r="EP627" s="11">
        <v>40</v>
      </c>
      <c r="EQ627" s="11"/>
      <c r="ER627" s="13"/>
      <c r="ES627" s="11"/>
      <c r="ET627" s="12"/>
      <c r="EU627" s="12"/>
      <c r="EV627" s="11"/>
      <c r="EW627" s="13"/>
      <c r="EX627" s="11">
        <v>5</v>
      </c>
      <c r="EY627" s="11"/>
      <c r="EZ627" s="13"/>
      <c r="FA627" s="11"/>
      <c r="FB627" s="12"/>
      <c r="FC627" s="12"/>
      <c r="FD627" s="11"/>
      <c r="FE627" s="13"/>
      <c r="FF627" s="11"/>
      <c r="FG627" s="11"/>
      <c r="FH627" s="13"/>
      <c r="FI627" s="11"/>
      <c r="FJ627" s="12"/>
      <c r="FK627" s="12"/>
      <c r="FL627" s="11">
        <v>6</v>
      </c>
      <c r="FM627" s="13">
        <v>334.8</v>
      </c>
      <c r="FN627" s="11">
        <v>5</v>
      </c>
      <c r="FO627" s="11"/>
      <c r="FP627" s="13"/>
      <c r="FQ627" s="11"/>
      <c r="FR627" s="12"/>
      <c r="FS627" s="12"/>
      <c r="FT627" s="11">
        <v>8</v>
      </c>
      <c r="FU627" s="13">
        <v>568.61</v>
      </c>
      <c r="FV627" s="11">
        <v>11</v>
      </c>
      <c r="FW627" s="11"/>
      <c r="FX627" s="13"/>
      <c r="FY627" s="11"/>
      <c r="FZ627" s="12"/>
      <c r="GA627" s="12"/>
      <c r="GB627" s="11">
        <v>1</v>
      </c>
      <c r="GC627" s="13">
        <v>71.44</v>
      </c>
      <c r="GD627" s="11">
        <v>3</v>
      </c>
      <c r="GE627" s="11"/>
      <c r="GF627" s="13"/>
      <c r="GG627" s="11"/>
      <c r="GH627" s="12"/>
      <c r="GI627" s="12"/>
      <c r="GJ627" s="11"/>
      <c r="GK627" s="13"/>
      <c r="GL627" s="11"/>
      <c r="GM627" s="11"/>
      <c r="GN627" s="13"/>
      <c r="GO627" s="11"/>
      <c r="GP627" s="12"/>
      <c r="GQ627" s="12"/>
      <c r="GR627" s="11"/>
      <c r="GS627" s="13"/>
      <c r="GT627" s="11">
        <v>15</v>
      </c>
      <c r="GU627" s="11"/>
      <c r="GV627" s="13"/>
      <c r="GW627" s="11"/>
      <c r="GX627" s="12"/>
      <c r="GY627" s="12"/>
      <c r="GZ627" s="11"/>
      <c r="HA627" s="13"/>
      <c r="HB627" s="11">
        <v>6</v>
      </c>
      <c r="HC627" s="11"/>
      <c r="HD627" s="13"/>
      <c r="HE627" s="11"/>
      <c r="HF627" s="12"/>
      <c r="HG627" s="12"/>
      <c r="HH627" s="11"/>
      <c r="HI627" s="13"/>
      <c r="HJ627" s="11"/>
      <c r="HK627" s="11"/>
      <c r="HL627" s="13"/>
      <c r="HM627" s="11"/>
      <c r="HN627" s="12"/>
      <c r="HO627" s="12"/>
      <c r="HP627" s="11"/>
      <c r="HQ627" s="13"/>
      <c r="HR627" s="11"/>
      <c r="HS627" s="11"/>
      <c r="HT627" s="13"/>
      <c r="HU627" s="11"/>
      <c r="HV627" s="12"/>
      <c r="HW627" s="12"/>
      <c r="HX627" s="11"/>
      <c r="HY627" s="13"/>
      <c r="HZ627" s="11"/>
      <c r="IA627" s="11"/>
      <c r="IB627" s="13"/>
      <c r="IC627" s="11"/>
      <c r="ID627" s="12"/>
      <c r="IE627" s="12"/>
      <c r="IF627" s="11"/>
      <c r="IG627" s="13"/>
      <c r="IH627" s="11"/>
      <c r="II627" s="11"/>
      <c r="IJ627" s="13"/>
      <c r="IK627" s="11"/>
      <c r="IL627" s="12"/>
      <c r="IM627" s="12"/>
      <c r="IN627" s="11"/>
      <c r="IO627" s="13"/>
      <c r="IP627" s="11"/>
      <c r="IQ627" s="11"/>
      <c r="IR627" s="13"/>
      <c r="IS627" s="11"/>
      <c r="IT627" s="12"/>
      <c r="IU627" s="12"/>
      <c r="IV627" s="11"/>
      <c r="IW627" s="13"/>
      <c r="IX627" s="11">
        <v>21</v>
      </c>
      <c r="IY627" s="11"/>
      <c r="IZ627" s="13"/>
      <c r="JA627" s="11"/>
      <c r="JB627" s="12"/>
      <c r="JC627" s="12"/>
      <c r="JD627" s="11"/>
      <c r="JE627" s="13"/>
      <c r="JF627" s="11"/>
      <c r="JG627" s="11"/>
      <c r="JH627" s="13"/>
      <c r="JI627" s="11"/>
      <c r="JJ627" s="12"/>
      <c r="JK627" s="12"/>
      <c r="JL627" s="11"/>
      <c r="JM627" s="13"/>
      <c r="JN627" s="11"/>
      <c r="JO627" s="11"/>
      <c r="JP627" s="13"/>
      <c r="JQ627" s="11"/>
      <c r="JR627" s="12"/>
      <c r="JS627" s="12"/>
      <c r="JT627" s="11"/>
      <c r="JU627" s="13"/>
      <c r="JV627" s="11">
        <v>1</v>
      </c>
      <c r="JW627" s="11"/>
      <c r="JX627" s="13"/>
      <c r="JY627" s="11"/>
      <c r="JZ627" s="12"/>
      <c r="KA627" s="12"/>
      <c r="KB627" s="11"/>
      <c r="KC627" s="13"/>
      <c r="KD627" s="11"/>
      <c r="KE627" s="11"/>
      <c r="KF627" s="13"/>
      <c r="KG627" s="11"/>
      <c r="KH627" s="12"/>
      <c r="KI627" s="12"/>
      <c r="KJ627" s="11"/>
      <c r="KK627" s="13"/>
      <c r="KL627" s="11"/>
      <c r="KM627" s="11"/>
      <c r="KN627" s="13"/>
      <c r="KO627" s="11"/>
      <c r="KP627" s="12"/>
      <c r="KQ627" s="12"/>
      <c r="KR627" s="11"/>
      <c r="KS627" s="13"/>
      <c r="KT627" s="11"/>
      <c r="KU627" s="11"/>
      <c r="KV627" s="13"/>
      <c r="KW627" s="11"/>
      <c r="KX627" s="12"/>
      <c r="KY627" s="12"/>
      <c r="KZ627" s="11"/>
      <c r="LA627" s="13"/>
      <c r="LB627" s="11"/>
      <c r="LC627" s="11"/>
      <c r="LD627" s="13"/>
      <c r="LE627" s="11"/>
      <c r="LF627" s="12"/>
      <c r="LG627" s="12"/>
      <c r="LH627" s="11"/>
      <c r="LI627" s="13"/>
      <c r="LJ627" s="11"/>
      <c r="LK627" s="11"/>
      <c r="LL627" s="13"/>
      <c r="LM627" s="11"/>
      <c r="LN627" s="12"/>
      <c r="LO627" s="12"/>
      <c r="LP627" s="11"/>
      <c r="LQ627" s="13"/>
      <c r="LR627" s="11"/>
      <c r="LS627" s="11"/>
      <c r="LT627" s="13"/>
      <c r="LU627" s="11"/>
      <c r="LV627" s="12"/>
      <c r="LW627" s="12"/>
    </row>
    <row r="628">
      <c r="A628" s="10" t="s">
        <v>300</v>
      </c>
      <c r="B628" s="10" t="s">
        <v>166</v>
      </c>
      <c r="C628" s="10" t="s">
        <v>77</v>
      </c>
      <c r="D628" s="11">
        <v>18383</v>
      </c>
      <c r="E628" s="11">
        <f>=ROUNDDOWN({0},0)</f>
      </c>
      <c r="F628" s="11">
        <v>600</v>
      </c>
      <c r="G628" s="12"/>
      <c r="H628" s="11"/>
      <c r="I628" s="11">
        <f>=ROUNDDOWN({0},0)</f>
      </c>
      <c r="J628" s="11"/>
      <c r="K628" s="12"/>
      <c r="L628" s="11">
        <v>6586</v>
      </c>
      <c r="M628" s="13">
        <v>398316.01</v>
      </c>
      <c r="N628" s="11">
        <v>102</v>
      </c>
      <c r="O628" s="14">
        <v>3905.06</v>
      </c>
      <c r="P628" s="11"/>
      <c r="Q628" s="13"/>
      <c r="R628" s="11"/>
      <c r="S628" s="14"/>
      <c r="T628" s="12"/>
      <c r="U628" s="12"/>
      <c r="V628" s="12"/>
      <c r="W628" s="12"/>
      <c r="X628" s="11">
        <v>1355</v>
      </c>
      <c r="Y628" s="13">
        <v>89002.9</v>
      </c>
      <c r="Z628" s="11">
        <v>72</v>
      </c>
      <c r="AA628" s="11"/>
      <c r="AB628" s="13"/>
      <c r="AC628" s="11"/>
      <c r="AD628" s="12"/>
      <c r="AE628" s="12"/>
      <c r="AF628" s="11">
        <v>726</v>
      </c>
      <c r="AG628" s="13">
        <v>36944.97</v>
      </c>
      <c r="AH628" s="11">
        <v>102</v>
      </c>
      <c r="AI628" s="11"/>
      <c r="AJ628" s="13"/>
      <c r="AK628" s="11"/>
      <c r="AL628" s="12"/>
      <c r="AM628" s="12"/>
      <c r="AN628" s="11">
        <v>583</v>
      </c>
      <c r="AO628" s="13">
        <v>30093.08</v>
      </c>
      <c r="AP628" s="11">
        <v>102</v>
      </c>
      <c r="AQ628" s="11"/>
      <c r="AR628" s="13"/>
      <c r="AS628" s="11"/>
      <c r="AT628" s="12"/>
      <c r="AU628" s="12"/>
      <c r="AV628" s="11">
        <v>1852</v>
      </c>
      <c r="AW628" s="13">
        <v>115605.66</v>
      </c>
      <c r="AX628" s="11">
        <v>91</v>
      </c>
      <c r="AY628" s="11"/>
      <c r="AZ628" s="13"/>
      <c r="BA628" s="11"/>
      <c r="BB628" s="12"/>
      <c r="BC628" s="12"/>
      <c r="BD628" s="11">
        <v>1036</v>
      </c>
      <c r="BE628" s="13">
        <v>63164.77</v>
      </c>
      <c r="BF628" s="11">
        <v>88</v>
      </c>
      <c r="BG628" s="11"/>
      <c r="BH628" s="13"/>
      <c r="BI628" s="11"/>
      <c r="BJ628" s="12"/>
      <c r="BK628" s="12"/>
      <c r="BL628" s="11">
        <v>153</v>
      </c>
      <c r="BM628" s="13">
        <v>9147.31</v>
      </c>
      <c r="BN628" s="11">
        <v>102</v>
      </c>
      <c r="BO628" s="11"/>
      <c r="BP628" s="13"/>
      <c r="BQ628" s="11"/>
      <c r="BR628" s="12"/>
      <c r="BS628" s="12"/>
      <c r="BT628" s="11">
        <v>360</v>
      </c>
      <c r="BU628" s="13">
        <v>22837.33</v>
      </c>
      <c r="BV628" s="11">
        <v>102</v>
      </c>
      <c r="BW628" s="11"/>
      <c r="BX628" s="13"/>
      <c r="BY628" s="11"/>
      <c r="BZ628" s="12"/>
      <c r="CA628" s="12"/>
      <c r="CB628" s="11">
        <v>290</v>
      </c>
      <c r="CC628" s="13">
        <v>15865.99</v>
      </c>
      <c r="CD628" s="11">
        <v>102</v>
      </c>
      <c r="CE628" s="11"/>
      <c r="CF628" s="13"/>
      <c r="CG628" s="11"/>
      <c r="CH628" s="12"/>
      <c r="CI628" s="12"/>
      <c r="CJ628" s="11">
        <v>13</v>
      </c>
      <c r="CK628" s="13">
        <v>841.07</v>
      </c>
      <c r="CL628" s="11">
        <v>93</v>
      </c>
      <c r="CM628" s="11"/>
      <c r="CN628" s="13"/>
      <c r="CO628" s="11"/>
      <c r="CP628" s="12"/>
      <c r="CQ628" s="12"/>
      <c r="CR628" s="11"/>
      <c r="CS628" s="13"/>
      <c r="CT628" s="11"/>
      <c r="CU628" s="11"/>
      <c r="CV628" s="13"/>
      <c r="CW628" s="11"/>
      <c r="CX628" s="12"/>
      <c r="CY628" s="12"/>
      <c r="CZ628" s="11"/>
      <c r="DA628" s="13"/>
      <c r="DB628" s="11">
        <v>5</v>
      </c>
      <c r="DC628" s="11"/>
      <c r="DD628" s="13"/>
      <c r="DE628" s="11"/>
      <c r="DF628" s="12"/>
      <c r="DG628" s="12"/>
      <c r="DH628" s="11">
        <v>18</v>
      </c>
      <c r="DI628" s="13">
        <v>1308.42</v>
      </c>
      <c r="DJ628" s="11">
        <v>35</v>
      </c>
      <c r="DK628" s="11"/>
      <c r="DL628" s="13"/>
      <c r="DM628" s="11"/>
      <c r="DN628" s="12"/>
      <c r="DO628" s="12"/>
      <c r="DP628" s="11">
        <v>83</v>
      </c>
      <c r="DQ628" s="13">
        <v>5640.49</v>
      </c>
      <c r="DR628" s="11">
        <v>93</v>
      </c>
      <c r="DS628" s="11"/>
      <c r="DT628" s="13"/>
      <c r="DU628" s="11"/>
      <c r="DV628" s="12"/>
      <c r="DW628" s="12"/>
      <c r="DX628" s="11">
        <v>58</v>
      </c>
      <c r="DY628" s="13">
        <v>3708.6</v>
      </c>
      <c r="DZ628" s="11">
        <v>38</v>
      </c>
      <c r="EA628" s="11"/>
      <c r="EB628" s="13"/>
      <c r="EC628" s="11"/>
      <c r="ED628" s="12"/>
      <c r="EE628" s="12"/>
      <c r="EF628" s="11"/>
      <c r="EG628" s="13"/>
      <c r="EH628" s="11"/>
      <c r="EI628" s="11"/>
      <c r="EJ628" s="13"/>
      <c r="EK628" s="11"/>
      <c r="EL628" s="12"/>
      <c r="EM628" s="12"/>
      <c r="EN628" s="11">
        <v>2</v>
      </c>
      <c r="EO628" s="13">
        <v>209.98</v>
      </c>
      <c r="EP628" s="11">
        <v>102</v>
      </c>
      <c r="EQ628" s="11"/>
      <c r="ER628" s="13"/>
      <c r="ES628" s="11"/>
      <c r="ET628" s="12"/>
      <c r="EU628" s="12"/>
      <c r="EV628" s="11">
        <v>6</v>
      </c>
      <c r="EW628" s="13">
        <v>362.89</v>
      </c>
      <c r="EX628" s="11">
        <v>13</v>
      </c>
      <c r="EY628" s="11"/>
      <c r="EZ628" s="13"/>
      <c r="FA628" s="11"/>
      <c r="FB628" s="12"/>
      <c r="FC628" s="12"/>
      <c r="FD628" s="11"/>
      <c r="FE628" s="13"/>
      <c r="FF628" s="11"/>
      <c r="FG628" s="11"/>
      <c r="FH628" s="13"/>
      <c r="FI628" s="11"/>
      <c r="FJ628" s="12"/>
      <c r="FK628" s="12"/>
      <c r="FL628" s="11">
        <v>15</v>
      </c>
      <c r="FM628" s="13">
        <v>1037.77</v>
      </c>
      <c r="FN628" s="11">
        <v>14</v>
      </c>
      <c r="FO628" s="11"/>
      <c r="FP628" s="13"/>
      <c r="FQ628" s="11"/>
      <c r="FR628" s="12"/>
      <c r="FS628" s="12"/>
      <c r="FT628" s="11">
        <v>24</v>
      </c>
      <c r="FU628" s="13">
        <v>1644.02</v>
      </c>
      <c r="FV628" s="11">
        <v>38</v>
      </c>
      <c r="FW628" s="11"/>
      <c r="FX628" s="13"/>
      <c r="FY628" s="11"/>
      <c r="FZ628" s="12"/>
      <c r="GA628" s="12"/>
      <c r="GB628" s="11">
        <v>5</v>
      </c>
      <c r="GC628" s="13">
        <v>404.56</v>
      </c>
      <c r="GD628" s="11">
        <v>12</v>
      </c>
      <c r="GE628" s="11"/>
      <c r="GF628" s="13"/>
      <c r="GG628" s="11"/>
      <c r="GH628" s="12"/>
      <c r="GI628" s="12"/>
      <c r="GJ628" s="11"/>
      <c r="GK628" s="13"/>
      <c r="GL628" s="11"/>
      <c r="GM628" s="11"/>
      <c r="GN628" s="13"/>
      <c r="GO628" s="11"/>
      <c r="GP628" s="12"/>
      <c r="GQ628" s="12"/>
      <c r="GR628" s="11"/>
      <c r="GS628" s="13"/>
      <c r="GT628" s="11">
        <v>21</v>
      </c>
      <c r="GU628" s="11"/>
      <c r="GV628" s="13"/>
      <c r="GW628" s="11"/>
      <c r="GX628" s="12"/>
      <c r="GY628" s="12"/>
      <c r="GZ628" s="11">
        <v>5</v>
      </c>
      <c r="HA628" s="13">
        <v>346.51</v>
      </c>
      <c r="HB628" s="11">
        <v>24</v>
      </c>
      <c r="HC628" s="11"/>
      <c r="HD628" s="13"/>
      <c r="HE628" s="11"/>
      <c r="HF628" s="12"/>
      <c r="HG628" s="12"/>
      <c r="HH628" s="11"/>
      <c r="HI628" s="13"/>
      <c r="HJ628" s="11"/>
      <c r="HK628" s="11"/>
      <c r="HL628" s="13"/>
      <c r="HM628" s="11"/>
      <c r="HN628" s="12"/>
      <c r="HO628" s="12"/>
      <c r="HP628" s="11"/>
      <c r="HQ628" s="13"/>
      <c r="HR628" s="11"/>
      <c r="HS628" s="11"/>
      <c r="HT628" s="13"/>
      <c r="HU628" s="11"/>
      <c r="HV628" s="12"/>
      <c r="HW628" s="12"/>
      <c r="HX628" s="11">
        <v>2</v>
      </c>
      <c r="HY628" s="13">
        <v>149.69</v>
      </c>
      <c r="HZ628" s="11">
        <v>25</v>
      </c>
      <c r="IA628" s="11"/>
      <c r="IB628" s="13"/>
      <c r="IC628" s="11"/>
      <c r="ID628" s="12"/>
      <c r="IE628" s="12"/>
      <c r="IF628" s="11"/>
      <c r="IG628" s="13"/>
      <c r="IH628" s="11"/>
      <c r="II628" s="11"/>
      <c r="IJ628" s="13"/>
      <c r="IK628" s="11"/>
      <c r="IL628" s="12"/>
      <c r="IM628" s="12"/>
      <c r="IN628" s="11"/>
      <c r="IO628" s="13"/>
      <c r="IP628" s="11"/>
      <c r="IQ628" s="11"/>
      <c r="IR628" s="13"/>
      <c r="IS628" s="11"/>
      <c r="IT628" s="12"/>
      <c r="IU628" s="12"/>
      <c r="IV628" s="11"/>
      <c r="IW628" s="13"/>
      <c r="IX628" s="11">
        <v>51</v>
      </c>
      <c r="IY628" s="11"/>
      <c r="IZ628" s="13"/>
      <c r="JA628" s="11"/>
      <c r="JB628" s="12"/>
      <c r="JC628" s="12"/>
      <c r="JD628" s="11"/>
      <c r="JE628" s="13"/>
      <c r="JF628" s="11"/>
      <c r="JG628" s="11"/>
      <c r="JH628" s="13"/>
      <c r="JI628" s="11"/>
      <c r="JJ628" s="12"/>
      <c r="JK628" s="12"/>
      <c r="JL628" s="11"/>
      <c r="JM628" s="13"/>
      <c r="JN628" s="11"/>
      <c r="JO628" s="11"/>
      <c r="JP628" s="13"/>
      <c r="JQ628" s="11"/>
      <c r="JR628" s="12"/>
      <c r="JS628" s="12"/>
      <c r="JT628" s="11"/>
      <c r="JU628" s="13"/>
      <c r="JV628" s="11">
        <v>1</v>
      </c>
      <c r="JW628" s="11"/>
      <c r="JX628" s="13"/>
      <c r="JY628" s="11"/>
      <c r="JZ628" s="12"/>
      <c r="KA628" s="12"/>
      <c r="KB628" s="11"/>
      <c r="KC628" s="13"/>
      <c r="KD628" s="11"/>
      <c r="KE628" s="11"/>
      <c r="KF628" s="13"/>
      <c r="KG628" s="11"/>
      <c r="KH628" s="12"/>
      <c r="KI628" s="12"/>
      <c r="KJ628" s="11"/>
      <c r="KK628" s="13"/>
      <c r="KL628" s="11"/>
      <c r="KM628" s="11"/>
      <c r="KN628" s="13"/>
      <c r="KO628" s="11"/>
      <c r="KP628" s="12"/>
      <c r="KQ628" s="12"/>
      <c r="KR628" s="11"/>
      <c r="KS628" s="13"/>
      <c r="KT628" s="11"/>
      <c r="KU628" s="11"/>
      <c r="KV628" s="13"/>
      <c r="KW628" s="11"/>
      <c r="KX628" s="12"/>
      <c r="KY628" s="12"/>
      <c r="KZ628" s="11"/>
      <c r="LA628" s="13"/>
      <c r="LB628" s="11"/>
      <c r="LC628" s="11"/>
      <c r="LD628" s="13"/>
      <c r="LE628" s="11"/>
      <c r="LF628" s="12"/>
      <c r="LG628" s="12"/>
      <c r="LH628" s="11"/>
      <c r="LI628" s="13"/>
      <c r="LJ628" s="11"/>
      <c r="LK628" s="11"/>
      <c r="LL628" s="13"/>
      <c r="LM628" s="11"/>
      <c r="LN628" s="12"/>
      <c r="LO628" s="12"/>
      <c r="LP628" s="11"/>
      <c r="LQ628" s="13"/>
      <c r="LR628" s="11"/>
      <c r="LS628" s="11"/>
      <c r="LT628" s="13"/>
      <c r="LU628" s="11"/>
      <c r="LV628" s="12"/>
      <c r="LW628" s="12"/>
    </row>
    <row r="629">
      <c r="A629" s="10" t="s">
        <v>300</v>
      </c>
      <c r="B629" s="10" t="s">
        <v>305</v>
      </c>
      <c r="C629" s="10" t="s">
        <v>74</v>
      </c>
      <c r="D629" s="11">
        <v>13599</v>
      </c>
      <c r="E629" s="11">
        <f>=ROUNDDOWN(29.763624425476,0)</f>
      </c>
      <c r="F629" s="11">
        <v>6980</v>
      </c>
      <c r="G629" s="12">
        <v>1</v>
      </c>
      <c r="H629" s="11"/>
      <c r="I629" s="11">
        <f>=ROUNDDOWN({0},0)</f>
      </c>
      <c r="J629" s="11"/>
      <c r="K629" s="12"/>
      <c r="L629" s="11">
        <v>6779</v>
      </c>
      <c r="M629" s="13">
        <v>373382.91</v>
      </c>
      <c r="N629" s="11">
        <v>30</v>
      </c>
      <c r="O629" s="14">
        <v>12446.1</v>
      </c>
      <c r="P629" s="11"/>
      <c r="Q629" s="13"/>
      <c r="R629" s="11"/>
      <c r="S629" s="14"/>
      <c r="T629" s="12"/>
      <c r="U629" s="12"/>
      <c r="V629" s="12"/>
      <c r="W629" s="12"/>
      <c r="X629" s="11">
        <v>3368</v>
      </c>
      <c r="Y629" s="13">
        <v>196733.11</v>
      </c>
      <c r="Z629" s="11">
        <v>27</v>
      </c>
      <c r="AA629" s="11"/>
      <c r="AB629" s="13"/>
      <c r="AC629" s="11"/>
      <c r="AD629" s="12"/>
      <c r="AE629" s="12"/>
      <c r="AF629" s="11">
        <v>617</v>
      </c>
      <c r="AG629" s="13">
        <v>28837.49</v>
      </c>
      <c r="AH629" s="11">
        <v>30</v>
      </c>
      <c r="AI629" s="11"/>
      <c r="AJ629" s="13"/>
      <c r="AK629" s="11"/>
      <c r="AL629" s="12"/>
      <c r="AM629" s="12"/>
      <c r="AN629" s="11">
        <v>575</v>
      </c>
      <c r="AO629" s="13">
        <v>29918.85</v>
      </c>
      <c r="AP629" s="11">
        <v>30</v>
      </c>
      <c r="AQ629" s="11"/>
      <c r="AR629" s="13"/>
      <c r="AS629" s="11"/>
      <c r="AT629" s="12"/>
      <c r="AU629" s="12"/>
      <c r="AV629" s="11">
        <v>887</v>
      </c>
      <c r="AW629" s="13">
        <v>49177.87</v>
      </c>
      <c r="AX629" s="11">
        <v>24</v>
      </c>
      <c r="AY629" s="11"/>
      <c r="AZ629" s="13"/>
      <c r="BA629" s="11"/>
      <c r="BB629" s="12"/>
      <c r="BC629" s="12"/>
      <c r="BD629" s="11">
        <v>273</v>
      </c>
      <c r="BE629" s="13">
        <v>14962.98</v>
      </c>
      <c r="BF629" s="11">
        <v>30</v>
      </c>
      <c r="BG629" s="11"/>
      <c r="BH629" s="13"/>
      <c r="BI629" s="11"/>
      <c r="BJ629" s="12"/>
      <c r="BK629" s="12"/>
      <c r="BL629" s="11">
        <v>265</v>
      </c>
      <c r="BM629" s="13">
        <v>14253.73</v>
      </c>
      <c r="BN629" s="11">
        <v>30</v>
      </c>
      <c r="BO629" s="11"/>
      <c r="BP629" s="13"/>
      <c r="BQ629" s="11"/>
      <c r="BR629" s="12"/>
      <c r="BS629" s="12"/>
      <c r="BT629" s="11">
        <v>318</v>
      </c>
      <c r="BU629" s="13">
        <v>14751.19</v>
      </c>
      <c r="BV629" s="11">
        <v>30</v>
      </c>
      <c r="BW629" s="11"/>
      <c r="BX629" s="13"/>
      <c r="BY629" s="11"/>
      <c r="BZ629" s="12"/>
      <c r="CA629" s="12"/>
      <c r="CB629" s="11">
        <v>244</v>
      </c>
      <c r="CC629" s="13">
        <v>12146.73</v>
      </c>
      <c r="CD629" s="11">
        <v>30</v>
      </c>
      <c r="CE629" s="11"/>
      <c r="CF629" s="13"/>
      <c r="CG629" s="11"/>
      <c r="CH629" s="12"/>
      <c r="CI629" s="12"/>
      <c r="CJ629" s="11">
        <v>52</v>
      </c>
      <c r="CK629" s="13">
        <v>3608.31</v>
      </c>
      <c r="CL629" s="11">
        <v>30</v>
      </c>
      <c r="CM629" s="11"/>
      <c r="CN629" s="13"/>
      <c r="CO629" s="11"/>
      <c r="CP629" s="12"/>
      <c r="CQ629" s="12"/>
      <c r="CR629" s="11"/>
      <c r="CS629" s="13"/>
      <c r="CT629" s="11"/>
      <c r="CU629" s="11"/>
      <c r="CV629" s="13"/>
      <c r="CW629" s="11"/>
      <c r="CX629" s="12"/>
      <c r="CY629" s="12"/>
      <c r="CZ629" s="11"/>
      <c r="DA629" s="13"/>
      <c r="DB629" s="11"/>
      <c r="DC629" s="11"/>
      <c r="DD629" s="13"/>
      <c r="DE629" s="11"/>
      <c r="DF629" s="12"/>
      <c r="DG629" s="12"/>
      <c r="DH629" s="11">
        <v>2</v>
      </c>
      <c r="DI629" s="13">
        <v>81.02</v>
      </c>
      <c r="DJ629" s="11">
        <v>7</v>
      </c>
      <c r="DK629" s="11"/>
      <c r="DL629" s="13"/>
      <c r="DM629" s="11"/>
      <c r="DN629" s="12"/>
      <c r="DO629" s="12"/>
      <c r="DP629" s="11">
        <v>42</v>
      </c>
      <c r="DQ629" s="13">
        <v>2057.51</v>
      </c>
      <c r="DR629" s="11">
        <v>29</v>
      </c>
      <c r="DS629" s="11"/>
      <c r="DT629" s="13"/>
      <c r="DU629" s="11"/>
      <c r="DV629" s="12"/>
      <c r="DW629" s="12"/>
      <c r="DX629" s="11">
        <v>103</v>
      </c>
      <c r="DY629" s="13">
        <v>4929.12</v>
      </c>
      <c r="DZ629" s="11">
        <v>28</v>
      </c>
      <c r="EA629" s="11"/>
      <c r="EB629" s="13"/>
      <c r="EC629" s="11"/>
      <c r="ED629" s="12"/>
      <c r="EE629" s="12"/>
      <c r="EF629" s="11"/>
      <c r="EG629" s="13"/>
      <c r="EH629" s="11"/>
      <c r="EI629" s="11"/>
      <c r="EJ629" s="13"/>
      <c r="EK629" s="11"/>
      <c r="EL629" s="12"/>
      <c r="EM629" s="12"/>
      <c r="EN629" s="11">
        <v>7</v>
      </c>
      <c r="EO629" s="13">
        <v>687.93</v>
      </c>
      <c r="EP629" s="11">
        <v>30</v>
      </c>
      <c r="EQ629" s="11"/>
      <c r="ER629" s="13"/>
      <c r="ES629" s="11"/>
      <c r="ET629" s="12"/>
      <c r="EU629" s="12"/>
      <c r="EV629" s="11">
        <v>5</v>
      </c>
      <c r="EW629" s="13">
        <v>201.6</v>
      </c>
      <c r="EX629" s="11"/>
      <c r="EY629" s="11"/>
      <c r="EZ629" s="13"/>
      <c r="FA629" s="11"/>
      <c r="FB629" s="12"/>
      <c r="FC629" s="12"/>
      <c r="FD629" s="11">
        <v>1</v>
      </c>
      <c r="FE629" s="13">
        <v>57.15</v>
      </c>
      <c r="FF629" s="11">
        <v>3</v>
      </c>
      <c r="FG629" s="11"/>
      <c r="FH629" s="13"/>
      <c r="FI629" s="11"/>
      <c r="FJ629" s="12"/>
      <c r="FK629" s="12"/>
      <c r="FL629" s="11"/>
      <c r="FM629" s="13"/>
      <c r="FN629" s="11"/>
      <c r="FO629" s="11"/>
      <c r="FP629" s="13"/>
      <c r="FQ629" s="11"/>
      <c r="FR629" s="12"/>
      <c r="FS629" s="12"/>
      <c r="FT629" s="11">
        <v>16</v>
      </c>
      <c r="FU629" s="13">
        <v>748.98</v>
      </c>
      <c r="FV629" s="11">
        <v>8</v>
      </c>
      <c r="FW629" s="11"/>
      <c r="FX629" s="13"/>
      <c r="FY629" s="11"/>
      <c r="FZ629" s="12"/>
      <c r="GA629" s="12"/>
      <c r="GB629" s="11"/>
      <c r="GC629" s="13"/>
      <c r="GD629" s="11"/>
      <c r="GE629" s="11"/>
      <c r="GF629" s="13"/>
      <c r="GG629" s="11"/>
      <c r="GH629" s="12"/>
      <c r="GI629" s="12"/>
      <c r="GJ629" s="11"/>
      <c r="GK629" s="13"/>
      <c r="GL629" s="11"/>
      <c r="GM629" s="11"/>
      <c r="GN629" s="13"/>
      <c r="GO629" s="11"/>
      <c r="GP629" s="12"/>
      <c r="GQ629" s="12"/>
      <c r="GR629" s="11"/>
      <c r="GS629" s="13"/>
      <c r="GT629" s="11">
        <v>2</v>
      </c>
      <c r="GU629" s="11"/>
      <c r="GV629" s="13"/>
      <c r="GW629" s="11"/>
      <c r="GX629" s="12"/>
      <c r="GY629" s="12"/>
      <c r="GZ629" s="11">
        <v>2</v>
      </c>
      <c r="HA629" s="13">
        <v>100.27</v>
      </c>
      <c r="HB629" s="11">
        <v>4</v>
      </c>
      <c r="HC629" s="11"/>
      <c r="HD629" s="13"/>
      <c r="HE629" s="11"/>
      <c r="HF629" s="12"/>
      <c r="HG629" s="12"/>
      <c r="HH629" s="11"/>
      <c r="HI629" s="13"/>
      <c r="HJ629" s="11"/>
      <c r="HK629" s="11"/>
      <c r="HL629" s="13"/>
      <c r="HM629" s="11"/>
      <c r="HN629" s="12"/>
      <c r="HO629" s="12"/>
      <c r="HP629" s="11"/>
      <c r="HQ629" s="13"/>
      <c r="HR629" s="11"/>
      <c r="HS629" s="11"/>
      <c r="HT629" s="13"/>
      <c r="HU629" s="11"/>
      <c r="HV629" s="12"/>
      <c r="HW629" s="12"/>
      <c r="HX629" s="11"/>
      <c r="HY629" s="13"/>
      <c r="HZ629" s="11"/>
      <c r="IA629" s="11"/>
      <c r="IB629" s="13"/>
      <c r="IC629" s="11"/>
      <c r="ID629" s="12"/>
      <c r="IE629" s="12"/>
      <c r="IF629" s="11"/>
      <c r="IG629" s="13"/>
      <c r="IH629" s="11"/>
      <c r="II629" s="11"/>
      <c r="IJ629" s="13"/>
      <c r="IK629" s="11"/>
      <c r="IL629" s="12"/>
      <c r="IM629" s="12"/>
      <c r="IN629" s="11"/>
      <c r="IO629" s="13"/>
      <c r="IP629" s="11"/>
      <c r="IQ629" s="11"/>
      <c r="IR629" s="13"/>
      <c r="IS629" s="11"/>
      <c r="IT629" s="12"/>
      <c r="IU629" s="12"/>
      <c r="IV629" s="11"/>
      <c r="IW629" s="13"/>
      <c r="IX629" s="11">
        <v>5</v>
      </c>
      <c r="IY629" s="11"/>
      <c r="IZ629" s="13"/>
      <c r="JA629" s="11"/>
      <c r="JB629" s="12"/>
      <c r="JC629" s="12"/>
      <c r="JD629" s="11">
        <v>2</v>
      </c>
      <c r="JE629" s="13">
        <v>129.07</v>
      </c>
      <c r="JF629" s="11">
        <v>10</v>
      </c>
      <c r="JG629" s="11"/>
      <c r="JH629" s="13"/>
      <c r="JI629" s="11"/>
      <c r="JJ629" s="12"/>
      <c r="JK629" s="12"/>
      <c r="JL629" s="11"/>
      <c r="JM629" s="13"/>
      <c r="JN629" s="11"/>
      <c r="JO629" s="11"/>
      <c r="JP629" s="13"/>
      <c r="JQ629" s="11"/>
      <c r="JR629" s="12"/>
      <c r="JS629" s="12"/>
      <c r="JT629" s="11"/>
      <c r="JU629" s="13"/>
      <c r="JV629" s="11"/>
      <c r="JW629" s="11"/>
      <c r="JX629" s="13"/>
      <c r="JY629" s="11"/>
      <c r="JZ629" s="12"/>
      <c r="KA629" s="12"/>
      <c r="KB629" s="11"/>
      <c r="KC629" s="13"/>
      <c r="KD629" s="11"/>
      <c r="KE629" s="11"/>
      <c r="KF629" s="13"/>
      <c r="KG629" s="11"/>
      <c r="KH629" s="12"/>
      <c r="KI629" s="12"/>
      <c r="KJ629" s="11"/>
      <c r="KK629" s="13"/>
      <c r="KL629" s="11"/>
      <c r="KM629" s="11"/>
      <c r="KN629" s="13"/>
      <c r="KO629" s="11"/>
      <c r="KP629" s="12"/>
      <c r="KQ629" s="12"/>
      <c r="KR629" s="11"/>
      <c r="KS629" s="13"/>
      <c r="KT629" s="11"/>
      <c r="KU629" s="11"/>
      <c r="KV629" s="13"/>
      <c r="KW629" s="11"/>
      <c r="KX629" s="12"/>
      <c r="KY629" s="12"/>
      <c r="KZ629" s="11"/>
      <c r="LA629" s="13"/>
      <c r="LB629" s="11"/>
      <c r="LC629" s="11"/>
      <c r="LD629" s="13"/>
      <c r="LE629" s="11"/>
      <c r="LF629" s="12"/>
      <c r="LG629" s="12"/>
      <c r="LH629" s="11"/>
      <c r="LI629" s="13"/>
      <c r="LJ629" s="11"/>
      <c r="LK629" s="11"/>
      <c r="LL629" s="13"/>
      <c r="LM629" s="11"/>
      <c r="LN629" s="12"/>
      <c r="LO629" s="12"/>
      <c r="LP629" s="11"/>
      <c r="LQ629" s="13"/>
      <c r="LR629" s="11"/>
      <c r="LS629" s="11"/>
      <c r="LT629" s="13"/>
      <c r="LU629" s="11"/>
      <c r="LV629" s="12"/>
      <c r="LW629" s="12"/>
    </row>
    <row r="630">
      <c r="A630" s="10" t="s">
        <v>300</v>
      </c>
      <c r="B630" s="10" t="s">
        <v>305</v>
      </c>
      <c r="C630" s="10" t="s">
        <v>75</v>
      </c>
      <c r="D630" s="11">
        <v>6925</v>
      </c>
      <c r="E630" s="11">
        <f>=ROUNDDOWN(39.7075688073394,0)</f>
      </c>
      <c r="F630" s="11">
        <v>1170</v>
      </c>
      <c r="G630" s="12">
        <v>1</v>
      </c>
      <c r="H630" s="11"/>
      <c r="I630" s="11">
        <f>=ROUNDDOWN({0},0)</f>
      </c>
      <c r="J630" s="11"/>
      <c r="K630" s="12"/>
      <c r="L630" s="11">
        <v>2809</v>
      </c>
      <c r="M630" s="13">
        <v>140349.77</v>
      </c>
      <c r="N630" s="11">
        <v>22</v>
      </c>
      <c r="O630" s="14">
        <v>6379.54</v>
      </c>
      <c r="P630" s="11"/>
      <c r="Q630" s="13"/>
      <c r="R630" s="11"/>
      <c r="S630" s="14"/>
      <c r="T630" s="12"/>
      <c r="U630" s="12"/>
      <c r="V630" s="12"/>
      <c r="W630" s="12"/>
      <c r="X630" s="11">
        <v>1442</v>
      </c>
      <c r="Y630" s="13">
        <v>74875.29</v>
      </c>
      <c r="Z630" s="11">
        <v>19</v>
      </c>
      <c r="AA630" s="11"/>
      <c r="AB630" s="13"/>
      <c r="AC630" s="11"/>
      <c r="AD630" s="12"/>
      <c r="AE630" s="12"/>
      <c r="AF630" s="11">
        <v>297</v>
      </c>
      <c r="AG630" s="13">
        <v>12594.25</v>
      </c>
      <c r="AH630" s="11">
        <v>22</v>
      </c>
      <c r="AI630" s="11"/>
      <c r="AJ630" s="13"/>
      <c r="AK630" s="11"/>
      <c r="AL630" s="12"/>
      <c r="AM630" s="12"/>
      <c r="AN630" s="11">
        <v>270</v>
      </c>
      <c r="AO630" s="13">
        <v>12727.06</v>
      </c>
      <c r="AP630" s="11">
        <v>19</v>
      </c>
      <c r="AQ630" s="11"/>
      <c r="AR630" s="13"/>
      <c r="AS630" s="11"/>
      <c r="AT630" s="12"/>
      <c r="AU630" s="12"/>
      <c r="AV630" s="11">
        <v>217</v>
      </c>
      <c r="AW630" s="13">
        <v>11197.89</v>
      </c>
      <c r="AX630" s="11">
        <v>16</v>
      </c>
      <c r="AY630" s="11"/>
      <c r="AZ630" s="13"/>
      <c r="BA630" s="11"/>
      <c r="BB630" s="12"/>
      <c r="BC630" s="12"/>
      <c r="BD630" s="11">
        <v>112</v>
      </c>
      <c r="BE630" s="13">
        <v>5650.95</v>
      </c>
      <c r="BF630" s="11">
        <v>22</v>
      </c>
      <c r="BG630" s="11"/>
      <c r="BH630" s="13"/>
      <c r="BI630" s="11"/>
      <c r="BJ630" s="12"/>
      <c r="BK630" s="12"/>
      <c r="BL630" s="11">
        <v>175</v>
      </c>
      <c r="BM630" s="13">
        <v>8875.39</v>
      </c>
      <c r="BN630" s="11">
        <v>22</v>
      </c>
      <c r="BO630" s="11"/>
      <c r="BP630" s="13"/>
      <c r="BQ630" s="11"/>
      <c r="BR630" s="12"/>
      <c r="BS630" s="12"/>
      <c r="BT630" s="11">
        <v>18</v>
      </c>
      <c r="BU630" s="13">
        <v>810</v>
      </c>
      <c r="BV630" s="11">
        <v>22</v>
      </c>
      <c r="BW630" s="11"/>
      <c r="BX630" s="13"/>
      <c r="BY630" s="11"/>
      <c r="BZ630" s="12"/>
      <c r="CA630" s="12"/>
      <c r="CB630" s="11">
        <v>201</v>
      </c>
      <c r="CC630" s="13">
        <v>9945.8</v>
      </c>
      <c r="CD630" s="11">
        <v>22</v>
      </c>
      <c r="CE630" s="11"/>
      <c r="CF630" s="13"/>
      <c r="CG630" s="11"/>
      <c r="CH630" s="12"/>
      <c r="CI630" s="12"/>
      <c r="CJ630" s="11">
        <v>1</v>
      </c>
      <c r="CK630" s="13">
        <v>75.99</v>
      </c>
      <c r="CL630" s="11">
        <v>22</v>
      </c>
      <c r="CM630" s="11"/>
      <c r="CN630" s="13"/>
      <c r="CO630" s="11"/>
      <c r="CP630" s="12"/>
      <c r="CQ630" s="12"/>
      <c r="CR630" s="11"/>
      <c r="CS630" s="13"/>
      <c r="CT630" s="11"/>
      <c r="CU630" s="11"/>
      <c r="CV630" s="13"/>
      <c r="CW630" s="11"/>
      <c r="CX630" s="12"/>
      <c r="CY630" s="12"/>
      <c r="CZ630" s="11"/>
      <c r="DA630" s="13"/>
      <c r="DB630" s="11"/>
      <c r="DC630" s="11"/>
      <c r="DD630" s="13"/>
      <c r="DE630" s="11"/>
      <c r="DF630" s="12"/>
      <c r="DG630" s="12"/>
      <c r="DH630" s="11">
        <v>8</v>
      </c>
      <c r="DI630" s="13">
        <v>479</v>
      </c>
      <c r="DJ630" s="11">
        <v>5</v>
      </c>
      <c r="DK630" s="11"/>
      <c r="DL630" s="13"/>
      <c r="DM630" s="11"/>
      <c r="DN630" s="12"/>
      <c r="DO630" s="12"/>
      <c r="DP630" s="11">
        <v>15</v>
      </c>
      <c r="DQ630" s="13">
        <v>778.65</v>
      </c>
      <c r="DR630" s="11">
        <v>21</v>
      </c>
      <c r="DS630" s="11"/>
      <c r="DT630" s="13"/>
      <c r="DU630" s="11"/>
      <c r="DV630" s="12"/>
      <c r="DW630" s="12"/>
      <c r="DX630" s="11">
        <v>36</v>
      </c>
      <c r="DY630" s="13">
        <v>1488.85</v>
      </c>
      <c r="DZ630" s="11">
        <v>22</v>
      </c>
      <c r="EA630" s="11"/>
      <c r="EB630" s="13"/>
      <c r="EC630" s="11"/>
      <c r="ED630" s="12"/>
      <c r="EE630" s="12"/>
      <c r="EF630" s="11"/>
      <c r="EG630" s="13"/>
      <c r="EH630" s="11"/>
      <c r="EI630" s="11"/>
      <c r="EJ630" s="13"/>
      <c r="EK630" s="11"/>
      <c r="EL630" s="12"/>
      <c r="EM630" s="12"/>
      <c r="EN630" s="11">
        <v>1</v>
      </c>
      <c r="EO630" s="13">
        <v>89.99</v>
      </c>
      <c r="EP630" s="11">
        <v>22</v>
      </c>
      <c r="EQ630" s="11"/>
      <c r="ER630" s="13"/>
      <c r="ES630" s="11"/>
      <c r="ET630" s="12"/>
      <c r="EU630" s="12"/>
      <c r="EV630" s="11">
        <v>10</v>
      </c>
      <c r="EW630" s="13">
        <v>471.87</v>
      </c>
      <c r="EX630" s="11">
        <v>4</v>
      </c>
      <c r="EY630" s="11"/>
      <c r="EZ630" s="13"/>
      <c r="FA630" s="11"/>
      <c r="FB630" s="12"/>
      <c r="FC630" s="12"/>
      <c r="FD630" s="11"/>
      <c r="FE630" s="13"/>
      <c r="FF630" s="11"/>
      <c r="FG630" s="11"/>
      <c r="FH630" s="13"/>
      <c r="FI630" s="11"/>
      <c r="FJ630" s="12"/>
      <c r="FK630" s="12"/>
      <c r="FL630" s="11"/>
      <c r="FM630" s="13"/>
      <c r="FN630" s="11"/>
      <c r="FO630" s="11"/>
      <c r="FP630" s="13"/>
      <c r="FQ630" s="11"/>
      <c r="FR630" s="12"/>
      <c r="FS630" s="12"/>
      <c r="FT630" s="11">
        <v>1</v>
      </c>
      <c r="FU630" s="13">
        <v>50.39</v>
      </c>
      <c r="FV630" s="11">
        <v>11</v>
      </c>
      <c r="FW630" s="11"/>
      <c r="FX630" s="13"/>
      <c r="FY630" s="11"/>
      <c r="FZ630" s="12"/>
      <c r="GA630" s="12"/>
      <c r="GB630" s="11">
        <v>1</v>
      </c>
      <c r="GC630" s="13">
        <v>42.52</v>
      </c>
      <c r="GD630" s="11">
        <v>2</v>
      </c>
      <c r="GE630" s="11"/>
      <c r="GF630" s="13"/>
      <c r="GG630" s="11"/>
      <c r="GH630" s="12"/>
      <c r="GI630" s="12"/>
      <c r="GJ630" s="11"/>
      <c r="GK630" s="13"/>
      <c r="GL630" s="11"/>
      <c r="GM630" s="11"/>
      <c r="GN630" s="13"/>
      <c r="GO630" s="11"/>
      <c r="GP630" s="12"/>
      <c r="GQ630" s="12"/>
      <c r="GR630" s="11"/>
      <c r="GS630" s="13"/>
      <c r="GT630" s="11">
        <v>1</v>
      </c>
      <c r="GU630" s="11"/>
      <c r="GV630" s="13"/>
      <c r="GW630" s="11"/>
      <c r="GX630" s="12"/>
      <c r="GY630" s="12"/>
      <c r="GZ630" s="11">
        <v>3</v>
      </c>
      <c r="HA630" s="13">
        <v>140.44</v>
      </c>
      <c r="HB630" s="11">
        <v>6</v>
      </c>
      <c r="HC630" s="11"/>
      <c r="HD630" s="13"/>
      <c r="HE630" s="11"/>
      <c r="HF630" s="12"/>
      <c r="HG630" s="12"/>
      <c r="HH630" s="11"/>
      <c r="HI630" s="13"/>
      <c r="HJ630" s="11"/>
      <c r="HK630" s="11"/>
      <c r="HL630" s="13"/>
      <c r="HM630" s="11"/>
      <c r="HN630" s="12"/>
      <c r="HO630" s="12"/>
      <c r="HP630" s="11"/>
      <c r="HQ630" s="13"/>
      <c r="HR630" s="11"/>
      <c r="HS630" s="11"/>
      <c r="HT630" s="13"/>
      <c r="HU630" s="11"/>
      <c r="HV630" s="12"/>
      <c r="HW630" s="12"/>
      <c r="HX630" s="11"/>
      <c r="HY630" s="13"/>
      <c r="HZ630" s="11"/>
      <c r="IA630" s="11"/>
      <c r="IB630" s="13"/>
      <c r="IC630" s="11"/>
      <c r="ID630" s="12"/>
      <c r="IE630" s="12"/>
      <c r="IF630" s="11"/>
      <c r="IG630" s="13"/>
      <c r="IH630" s="11"/>
      <c r="II630" s="11"/>
      <c r="IJ630" s="13"/>
      <c r="IK630" s="11"/>
      <c r="IL630" s="12"/>
      <c r="IM630" s="12"/>
      <c r="IN630" s="11"/>
      <c r="IO630" s="13"/>
      <c r="IP630" s="11"/>
      <c r="IQ630" s="11"/>
      <c r="IR630" s="13"/>
      <c r="IS630" s="11"/>
      <c r="IT630" s="12"/>
      <c r="IU630" s="12"/>
      <c r="IV630" s="11"/>
      <c r="IW630" s="13"/>
      <c r="IX630" s="11">
        <v>8</v>
      </c>
      <c r="IY630" s="11"/>
      <c r="IZ630" s="13"/>
      <c r="JA630" s="11"/>
      <c r="JB630" s="12"/>
      <c r="JC630" s="12"/>
      <c r="JD630" s="11">
        <v>1</v>
      </c>
      <c r="JE630" s="13">
        <v>55.44</v>
      </c>
      <c r="JF630" s="11">
        <v>8</v>
      </c>
      <c r="JG630" s="11"/>
      <c r="JH630" s="13"/>
      <c r="JI630" s="11"/>
      <c r="JJ630" s="12"/>
      <c r="JK630" s="12"/>
      <c r="JL630" s="11"/>
      <c r="JM630" s="13"/>
      <c r="JN630" s="11"/>
      <c r="JO630" s="11"/>
      <c r="JP630" s="13"/>
      <c r="JQ630" s="11"/>
      <c r="JR630" s="12"/>
      <c r="JS630" s="12"/>
      <c r="JT630" s="11"/>
      <c r="JU630" s="13"/>
      <c r="JV630" s="11"/>
      <c r="JW630" s="11"/>
      <c r="JX630" s="13"/>
      <c r="JY630" s="11"/>
      <c r="JZ630" s="12"/>
      <c r="KA630" s="12"/>
      <c r="KB630" s="11"/>
      <c r="KC630" s="13"/>
      <c r="KD630" s="11"/>
      <c r="KE630" s="11"/>
      <c r="KF630" s="13"/>
      <c r="KG630" s="11"/>
      <c r="KH630" s="12"/>
      <c r="KI630" s="12"/>
      <c r="KJ630" s="11"/>
      <c r="KK630" s="13"/>
      <c r="KL630" s="11"/>
      <c r="KM630" s="11"/>
      <c r="KN630" s="13"/>
      <c r="KO630" s="11"/>
      <c r="KP630" s="12"/>
      <c r="KQ630" s="12"/>
      <c r="KR630" s="11"/>
      <c r="KS630" s="13"/>
      <c r="KT630" s="11"/>
      <c r="KU630" s="11"/>
      <c r="KV630" s="13"/>
      <c r="KW630" s="11"/>
      <c r="KX630" s="12"/>
      <c r="KY630" s="12"/>
      <c r="KZ630" s="11"/>
      <c r="LA630" s="13"/>
      <c r="LB630" s="11"/>
      <c r="LC630" s="11"/>
      <c r="LD630" s="13"/>
      <c r="LE630" s="11"/>
      <c r="LF630" s="12"/>
      <c r="LG630" s="12"/>
      <c r="LH630" s="11"/>
      <c r="LI630" s="13"/>
      <c r="LJ630" s="11"/>
      <c r="LK630" s="11"/>
      <c r="LL630" s="13"/>
      <c r="LM630" s="11"/>
      <c r="LN630" s="12"/>
      <c r="LO630" s="12"/>
      <c r="LP630" s="11"/>
      <c r="LQ630" s="13"/>
      <c r="LR630" s="11"/>
      <c r="LS630" s="11"/>
      <c r="LT630" s="13"/>
      <c r="LU630" s="11"/>
      <c r="LV630" s="12"/>
      <c r="LW630" s="12"/>
    </row>
    <row r="631">
      <c r="A631" s="10" t="s">
        <v>300</v>
      </c>
      <c r="B631" s="10" t="s">
        <v>305</v>
      </c>
      <c r="C631" s="10" t="s">
        <v>83</v>
      </c>
      <c r="D631" s="11">
        <v>4669</v>
      </c>
      <c r="E631" s="11">
        <f>=ROUNDDOWN(44.2140151515151,0)</f>
      </c>
      <c r="F631" s="11">
        <v>540</v>
      </c>
      <c r="G631" s="12">
        <v>1</v>
      </c>
      <c r="H631" s="11"/>
      <c r="I631" s="11">
        <f>=ROUNDDOWN({0},0)</f>
      </c>
      <c r="J631" s="11"/>
      <c r="K631" s="12"/>
      <c r="L631" s="11">
        <v>1453</v>
      </c>
      <c r="M631" s="13">
        <v>62463.6</v>
      </c>
      <c r="N631" s="11">
        <v>16</v>
      </c>
      <c r="O631" s="14">
        <v>3903.98</v>
      </c>
      <c r="P631" s="11"/>
      <c r="Q631" s="13"/>
      <c r="R631" s="11"/>
      <c r="S631" s="14"/>
      <c r="T631" s="12"/>
      <c r="U631" s="12"/>
      <c r="V631" s="12"/>
      <c r="W631" s="12"/>
      <c r="X631" s="11">
        <v>631</v>
      </c>
      <c r="Y631" s="13">
        <v>27114.74</v>
      </c>
      <c r="Z631" s="11">
        <v>14</v>
      </c>
      <c r="AA631" s="11"/>
      <c r="AB631" s="13"/>
      <c r="AC631" s="11"/>
      <c r="AD631" s="12"/>
      <c r="AE631" s="12"/>
      <c r="AF631" s="11">
        <v>115</v>
      </c>
      <c r="AG631" s="13">
        <v>4313.79</v>
      </c>
      <c r="AH631" s="11">
        <v>16</v>
      </c>
      <c r="AI631" s="11"/>
      <c r="AJ631" s="13"/>
      <c r="AK631" s="11"/>
      <c r="AL631" s="12"/>
      <c r="AM631" s="12"/>
      <c r="AN631" s="11">
        <v>71</v>
      </c>
      <c r="AO631" s="13">
        <v>2891.31</v>
      </c>
      <c r="AP631" s="11">
        <v>16</v>
      </c>
      <c r="AQ631" s="11"/>
      <c r="AR631" s="13"/>
      <c r="AS631" s="11"/>
      <c r="AT631" s="12"/>
      <c r="AU631" s="12"/>
      <c r="AV631" s="11">
        <v>309</v>
      </c>
      <c r="AW631" s="13">
        <v>12991.15</v>
      </c>
      <c r="AX631" s="11">
        <v>14</v>
      </c>
      <c r="AY631" s="11"/>
      <c r="AZ631" s="13"/>
      <c r="BA631" s="11"/>
      <c r="BB631" s="12"/>
      <c r="BC631" s="12"/>
      <c r="BD631" s="11">
        <v>72</v>
      </c>
      <c r="BE631" s="13">
        <v>3469.5</v>
      </c>
      <c r="BF631" s="11">
        <v>14</v>
      </c>
      <c r="BG631" s="11"/>
      <c r="BH631" s="13"/>
      <c r="BI631" s="11"/>
      <c r="BJ631" s="12"/>
      <c r="BK631" s="12"/>
      <c r="BL631" s="11">
        <v>151</v>
      </c>
      <c r="BM631" s="13">
        <v>6856.03</v>
      </c>
      <c r="BN631" s="11">
        <v>16</v>
      </c>
      <c r="BO631" s="11"/>
      <c r="BP631" s="13"/>
      <c r="BQ631" s="11"/>
      <c r="BR631" s="12"/>
      <c r="BS631" s="12"/>
      <c r="BT631" s="11">
        <v>6</v>
      </c>
      <c r="BU631" s="13">
        <v>288.74</v>
      </c>
      <c r="BV631" s="11">
        <v>16</v>
      </c>
      <c r="BW631" s="11"/>
      <c r="BX631" s="13"/>
      <c r="BY631" s="11"/>
      <c r="BZ631" s="12"/>
      <c r="CA631" s="12"/>
      <c r="CB631" s="11">
        <v>69</v>
      </c>
      <c r="CC631" s="13">
        <v>3281.75</v>
      </c>
      <c r="CD631" s="11">
        <v>16</v>
      </c>
      <c r="CE631" s="11"/>
      <c r="CF631" s="13"/>
      <c r="CG631" s="11"/>
      <c r="CH631" s="12"/>
      <c r="CI631" s="12"/>
      <c r="CJ631" s="11">
        <v>2</v>
      </c>
      <c r="CK631" s="13">
        <v>113.98</v>
      </c>
      <c r="CL631" s="11">
        <v>16</v>
      </c>
      <c r="CM631" s="11"/>
      <c r="CN631" s="13"/>
      <c r="CO631" s="11"/>
      <c r="CP631" s="12"/>
      <c r="CQ631" s="12"/>
      <c r="CR631" s="11"/>
      <c r="CS631" s="13"/>
      <c r="CT631" s="11"/>
      <c r="CU631" s="11"/>
      <c r="CV631" s="13"/>
      <c r="CW631" s="11"/>
      <c r="CX631" s="12"/>
      <c r="CY631" s="12"/>
      <c r="CZ631" s="11"/>
      <c r="DA631" s="13"/>
      <c r="DB631" s="11"/>
      <c r="DC631" s="11"/>
      <c r="DD631" s="13"/>
      <c r="DE631" s="11"/>
      <c r="DF631" s="12"/>
      <c r="DG631" s="12"/>
      <c r="DH631" s="11">
        <v>1</v>
      </c>
      <c r="DI631" s="13">
        <v>36.75</v>
      </c>
      <c r="DJ631" s="11">
        <v>3</v>
      </c>
      <c r="DK631" s="11"/>
      <c r="DL631" s="13"/>
      <c r="DM631" s="11"/>
      <c r="DN631" s="12"/>
      <c r="DO631" s="12"/>
      <c r="DP631" s="11">
        <v>8</v>
      </c>
      <c r="DQ631" s="13">
        <v>312.12</v>
      </c>
      <c r="DR631" s="11">
        <v>14</v>
      </c>
      <c r="DS631" s="11"/>
      <c r="DT631" s="13"/>
      <c r="DU631" s="11"/>
      <c r="DV631" s="12"/>
      <c r="DW631" s="12"/>
      <c r="DX631" s="11">
        <v>18</v>
      </c>
      <c r="DY631" s="13">
        <v>793.74</v>
      </c>
      <c r="DZ631" s="11">
        <v>14</v>
      </c>
      <c r="EA631" s="11"/>
      <c r="EB631" s="13"/>
      <c r="EC631" s="11"/>
      <c r="ED631" s="12"/>
      <c r="EE631" s="12"/>
      <c r="EF631" s="11"/>
      <c r="EG631" s="13"/>
      <c r="EH631" s="11"/>
      <c r="EI631" s="11"/>
      <c r="EJ631" s="13"/>
      <c r="EK631" s="11"/>
      <c r="EL631" s="12"/>
      <c r="EM631" s="12"/>
      <c r="EN631" s="11"/>
      <c r="EO631" s="13"/>
      <c r="EP631" s="11">
        <v>16</v>
      </c>
      <c r="EQ631" s="11"/>
      <c r="ER631" s="13"/>
      <c r="ES631" s="11"/>
      <c r="ET631" s="12"/>
      <c r="EU631" s="12"/>
      <c r="EV631" s="11"/>
      <c r="EW631" s="13"/>
      <c r="EX631" s="11">
        <v>1</v>
      </c>
      <c r="EY631" s="11"/>
      <c r="EZ631" s="13"/>
      <c r="FA631" s="11"/>
      <c r="FB631" s="12"/>
      <c r="FC631" s="12"/>
      <c r="FD631" s="11"/>
      <c r="FE631" s="13"/>
      <c r="FF631" s="11"/>
      <c r="FG631" s="11"/>
      <c r="FH631" s="13"/>
      <c r="FI631" s="11"/>
      <c r="FJ631" s="12"/>
      <c r="FK631" s="12"/>
      <c r="FL631" s="11"/>
      <c r="FM631" s="13"/>
      <c r="FN631" s="11"/>
      <c r="FO631" s="11"/>
      <c r="FP631" s="13"/>
      <c r="FQ631" s="11"/>
      <c r="FR631" s="12"/>
      <c r="FS631" s="12"/>
      <c r="FT631" s="11"/>
      <c r="FU631" s="13"/>
      <c r="FV631" s="11"/>
      <c r="FW631" s="11"/>
      <c r="FX631" s="13"/>
      <c r="FY631" s="11"/>
      <c r="FZ631" s="12"/>
      <c r="GA631" s="12"/>
      <c r="GB631" s="11"/>
      <c r="GC631" s="13"/>
      <c r="GD631" s="11"/>
      <c r="GE631" s="11"/>
      <c r="GF631" s="13"/>
      <c r="GG631" s="11"/>
      <c r="GH631" s="12"/>
      <c r="GI631" s="12"/>
      <c r="GJ631" s="11"/>
      <c r="GK631" s="13"/>
      <c r="GL631" s="11"/>
      <c r="GM631" s="11"/>
      <c r="GN631" s="13"/>
      <c r="GO631" s="11"/>
      <c r="GP631" s="12"/>
      <c r="GQ631" s="12"/>
      <c r="GR631" s="11"/>
      <c r="GS631" s="13"/>
      <c r="GT631" s="11"/>
      <c r="GU631" s="11"/>
      <c r="GV631" s="13"/>
      <c r="GW631" s="11"/>
      <c r="GX631" s="12"/>
      <c r="GY631" s="12"/>
      <c r="GZ631" s="11"/>
      <c r="HA631" s="13"/>
      <c r="HB631" s="11"/>
      <c r="HC631" s="11"/>
      <c r="HD631" s="13"/>
      <c r="HE631" s="11"/>
      <c r="HF631" s="12"/>
      <c r="HG631" s="12"/>
      <c r="HH631" s="11"/>
      <c r="HI631" s="13"/>
      <c r="HJ631" s="11"/>
      <c r="HK631" s="11"/>
      <c r="HL631" s="13"/>
      <c r="HM631" s="11"/>
      <c r="HN631" s="12"/>
      <c r="HO631" s="12"/>
      <c r="HP631" s="11"/>
      <c r="HQ631" s="13"/>
      <c r="HR631" s="11"/>
      <c r="HS631" s="11"/>
      <c r="HT631" s="13"/>
      <c r="HU631" s="11"/>
      <c r="HV631" s="12"/>
      <c r="HW631" s="12"/>
      <c r="HX631" s="11"/>
      <c r="HY631" s="13"/>
      <c r="HZ631" s="11"/>
      <c r="IA631" s="11"/>
      <c r="IB631" s="13"/>
      <c r="IC631" s="11"/>
      <c r="ID631" s="12"/>
      <c r="IE631" s="12"/>
      <c r="IF631" s="11"/>
      <c r="IG631" s="13"/>
      <c r="IH631" s="11"/>
      <c r="II631" s="11"/>
      <c r="IJ631" s="13"/>
      <c r="IK631" s="11"/>
      <c r="IL631" s="12"/>
      <c r="IM631" s="12"/>
      <c r="IN631" s="11"/>
      <c r="IO631" s="13"/>
      <c r="IP631" s="11"/>
      <c r="IQ631" s="11"/>
      <c r="IR631" s="13"/>
      <c r="IS631" s="11"/>
      <c r="IT631" s="12"/>
      <c r="IU631" s="12"/>
      <c r="IV631" s="11"/>
      <c r="IW631" s="13"/>
      <c r="IX631" s="11">
        <v>6</v>
      </c>
      <c r="IY631" s="11"/>
      <c r="IZ631" s="13"/>
      <c r="JA631" s="11"/>
      <c r="JB631" s="12"/>
      <c r="JC631" s="12"/>
      <c r="JD631" s="11"/>
      <c r="JE631" s="13"/>
      <c r="JF631" s="11"/>
      <c r="JG631" s="11"/>
      <c r="JH631" s="13"/>
      <c r="JI631" s="11"/>
      <c r="JJ631" s="12"/>
      <c r="JK631" s="12"/>
      <c r="JL631" s="11"/>
      <c r="JM631" s="13"/>
      <c r="JN631" s="11"/>
      <c r="JO631" s="11"/>
      <c r="JP631" s="13"/>
      <c r="JQ631" s="11"/>
      <c r="JR631" s="12"/>
      <c r="JS631" s="12"/>
      <c r="JT631" s="11"/>
      <c r="JU631" s="13"/>
      <c r="JV631" s="11"/>
      <c r="JW631" s="11"/>
      <c r="JX631" s="13"/>
      <c r="JY631" s="11"/>
      <c r="JZ631" s="12"/>
      <c r="KA631" s="12"/>
      <c r="KB631" s="11"/>
      <c r="KC631" s="13"/>
      <c r="KD631" s="11"/>
      <c r="KE631" s="11"/>
      <c r="KF631" s="13"/>
      <c r="KG631" s="11"/>
      <c r="KH631" s="12"/>
      <c r="KI631" s="12"/>
      <c r="KJ631" s="11"/>
      <c r="KK631" s="13"/>
      <c r="KL631" s="11"/>
      <c r="KM631" s="11"/>
      <c r="KN631" s="13"/>
      <c r="KO631" s="11"/>
      <c r="KP631" s="12"/>
      <c r="KQ631" s="12"/>
      <c r="KR631" s="11"/>
      <c r="KS631" s="13"/>
      <c r="KT631" s="11"/>
      <c r="KU631" s="11"/>
      <c r="KV631" s="13"/>
      <c r="KW631" s="11"/>
      <c r="KX631" s="12"/>
      <c r="KY631" s="12"/>
      <c r="KZ631" s="11"/>
      <c r="LA631" s="13"/>
      <c r="LB631" s="11"/>
      <c r="LC631" s="11"/>
      <c r="LD631" s="13"/>
      <c r="LE631" s="11"/>
      <c r="LF631" s="12"/>
      <c r="LG631" s="12"/>
      <c r="LH631" s="11"/>
      <c r="LI631" s="13"/>
      <c r="LJ631" s="11"/>
      <c r="LK631" s="11"/>
      <c r="LL631" s="13"/>
      <c r="LM631" s="11"/>
      <c r="LN631" s="12"/>
      <c r="LO631" s="12"/>
      <c r="LP631" s="11"/>
      <c r="LQ631" s="13"/>
      <c r="LR631" s="11"/>
      <c r="LS631" s="11"/>
      <c r="LT631" s="13"/>
      <c r="LU631" s="11"/>
      <c r="LV631" s="12"/>
      <c r="LW631" s="12"/>
    </row>
    <row r="632">
      <c r="A632" s="10" t="s">
        <v>300</v>
      </c>
      <c r="B632" s="10" t="s">
        <v>306</v>
      </c>
      <c r="C632" s="10" t="s">
        <v>77</v>
      </c>
      <c r="D632" s="11">
        <v>25193</v>
      </c>
      <c r="E632" s="11">
        <f>=ROUNDDOWN({0},0)</f>
      </c>
      <c r="F632" s="11">
        <v>8690</v>
      </c>
      <c r="G632" s="12"/>
      <c r="H632" s="11"/>
      <c r="I632" s="11">
        <f>=ROUNDDOWN({0},0)</f>
      </c>
      <c r="J632" s="11"/>
      <c r="K632" s="12"/>
      <c r="L632" s="11">
        <v>11041</v>
      </c>
      <c r="M632" s="13">
        <v>576196.28</v>
      </c>
      <c r="N632" s="11">
        <v>68</v>
      </c>
      <c r="O632" s="14">
        <v>8473.47</v>
      </c>
      <c r="P632" s="11"/>
      <c r="Q632" s="13"/>
      <c r="R632" s="11"/>
      <c r="S632" s="14"/>
      <c r="T632" s="12"/>
      <c r="U632" s="12"/>
      <c r="V632" s="12"/>
      <c r="W632" s="12"/>
      <c r="X632" s="11">
        <v>5441</v>
      </c>
      <c r="Y632" s="13">
        <v>298723.14</v>
      </c>
      <c r="Z632" s="11">
        <v>60</v>
      </c>
      <c r="AA632" s="11"/>
      <c r="AB632" s="13"/>
      <c r="AC632" s="11"/>
      <c r="AD632" s="12"/>
      <c r="AE632" s="12"/>
      <c r="AF632" s="11">
        <v>1029</v>
      </c>
      <c r="AG632" s="13">
        <v>45745.53</v>
      </c>
      <c r="AH632" s="11">
        <v>68</v>
      </c>
      <c r="AI632" s="11"/>
      <c r="AJ632" s="13"/>
      <c r="AK632" s="11"/>
      <c r="AL632" s="12"/>
      <c r="AM632" s="12"/>
      <c r="AN632" s="11">
        <v>916</v>
      </c>
      <c r="AO632" s="13">
        <v>45537.22</v>
      </c>
      <c r="AP632" s="11">
        <v>65</v>
      </c>
      <c r="AQ632" s="11"/>
      <c r="AR632" s="13"/>
      <c r="AS632" s="11"/>
      <c r="AT632" s="12"/>
      <c r="AU632" s="12"/>
      <c r="AV632" s="11">
        <v>1413</v>
      </c>
      <c r="AW632" s="13">
        <v>73366.91</v>
      </c>
      <c r="AX632" s="11">
        <v>54</v>
      </c>
      <c r="AY632" s="11"/>
      <c r="AZ632" s="13"/>
      <c r="BA632" s="11"/>
      <c r="BB632" s="12"/>
      <c r="BC632" s="12"/>
      <c r="BD632" s="11">
        <v>457</v>
      </c>
      <c r="BE632" s="13">
        <v>24083.43</v>
      </c>
      <c r="BF632" s="11">
        <v>66</v>
      </c>
      <c r="BG632" s="11"/>
      <c r="BH632" s="13"/>
      <c r="BI632" s="11"/>
      <c r="BJ632" s="12"/>
      <c r="BK632" s="12"/>
      <c r="BL632" s="11">
        <v>591</v>
      </c>
      <c r="BM632" s="13">
        <v>29985.15</v>
      </c>
      <c r="BN632" s="11">
        <v>68</v>
      </c>
      <c r="BO632" s="11"/>
      <c r="BP632" s="13"/>
      <c r="BQ632" s="11"/>
      <c r="BR632" s="12"/>
      <c r="BS632" s="12"/>
      <c r="BT632" s="11">
        <v>342</v>
      </c>
      <c r="BU632" s="13">
        <v>15849.93</v>
      </c>
      <c r="BV632" s="11">
        <v>68</v>
      </c>
      <c r="BW632" s="11"/>
      <c r="BX632" s="13"/>
      <c r="BY632" s="11"/>
      <c r="BZ632" s="12"/>
      <c r="CA632" s="12"/>
      <c r="CB632" s="11">
        <v>514</v>
      </c>
      <c r="CC632" s="13">
        <v>25374.28</v>
      </c>
      <c r="CD632" s="11">
        <v>68</v>
      </c>
      <c r="CE632" s="11"/>
      <c r="CF632" s="13"/>
      <c r="CG632" s="11"/>
      <c r="CH632" s="12"/>
      <c r="CI632" s="12"/>
      <c r="CJ632" s="11">
        <v>55</v>
      </c>
      <c r="CK632" s="13">
        <v>3798.28</v>
      </c>
      <c r="CL632" s="11">
        <v>68</v>
      </c>
      <c r="CM632" s="11"/>
      <c r="CN632" s="13"/>
      <c r="CO632" s="11"/>
      <c r="CP632" s="12"/>
      <c r="CQ632" s="12"/>
      <c r="CR632" s="11"/>
      <c r="CS632" s="13"/>
      <c r="CT632" s="11"/>
      <c r="CU632" s="11"/>
      <c r="CV632" s="13"/>
      <c r="CW632" s="11"/>
      <c r="CX632" s="12"/>
      <c r="CY632" s="12"/>
      <c r="CZ632" s="11"/>
      <c r="DA632" s="13"/>
      <c r="DB632" s="11"/>
      <c r="DC632" s="11"/>
      <c r="DD632" s="13"/>
      <c r="DE632" s="11"/>
      <c r="DF632" s="12"/>
      <c r="DG632" s="12"/>
      <c r="DH632" s="11">
        <v>11</v>
      </c>
      <c r="DI632" s="13">
        <v>596.77</v>
      </c>
      <c r="DJ632" s="11">
        <v>15</v>
      </c>
      <c r="DK632" s="11"/>
      <c r="DL632" s="13"/>
      <c r="DM632" s="11"/>
      <c r="DN632" s="12"/>
      <c r="DO632" s="12"/>
      <c r="DP632" s="11">
        <v>65</v>
      </c>
      <c r="DQ632" s="13">
        <v>3148.28</v>
      </c>
      <c r="DR632" s="11">
        <v>64</v>
      </c>
      <c r="DS632" s="11"/>
      <c r="DT632" s="13"/>
      <c r="DU632" s="11"/>
      <c r="DV632" s="12"/>
      <c r="DW632" s="12"/>
      <c r="DX632" s="11">
        <v>157</v>
      </c>
      <c r="DY632" s="13">
        <v>7211.71</v>
      </c>
      <c r="DZ632" s="11">
        <v>64</v>
      </c>
      <c r="EA632" s="11"/>
      <c r="EB632" s="13"/>
      <c r="EC632" s="11"/>
      <c r="ED632" s="12"/>
      <c r="EE632" s="12"/>
      <c r="EF632" s="11"/>
      <c r="EG632" s="13"/>
      <c r="EH632" s="11"/>
      <c r="EI632" s="11"/>
      <c r="EJ632" s="13"/>
      <c r="EK632" s="11"/>
      <c r="EL632" s="12"/>
      <c r="EM632" s="12"/>
      <c r="EN632" s="11">
        <v>8</v>
      </c>
      <c r="EO632" s="13">
        <v>777.92</v>
      </c>
      <c r="EP632" s="11">
        <v>68</v>
      </c>
      <c r="EQ632" s="11"/>
      <c r="ER632" s="13"/>
      <c r="ES632" s="11"/>
      <c r="ET632" s="12"/>
      <c r="EU632" s="12"/>
      <c r="EV632" s="11">
        <v>15</v>
      </c>
      <c r="EW632" s="13">
        <v>673.47</v>
      </c>
      <c r="EX632" s="11">
        <v>5</v>
      </c>
      <c r="EY632" s="11"/>
      <c r="EZ632" s="13"/>
      <c r="FA632" s="11"/>
      <c r="FB632" s="12"/>
      <c r="FC632" s="12"/>
      <c r="FD632" s="11">
        <v>1</v>
      </c>
      <c r="FE632" s="13">
        <v>57.15</v>
      </c>
      <c r="FF632" s="11">
        <v>3</v>
      </c>
      <c r="FG632" s="11"/>
      <c r="FH632" s="13"/>
      <c r="FI632" s="11"/>
      <c r="FJ632" s="12"/>
      <c r="FK632" s="12"/>
      <c r="FL632" s="11"/>
      <c r="FM632" s="13"/>
      <c r="FN632" s="11"/>
      <c r="FO632" s="11"/>
      <c r="FP632" s="13"/>
      <c r="FQ632" s="11"/>
      <c r="FR632" s="12"/>
      <c r="FS632" s="12"/>
      <c r="FT632" s="11">
        <v>17</v>
      </c>
      <c r="FU632" s="13">
        <v>799.37</v>
      </c>
      <c r="FV632" s="11">
        <v>19</v>
      </c>
      <c r="FW632" s="11"/>
      <c r="FX632" s="13"/>
      <c r="FY632" s="11"/>
      <c r="FZ632" s="12"/>
      <c r="GA632" s="12"/>
      <c r="GB632" s="11">
        <v>1</v>
      </c>
      <c r="GC632" s="13">
        <v>42.52</v>
      </c>
      <c r="GD632" s="11">
        <v>2</v>
      </c>
      <c r="GE632" s="11"/>
      <c r="GF632" s="13"/>
      <c r="GG632" s="11"/>
      <c r="GH632" s="12"/>
      <c r="GI632" s="12"/>
      <c r="GJ632" s="11"/>
      <c r="GK632" s="13"/>
      <c r="GL632" s="11"/>
      <c r="GM632" s="11"/>
      <c r="GN632" s="13"/>
      <c r="GO632" s="11"/>
      <c r="GP632" s="12"/>
      <c r="GQ632" s="12"/>
      <c r="GR632" s="11"/>
      <c r="GS632" s="13"/>
      <c r="GT632" s="11">
        <v>3</v>
      </c>
      <c r="GU632" s="11"/>
      <c r="GV632" s="13"/>
      <c r="GW632" s="11"/>
      <c r="GX632" s="12"/>
      <c r="GY632" s="12"/>
      <c r="GZ632" s="11">
        <v>5</v>
      </c>
      <c r="HA632" s="13">
        <v>240.71</v>
      </c>
      <c r="HB632" s="11">
        <v>10</v>
      </c>
      <c r="HC632" s="11"/>
      <c r="HD632" s="13"/>
      <c r="HE632" s="11"/>
      <c r="HF632" s="12"/>
      <c r="HG632" s="12"/>
      <c r="HH632" s="11"/>
      <c r="HI632" s="13"/>
      <c r="HJ632" s="11"/>
      <c r="HK632" s="11"/>
      <c r="HL632" s="13"/>
      <c r="HM632" s="11"/>
      <c r="HN632" s="12"/>
      <c r="HO632" s="12"/>
      <c r="HP632" s="11"/>
      <c r="HQ632" s="13"/>
      <c r="HR632" s="11"/>
      <c r="HS632" s="11"/>
      <c r="HT632" s="13"/>
      <c r="HU632" s="11"/>
      <c r="HV632" s="12"/>
      <c r="HW632" s="12"/>
      <c r="HX632" s="11"/>
      <c r="HY632" s="13"/>
      <c r="HZ632" s="11"/>
      <c r="IA632" s="11"/>
      <c r="IB632" s="13"/>
      <c r="IC632" s="11"/>
      <c r="ID632" s="12"/>
      <c r="IE632" s="12"/>
      <c r="IF632" s="11"/>
      <c r="IG632" s="13"/>
      <c r="IH632" s="11"/>
      <c r="II632" s="11"/>
      <c r="IJ632" s="13"/>
      <c r="IK632" s="11"/>
      <c r="IL632" s="12"/>
      <c r="IM632" s="12"/>
      <c r="IN632" s="11"/>
      <c r="IO632" s="13"/>
      <c r="IP632" s="11"/>
      <c r="IQ632" s="11"/>
      <c r="IR632" s="13"/>
      <c r="IS632" s="11"/>
      <c r="IT632" s="12"/>
      <c r="IU632" s="12"/>
      <c r="IV632" s="11"/>
      <c r="IW632" s="13"/>
      <c r="IX632" s="11">
        <v>19</v>
      </c>
      <c r="IY632" s="11"/>
      <c r="IZ632" s="13"/>
      <c r="JA632" s="11"/>
      <c r="JB632" s="12"/>
      <c r="JC632" s="12"/>
      <c r="JD632" s="11">
        <v>3</v>
      </c>
      <c r="JE632" s="13">
        <v>184.51</v>
      </c>
      <c r="JF632" s="11">
        <v>18</v>
      </c>
      <c r="JG632" s="11"/>
      <c r="JH632" s="13"/>
      <c r="JI632" s="11"/>
      <c r="JJ632" s="12"/>
      <c r="JK632" s="12"/>
      <c r="JL632" s="11"/>
      <c r="JM632" s="13"/>
      <c r="JN632" s="11"/>
      <c r="JO632" s="11"/>
      <c r="JP632" s="13"/>
      <c r="JQ632" s="11"/>
      <c r="JR632" s="12"/>
      <c r="JS632" s="12"/>
      <c r="JT632" s="11"/>
      <c r="JU632" s="13"/>
      <c r="JV632" s="11"/>
      <c r="JW632" s="11"/>
      <c r="JX632" s="13"/>
      <c r="JY632" s="11"/>
      <c r="JZ632" s="12"/>
      <c r="KA632" s="12"/>
      <c r="KB632" s="11"/>
      <c r="KC632" s="13"/>
      <c r="KD632" s="11"/>
      <c r="KE632" s="11"/>
      <c r="KF632" s="13"/>
      <c r="KG632" s="11"/>
      <c r="KH632" s="12"/>
      <c r="KI632" s="12"/>
      <c r="KJ632" s="11"/>
      <c r="KK632" s="13"/>
      <c r="KL632" s="11"/>
      <c r="KM632" s="11"/>
      <c r="KN632" s="13"/>
      <c r="KO632" s="11"/>
      <c r="KP632" s="12"/>
      <c r="KQ632" s="12"/>
      <c r="KR632" s="11"/>
      <c r="KS632" s="13"/>
      <c r="KT632" s="11"/>
      <c r="KU632" s="11"/>
      <c r="KV632" s="13"/>
      <c r="KW632" s="11"/>
      <c r="KX632" s="12"/>
      <c r="KY632" s="12"/>
      <c r="KZ632" s="11"/>
      <c r="LA632" s="13"/>
      <c r="LB632" s="11"/>
      <c r="LC632" s="11"/>
      <c r="LD632" s="13"/>
      <c r="LE632" s="11"/>
      <c r="LF632" s="12"/>
      <c r="LG632" s="12"/>
      <c r="LH632" s="11"/>
      <c r="LI632" s="13"/>
      <c r="LJ632" s="11"/>
      <c r="LK632" s="11"/>
      <c r="LL632" s="13"/>
      <c r="LM632" s="11"/>
      <c r="LN632" s="12"/>
      <c r="LO632" s="12"/>
      <c r="LP632" s="11"/>
      <c r="LQ632" s="13"/>
      <c r="LR632" s="11"/>
      <c r="LS632" s="11"/>
      <c r="LT632" s="13"/>
      <c r="LU632" s="11"/>
      <c r="LV632" s="12"/>
      <c r="LW632" s="12"/>
    </row>
    <row r="633">
      <c r="A633" s="10" t="s">
        <v>307</v>
      </c>
      <c r="B633" s="10" t="s">
        <v>77</v>
      </c>
      <c r="C633" s="10" t="s">
        <v>77</v>
      </c>
      <c r="D633" s="11">
        <v>267178</v>
      </c>
      <c r="E633" s="11">
        <f>=ROUNDDOWN({0},0)</f>
      </c>
      <c r="F633" s="11">
        <v>41645</v>
      </c>
      <c r="G633" s="12"/>
      <c r="H633" s="11"/>
      <c r="I633" s="11">
        <f>=ROUNDDOWN({0},0)</f>
      </c>
      <c r="J633" s="11"/>
      <c r="K633" s="12"/>
      <c r="L633" s="11">
        <v>81136</v>
      </c>
      <c r="M633" s="13">
        <v>3291373.77</v>
      </c>
      <c r="N633" s="11">
        <v>667</v>
      </c>
      <c r="O633" s="14">
        <v>4934.59</v>
      </c>
      <c r="P633" s="11"/>
      <c r="Q633" s="13"/>
      <c r="R633" s="11"/>
      <c r="S633" s="14"/>
      <c r="T633" s="12"/>
      <c r="U633" s="12"/>
      <c r="V633" s="12"/>
      <c r="W633" s="12"/>
      <c r="X633" s="11">
        <v>32371</v>
      </c>
      <c r="Y633" s="13">
        <v>1285155.59</v>
      </c>
      <c r="Z633" s="11">
        <v>579</v>
      </c>
      <c r="AA633" s="11"/>
      <c r="AB633" s="13"/>
      <c r="AC633" s="11"/>
      <c r="AD633" s="12"/>
      <c r="AE633" s="12"/>
      <c r="AF633" s="11">
        <v>5573</v>
      </c>
      <c r="AG633" s="13">
        <v>206468.74</v>
      </c>
      <c r="AH633" s="11">
        <v>571</v>
      </c>
      <c r="AI633" s="11"/>
      <c r="AJ633" s="13"/>
      <c r="AK633" s="11"/>
      <c r="AL633" s="12"/>
      <c r="AM633" s="12"/>
      <c r="AN633" s="11">
        <v>9164</v>
      </c>
      <c r="AO633" s="13">
        <v>346881.22</v>
      </c>
      <c r="AP633" s="11">
        <v>566</v>
      </c>
      <c r="AQ633" s="11"/>
      <c r="AR633" s="13"/>
      <c r="AS633" s="11"/>
      <c r="AT633" s="12"/>
      <c r="AU633" s="12"/>
      <c r="AV633" s="11">
        <v>11909</v>
      </c>
      <c r="AW633" s="13">
        <v>515396.68</v>
      </c>
      <c r="AX633" s="11">
        <v>483</v>
      </c>
      <c r="AY633" s="11"/>
      <c r="AZ633" s="13"/>
      <c r="BA633" s="11"/>
      <c r="BB633" s="12"/>
      <c r="BC633" s="12"/>
      <c r="BD633" s="11">
        <v>6400</v>
      </c>
      <c r="BE633" s="13">
        <v>271257.64</v>
      </c>
      <c r="BF633" s="11">
        <v>547</v>
      </c>
      <c r="BG633" s="11"/>
      <c r="BH633" s="13"/>
      <c r="BI633" s="11"/>
      <c r="BJ633" s="12"/>
      <c r="BK633" s="12"/>
      <c r="BL633" s="11">
        <v>2877</v>
      </c>
      <c r="BM633" s="13">
        <v>122030.73</v>
      </c>
      <c r="BN633" s="11">
        <v>588</v>
      </c>
      <c r="BO633" s="11"/>
      <c r="BP633" s="13"/>
      <c r="BQ633" s="11"/>
      <c r="BR633" s="12"/>
      <c r="BS633" s="12"/>
      <c r="BT633" s="11">
        <v>2354</v>
      </c>
      <c r="BU633" s="13">
        <v>100938.26</v>
      </c>
      <c r="BV633" s="11">
        <v>571</v>
      </c>
      <c r="BW633" s="11"/>
      <c r="BX633" s="13"/>
      <c r="BY633" s="11"/>
      <c r="BZ633" s="12"/>
      <c r="CA633" s="12"/>
      <c r="CB633" s="11">
        <v>4998</v>
      </c>
      <c r="CC633" s="13">
        <v>196996.64</v>
      </c>
      <c r="CD633" s="11">
        <v>520</v>
      </c>
      <c r="CE633" s="11"/>
      <c r="CF633" s="13"/>
      <c r="CG633" s="11"/>
      <c r="CH633" s="12"/>
      <c r="CI633" s="12"/>
      <c r="CJ633" s="11">
        <v>1153</v>
      </c>
      <c r="CK633" s="13">
        <v>60155.89</v>
      </c>
      <c r="CL633" s="11">
        <v>578</v>
      </c>
      <c r="CM633" s="11"/>
      <c r="CN633" s="13"/>
      <c r="CO633" s="11"/>
      <c r="CP633" s="12"/>
      <c r="CQ633" s="12"/>
      <c r="CR633" s="11"/>
      <c r="CS633" s="13"/>
      <c r="CT633" s="11"/>
      <c r="CU633" s="11"/>
      <c r="CV633" s="13"/>
      <c r="CW633" s="11"/>
      <c r="CX633" s="12"/>
      <c r="CY633" s="12"/>
      <c r="CZ633" s="11">
        <v>44</v>
      </c>
      <c r="DA633" s="13">
        <v>1759.81</v>
      </c>
      <c r="DB633" s="11">
        <v>33</v>
      </c>
      <c r="DC633" s="11"/>
      <c r="DD633" s="13"/>
      <c r="DE633" s="11"/>
      <c r="DF633" s="12"/>
      <c r="DG633" s="12"/>
      <c r="DH633" s="11">
        <v>37</v>
      </c>
      <c r="DI633" s="13">
        <v>2181.1</v>
      </c>
      <c r="DJ633" s="11">
        <v>77</v>
      </c>
      <c r="DK633" s="11"/>
      <c r="DL633" s="13"/>
      <c r="DM633" s="11"/>
      <c r="DN633" s="12"/>
      <c r="DO633" s="12"/>
      <c r="DP633" s="11">
        <v>753</v>
      </c>
      <c r="DQ633" s="13">
        <v>31192.41</v>
      </c>
      <c r="DR633" s="11">
        <v>529</v>
      </c>
      <c r="DS633" s="11"/>
      <c r="DT633" s="13"/>
      <c r="DU633" s="11"/>
      <c r="DV633" s="12"/>
      <c r="DW633" s="12"/>
      <c r="DX633" s="11">
        <v>1499</v>
      </c>
      <c r="DY633" s="13">
        <v>56032.1</v>
      </c>
      <c r="DZ633" s="11">
        <v>445</v>
      </c>
      <c r="EA633" s="11"/>
      <c r="EB633" s="13"/>
      <c r="EC633" s="11"/>
      <c r="ED633" s="12"/>
      <c r="EE633" s="12"/>
      <c r="EF633" s="11"/>
      <c r="EG633" s="13"/>
      <c r="EH633" s="11"/>
      <c r="EI633" s="11"/>
      <c r="EJ633" s="13"/>
      <c r="EK633" s="11"/>
      <c r="EL633" s="12"/>
      <c r="EM633" s="12"/>
      <c r="EN633" s="11">
        <v>1075</v>
      </c>
      <c r="EO633" s="13">
        <v>55795.15</v>
      </c>
      <c r="EP633" s="11">
        <v>632</v>
      </c>
      <c r="EQ633" s="11"/>
      <c r="ER633" s="13"/>
      <c r="ES633" s="11"/>
      <c r="ET633" s="12"/>
      <c r="EU633" s="12"/>
      <c r="EV633" s="11">
        <v>229</v>
      </c>
      <c r="EW633" s="13">
        <v>8518.59</v>
      </c>
      <c r="EX633" s="11">
        <v>53</v>
      </c>
      <c r="EY633" s="11"/>
      <c r="EZ633" s="13"/>
      <c r="FA633" s="11"/>
      <c r="FB633" s="12"/>
      <c r="FC633" s="12"/>
      <c r="FD633" s="11">
        <v>332</v>
      </c>
      <c r="FE633" s="13">
        <v>14070.97</v>
      </c>
      <c r="FF633" s="11">
        <v>63</v>
      </c>
      <c r="FG633" s="11"/>
      <c r="FH633" s="13"/>
      <c r="FI633" s="11"/>
      <c r="FJ633" s="12"/>
      <c r="FK633" s="12"/>
      <c r="FL633" s="11">
        <v>15</v>
      </c>
      <c r="FM633" s="13">
        <v>1037.77</v>
      </c>
      <c r="FN633" s="11">
        <v>17</v>
      </c>
      <c r="FO633" s="11"/>
      <c r="FP633" s="13"/>
      <c r="FQ633" s="11"/>
      <c r="FR633" s="12"/>
      <c r="FS633" s="12"/>
      <c r="FT633" s="11">
        <v>117</v>
      </c>
      <c r="FU633" s="13">
        <v>5346.91</v>
      </c>
      <c r="FV633" s="11">
        <v>227</v>
      </c>
      <c r="FW633" s="11"/>
      <c r="FX633" s="13"/>
      <c r="FY633" s="11"/>
      <c r="FZ633" s="12"/>
      <c r="GA633" s="12"/>
      <c r="GB633" s="11">
        <v>54</v>
      </c>
      <c r="GC633" s="13">
        <v>2498.6</v>
      </c>
      <c r="GD633" s="11">
        <v>127</v>
      </c>
      <c r="GE633" s="11"/>
      <c r="GF633" s="13"/>
      <c r="GG633" s="11"/>
      <c r="GH633" s="12"/>
      <c r="GI633" s="12"/>
      <c r="GJ633" s="11"/>
      <c r="GK633" s="13"/>
      <c r="GL633" s="11"/>
      <c r="GM633" s="11"/>
      <c r="GN633" s="13"/>
      <c r="GO633" s="11"/>
      <c r="GP633" s="12"/>
      <c r="GQ633" s="12"/>
      <c r="GR633" s="11">
        <v>2</v>
      </c>
      <c r="GS633" s="13">
        <v>87.09</v>
      </c>
      <c r="GT633" s="11">
        <v>142</v>
      </c>
      <c r="GU633" s="11"/>
      <c r="GV633" s="13"/>
      <c r="GW633" s="11"/>
      <c r="GX633" s="12"/>
      <c r="GY633" s="12"/>
      <c r="GZ633" s="11">
        <v>63</v>
      </c>
      <c r="HA633" s="13">
        <v>2709.41</v>
      </c>
      <c r="HB633" s="11">
        <v>86</v>
      </c>
      <c r="HC633" s="11"/>
      <c r="HD633" s="13"/>
      <c r="HE633" s="11"/>
      <c r="HF633" s="12"/>
      <c r="HG633" s="12"/>
      <c r="HH633" s="11">
        <v>47</v>
      </c>
      <c r="HI633" s="13">
        <v>2003.53</v>
      </c>
      <c r="HJ633" s="11"/>
      <c r="HK633" s="11"/>
      <c r="HL633" s="13"/>
      <c r="HM633" s="11"/>
      <c r="HN633" s="12"/>
      <c r="HO633" s="12"/>
      <c r="HP633" s="11"/>
      <c r="HQ633" s="13"/>
      <c r="HR633" s="11"/>
      <c r="HS633" s="11"/>
      <c r="HT633" s="13"/>
      <c r="HU633" s="11"/>
      <c r="HV633" s="12"/>
      <c r="HW633" s="12"/>
      <c r="HX633" s="11">
        <v>42</v>
      </c>
      <c r="HY633" s="13">
        <v>1640.83</v>
      </c>
      <c r="HZ633" s="11">
        <v>125</v>
      </c>
      <c r="IA633" s="11"/>
      <c r="IB633" s="13"/>
      <c r="IC633" s="11"/>
      <c r="ID633" s="12"/>
      <c r="IE633" s="12"/>
      <c r="IF633" s="11"/>
      <c r="IG633" s="13"/>
      <c r="IH633" s="11"/>
      <c r="II633" s="11"/>
      <c r="IJ633" s="13"/>
      <c r="IK633" s="11"/>
      <c r="IL633" s="12"/>
      <c r="IM633" s="12"/>
      <c r="IN633" s="11"/>
      <c r="IO633" s="13"/>
      <c r="IP633" s="11"/>
      <c r="IQ633" s="11"/>
      <c r="IR633" s="13"/>
      <c r="IS633" s="11"/>
      <c r="IT633" s="12"/>
      <c r="IU633" s="12"/>
      <c r="IV633" s="11">
        <v>8</v>
      </c>
      <c r="IW633" s="13">
        <v>310.6</v>
      </c>
      <c r="IX633" s="11">
        <v>200</v>
      </c>
      <c r="IY633" s="11"/>
      <c r="IZ633" s="13"/>
      <c r="JA633" s="11"/>
      <c r="JB633" s="12"/>
      <c r="JC633" s="12"/>
      <c r="JD633" s="11">
        <v>20</v>
      </c>
      <c r="JE633" s="13">
        <v>907.51</v>
      </c>
      <c r="JF633" s="11">
        <v>58</v>
      </c>
      <c r="JG633" s="11"/>
      <c r="JH633" s="13"/>
      <c r="JI633" s="11"/>
      <c r="JJ633" s="12"/>
      <c r="JK633" s="12"/>
      <c r="JL633" s="11"/>
      <c r="JM633" s="13"/>
      <c r="JN633" s="11"/>
      <c r="JO633" s="11"/>
      <c r="JP633" s="13"/>
      <c r="JQ633" s="11"/>
      <c r="JR633" s="12"/>
      <c r="JS633" s="12"/>
      <c r="JT633" s="11"/>
      <c r="JU633" s="13"/>
      <c r="JV633" s="11">
        <v>85</v>
      </c>
      <c r="JW633" s="11"/>
      <c r="JX633" s="13"/>
      <c r="JY633" s="11"/>
      <c r="JZ633" s="12"/>
      <c r="KA633" s="12"/>
      <c r="KB633" s="11"/>
      <c r="KC633" s="13"/>
      <c r="KD633" s="11"/>
      <c r="KE633" s="11"/>
      <c r="KF633" s="13"/>
      <c r="KG633" s="11"/>
      <c r="KH633" s="12"/>
      <c r="KI633" s="12"/>
      <c r="KJ633" s="11"/>
      <c r="KK633" s="13"/>
      <c r="KL633" s="11"/>
      <c r="KM633" s="11"/>
      <c r="KN633" s="13"/>
      <c r="KO633" s="11"/>
      <c r="KP633" s="12"/>
      <c r="KQ633" s="12"/>
      <c r="KR633" s="11"/>
      <c r="KS633" s="13"/>
      <c r="KT633" s="11"/>
      <c r="KU633" s="11"/>
      <c r="KV633" s="13"/>
      <c r="KW633" s="11"/>
      <c r="KX633" s="12"/>
      <c r="KY633" s="12"/>
      <c r="KZ633" s="11"/>
      <c r="LA633" s="13"/>
      <c r="LB633" s="11"/>
      <c r="LC633" s="11"/>
      <c r="LD633" s="13"/>
      <c r="LE633" s="11"/>
      <c r="LF633" s="12"/>
      <c r="LG633" s="12"/>
      <c r="LH633" s="11"/>
      <c r="LI633" s="13"/>
      <c r="LJ633" s="11"/>
      <c r="LK633" s="11"/>
      <c r="LL633" s="13"/>
      <c r="LM633" s="11"/>
      <c r="LN633" s="12"/>
      <c r="LO633" s="12"/>
      <c r="LP633" s="11"/>
      <c r="LQ633" s="13"/>
      <c r="LR633" s="11"/>
      <c r="LS633" s="11"/>
      <c r="LT633" s="13"/>
      <c r="LU633" s="11"/>
      <c r="LV633" s="12"/>
      <c r="LW633" s="12"/>
    </row>
    <row r="634">
      <c r="A634" s="20" t="s">
        <v>308</v>
      </c>
      <c r="B634" s="15" t="s">
        <v>77</v>
      </c>
      <c r="C634" s="15" t="s">
        <v>77</v>
      </c>
      <c r="D634" s="16"/>
      <c r="E634" s="16">
        <f>=ROUNDDOWN({0},0)</f>
      </c>
      <c r="F634" s="16"/>
      <c r="G634" s="17"/>
      <c r="H634" s="16"/>
      <c r="I634" s="16">
        <f>=ROUNDDOWN({0},0)</f>
      </c>
      <c r="J634" s="16"/>
      <c r="K634" s="17"/>
      <c r="L634" s="16">
        <v>1385952</v>
      </c>
      <c r="M634" s="18">
        <v>57877509.29</v>
      </c>
      <c r="N634" s="16">
        <v>8385</v>
      </c>
      <c r="O634" s="19">
        <v>6902.51</v>
      </c>
      <c r="P634" s="16"/>
      <c r="Q634" s="18"/>
      <c r="R634" s="16"/>
      <c r="S634" s="19"/>
      <c r="T634" s="17"/>
      <c r="U634" s="17"/>
      <c r="V634" s="17"/>
      <c r="W634" s="17"/>
      <c r="X634" s="16">
        <v>479689</v>
      </c>
      <c r="Y634" s="18">
        <v>16557332.16</v>
      </c>
      <c r="Z634" s="16">
        <v>6491</v>
      </c>
      <c r="AA634" s="16"/>
      <c r="AB634" s="18"/>
      <c r="AC634" s="16"/>
      <c r="AD634" s="17"/>
      <c r="AE634" s="17"/>
      <c r="AF634" s="16">
        <v>135345</v>
      </c>
      <c r="AG634" s="18">
        <v>8632017.85</v>
      </c>
      <c r="AH634" s="16">
        <v>7097</v>
      </c>
      <c r="AI634" s="16"/>
      <c r="AJ634" s="18"/>
      <c r="AK634" s="16"/>
      <c r="AL634" s="17"/>
      <c r="AM634" s="17"/>
      <c r="AN634" s="16">
        <v>204144</v>
      </c>
      <c r="AO634" s="18">
        <v>6518909.05</v>
      </c>
      <c r="AP634" s="16">
        <v>6948</v>
      </c>
      <c r="AQ634" s="16"/>
      <c r="AR634" s="18"/>
      <c r="AS634" s="16"/>
      <c r="AT634" s="17"/>
      <c r="AU634" s="17"/>
      <c r="AV634" s="16">
        <v>103794</v>
      </c>
      <c r="AW634" s="18">
        <v>5256179.25</v>
      </c>
      <c r="AX634" s="16">
        <v>4932</v>
      </c>
      <c r="AY634" s="16"/>
      <c r="AZ634" s="18"/>
      <c r="BA634" s="16"/>
      <c r="BB634" s="17"/>
      <c r="BC634" s="17"/>
      <c r="BD634" s="16">
        <v>127795</v>
      </c>
      <c r="BE634" s="18">
        <v>5236206.76</v>
      </c>
      <c r="BF634" s="16">
        <v>6280</v>
      </c>
      <c r="BG634" s="16"/>
      <c r="BH634" s="18"/>
      <c r="BI634" s="16"/>
      <c r="BJ634" s="17"/>
      <c r="BK634" s="17"/>
      <c r="BL634" s="16">
        <v>54810</v>
      </c>
      <c r="BM634" s="18">
        <v>3880511.92</v>
      </c>
      <c r="BN634" s="16">
        <v>7044</v>
      </c>
      <c r="BO634" s="16"/>
      <c r="BP634" s="18"/>
      <c r="BQ634" s="16"/>
      <c r="BR634" s="17"/>
      <c r="BS634" s="17"/>
      <c r="BT634" s="16">
        <v>35689</v>
      </c>
      <c r="BU634" s="18">
        <v>2865972.32</v>
      </c>
      <c r="BV634" s="16">
        <v>6677</v>
      </c>
      <c r="BW634" s="16"/>
      <c r="BX634" s="18"/>
      <c r="BY634" s="16"/>
      <c r="BZ634" s="17"/>
      <c r="CA634" s="17"/>
      <c r="CB634" s="16">
        <v>76457</v>
      </c>
      <c r="CC634" s="18">
        <v>2693066.12</v>
      </c>
      <c r="CD634" s="16">
        <v>5786</v>
      </c>
      <c r="CE634" s="16"/>
      <c r="CF634" s="18"/>
      <c r="CG634" s="16"/>
      <c r="CH634" s="17"/>
      <c r="CI634" s="17"/>
      <c r="CJ634" s="16">
        <v>20305</v>
      </c>
      <c r="CK634" s="18">
        <v>919440.38</v>
      </c>
      <c r="CL634" s="16">
        <v>6380</v>
      </c>
      <c r="CM634" s="16"/>
      <c r="CN634" s="18"/>
      <c r="CO634" s="16"/>
      <c r="CP634" s="17"/>
      <c r="CQ634" s="17"/>
      <c r="CR634" s="16">
        <v>63586</v>
      </c>
      <c r="CS634" s="18">
        <v>741201.78</v>
      </c>
      <c r="CT634" s="16"/>
      <c r="CU634" s="16"/>
      <c r="CV634" s="18"/>
      <c r="CW634" s="16"/>
      <c r="CX634" s="17"/>
      <c r="CY634" s="17"/>
      <c r="CZ634" s="16">
        <v>7522</v>
      </c>
      <c r="DA634" s="18">
        <v>700734.02</v>
      </c>
      <c r="DB634" s="16">
        <v>1032</v>
      </c>
      <c r="DC634" s="16"/>
      <c r="DD634" s="18"/>
      <c r="DE634" s="16"/>
      <c r="DF634" s="17"/>
      <c r="DG634" s="17"/>
      <c r="DH634" s="16">
        <v>6053</v>
      </c>
      <c r="DI634" s="18">
        <v>692091.59</v>
      </c>
      <c r="DJ634" s="16">
        <v>1733</v>
      </c>
      <c r="DK634" s="16"/>
      <c r="DL634" s="18"/>
      <c r="DM634" s="16"/>
      <c r="DN634" s="17"/>
      <c r="DO634" s="17"/>
      <c r="DP634" s="16">
        <v>14177</v>
      </c>
      <c r="DQ634" s="18">
        <v>635701.25</v>
      </c>
      <c r="DR634" s="16">
        <v>5732</v>
      </c>
      <c r="DS634" s="16"/>
      <c r="DT634" s="18"/>
      <c r="DU634" s="16"/>
      <c r="DV634" s="17"/>
      <c r="DW634" s="17"/>
      <c r="DX634" s="16">
        <v>11716</v>
      </c>
      <c r="DY634" s="18">
        <v>494366.47</v>
      </c>
      <c r="DZ634" s="16">
        <v>3853</v>
      </c>
      <c r="EA634" s="16"/>
      <c r="EB634" s="18"/>
      <c r="EC634" s="16"/>
      <c r="ED634" s="17"/>
      <c r="EE634" s="17"/>
      <c r="EF634" s="16">
        <v>11521</v>
      </c>
      <c r="EG634" s="18">
        <v>395420.88</v>
      </c>
      <c r="EH634" s="16"/>
      <c r="EI634" s="16"/>
      <c r="EJ634" s="18"/>
      <c r="EK634" s="16"/>
      <c r="EL634" s="17"/>
      <c r="EM634" s="17"/>
      <c r="EN634" s="16">
        <v>5727</v>
      </c>
      <c r="EO634" s="18">
        <v>312325.6</v>
      </c>
      <c r="EP634" s="16">
        <v>7406</v>
      </c>
      <c r="EQ634" s="16"/>
      <c r="ER634" s="18"/>
      <c r="ES634" s="16"/>
      <c r="ET634" s="17"/>
      <c r="EU634" s="17"/>
      <c r="EV634" s="16">
        <v>7604</v>
      </c>
      <c r="EW634" s="18">
        <v>245337.06</v>
      </c>
      <c r="EX634" s="16">
        <v>1438</v>
      </c>
      <c r="EY634" s="16"/>
      <c r="EZ634" s="18"/>
      <c r="FA634" s="16"/>
      <c r="FB634" s="17"/>
      <c r="FC634" s="17"/>
      <c r="FD634" s="16">
        <v>5306</v>
      </c>
      <c r="FE634" s="18">
        <v>206836.24</v>
      </c>
      <c r="FF634" s="16">
        <v>1526</v>
      </c>
      <c r="FG634" s="16"/>
      <c r="FH634" s="18"/>
      <c r="FI634" s="16"/>
      <c r="FJ634" s="17"/>
      <c r="FK634" s="17"/>
      <c r="FL634" s="16">
        <v>4084</v>
      </c>
      <c r="FM634" s="18">
        <v>179284.01</v>
      </c>
      <c r="FN634" s="16">
        <v>961</v>
      </c>
      <c r="FO634" s="16"/>
      <c r="FP634" s="18"/>
      <c r="FQ634" s="16"/>
      <c r="FR634" s="17"/>
      <c r="FS634" s="17"/>
      <c r="FT634" s="16">
        <v>1523</v>
      </c>
      <c r="FU634" s="18">
        <v>143213.05</v>
      </c>
      <c r="FV634" s="16">
        <v>1476</v>
      </c>
      <c r="FW634" s="16"/>
      <c r="FX634" s="18"/>
      <c r="FY634" s="16"/>
      <c r="FZ634" s="17"/>
      <c r="GA634" s="17"/>
      <c r="GB634" s="16">
        <v>1302</v>
      </c>
      <c r="GC634" s="18">
        <v>126373.01</v>
      </c>
      <c r="GD634" s="16">
        <v>972</v>
      </c>
      <c r="GE634" s="16"/>
      <c r="GF634" s="18"/>
      <c r="GG634" s="16"/>
      <c r="GH634" s="17"/>
      <c r="GI634" s="17"/>
      <c r="GJ634" s="16">
        <v>909</v>
      </c>
      <c r="GK634" s="18">
        <v>107792.35</v>
      </c>
      <c r="GL634" s="16">
        <v>838</v>
      </c>
      <c r="GM634" s="16"/>
      <c r="GN634" s="18"/>
      <c r="GO634" s="16"/>
      <c r="GP634" s="17"/>
      <c r="GQ634" s="17"/>
      <c r="GR634" s="16">
        <v>839</v>
      </c>
      <c r="GS634" s="18">
        <v>99409.04</v>
      </c>
      <c r="GT634" s="16">
        <v>4365</v>
      </c>
      <c r="GU634" s="16"/>
      <c r="GV634" s="18"/>
      <c r="GW634" s="16"/>
      <c r="GX634" s="17"/>
      <c r="GY634" s="17"/>
      <c r="GZ634" s="16">
        <v>1432</v>
      </c>
      <c r="HA634" s="18">
        <v>57138.01</v>
      </c>
      <c r="HB634" s="16">
        <v>1297</v>
      </c>
      <c r="HC634" s="16"/>
      <c r="HD634" s="18"/>
      <c r="HE634" s="16"/>
      <c r="HF634" s="17"/>
      <c r="HG634" s="17"/>
      <c r="HH634" s="16">
        <v>1254</v>
      </c>
      <c r="HI634" s="18">
        <v>50378.78</v>
      </c>
      <c r="HJ634" s="16"/>
      <c r="HK634" s="16"/>
      <c r="HL634" s="18"/>
      <c r="HM634" s="16"/>
      <c r="HN634" s="17"/>
      <c r="HO634" s="17"/>
      <c r="HP634" s="16">
        <v>852</v>
      </c>
      <c r="HQ634" s="18">
        <v>30133.2</v>
      </c>
      <c r="HR634" s="16">
        <v>244</v>
      </c>
      <c r="HS634" s="16"/>
      <c r="HT634" s="18"/>
      <c r="HU634" s="16"/>
      <c r="HV634" s="17"/>
      <c r="HW634" s="17"/>
      <c r="HX634" s="16">
        <v>706</v>
      </c>
      <c r="HY634" s="18">
        <v>29794.54</v>
      </c>
      <c r="HZ634" s="16">
        <v>880</v>
      </c>
      <c r="IA634" s="16"/>
      <c r="IB634" s="18"/>
      <c r="IC634" s="16"/>
      <c r="ID634" s="17"/>
      <c r="IE634" s="17"/>
      <c r="IF634" s="16">
        <v>1012</v>
      </c>
      <c r="IG634" s="18">
        <v>27710.07</v>
      </c>
      <c r="IH634" s="16">
        <v>21</v>
      </c>
      <c r="II634" s="16"/>
      <c r="IJ634" s="18"/>
      <c r="IK634" s="16"/>
      <c r="IL634" s="17"/>
      <c r="IM634" s="17"/>
      <c r="IN634" s="16">
        <v>152</v>
      </c>
      <c r="IO634" s="18">
        <v>19286.74</v>
      </c>
      <c r="IP634" s="16">
        <v>158</v>
      </c>
      <c r="IQ634" s="16"/>
      <c r="IR634" s="18"/>
      <c r="IS634" s="16"/>
      <c r="IT634" s="17"/>
      <c r="IU634" s="17"/>
      <c r="IV634" s="16">
        <v>408</v>
      </c>
      <c r="IW634" s="18">
        <v>15106.66</v>
      </c>
      <c r="IX634" s="16">
        <v>1998</v>
      </c>
      <c r="IY634" s="16"/>
      <c r="IZ634" s="18"/>
      <c r="JA634" s="16"/>
      <c r="JB634" s="17"/>
      <c r="JC634" s="17"/>
      <c r="JD634" s="16">
        <v>159</v>
      </c>
      <c r="JE634" s="18">
        <v>5943.26</v>
      </c>
      <c r="JF634" s="16">
        <v>285</v>
      </c>
      <c r="JG634" s="16"/>
      <c r="JH634" s="18"/>
      <c r="JI634" s="16"/>
      <c r="JJ634" s="17"/>
      <c r="JK634" s="17"/>
      <c r="JL634" s="16">
        <v>24</v>
      </c>
      <c r="JM634" s="18">
        <v>1865.6</v>
      </c>
      <c r="JN634" s="16">
        <v>100</v>
      </c>
      <c r="JO634" s="16"/>
      <c r="JP634" s="18"/>
      <c r="JQ634" s="16"/>
      <c r="JR634" s="17"/>
      <c r="JS634" s="17"/>
      <c r="JT634" s="16">
        <v>46</v>
      </c>
      <c r="JU634" s="18">
        <v>222.93</v>
      </c>
      <c r="JV634" s="16">
        <v>1177</v>
      </c>
      <c r="JW634" s="16"/>
      <c r="JX634" s="18"/>
      <c r="JY634" s="16"/>
      <c r="JZ634" s="17"/>
      <c r="KA634" s="17"/>
      <c r="KB634" s="16">
        <v>10</v>
      </c>
      <c r="KC634" s="18">
        <v>207.34</v>
      </c>
      <c r="KD634" s="16"/>
      <c r="KE634" s="16"/>
      <c r="KF634" s="18"/>
      <c r="KG634" s="16"/>
      <c r="KH634" s="17"/>
      <c r="KI634" s="17"/>
      <c r="KJ634" s="16"/>
      <c r="KK634" s="18"/>
      <c r="KL634" s="16"/>
      <c r="KM634" s="16"/>
      <c r="KN634" s="18"/>
      <c r="KO634" s="16"/>
      <c r="KP634" s="17"/>
      <c r="KQ634" s="17"/>
      <c r="KR634" s="16"/>
      <c r="KS634" s="18"/>
      <c r="KT634" s="16">
        <v>4</v>
      </c>
      <c r="KU634" s="16"/>
      <c r="KV634" s="18"/>
      <c r="KW634" s="16"/>
      <c r="KX634" s="17"/>
      <c r="KY634" s="17"/>
      <c r="KZ634" s="16"/>
      <c r="LA634" s="18"/>
      <c r="LB634" s="16"/>
      <c r="LC634" s="16"/>
      <c r="LD634" s="18"/>
      <c r="LE634" s="16"/>
      <c r="LF634" s="17"/>
      <c r="LG634" s="17"/>
      <c r="LH634" s="16"/>
      <c r="LI634" s="18"/>
      <c r="LJ634" s="16"/>
      <c r="LK634" s="16"/>
      <c r="LL634" s="18"/>
      <c r="LM634" s="16"/>
      <c r="LN634" s="17"/>
      <c r="LO634" s="17"/>
      <c r="LP634" s="16"/>
      <c r="LQ634" s="18"/>
      <c r="LR634" s="16"/>
      <c r="LS634" s="16"/>
      <c r="LT634" s="18"/>
      <c r="LU634" s="16"/>
      <c r="LV634" s="17"/>
      <c r="LW634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  <mergeCell ref="LH2:LO2"/>
    <mergeCell ref="LH3:LJ3"/>
    <mergeCell ref="LK3:LM3"/>
    <mergeCell ref="LN3:LN4"/>
    <mergeCell ref="LO3:LO4"/>
    <mergeCell ref="LP2:LW2"/>
    <mergeCell ref="LP3:LR3"/>
    <mergeCell ref="LS3:LU3"/>
    <mergeCell ref="LV3:LV4"/>
    <mergeCell ref="LW3:LW4"/>
  </mergeCells>
  <headerFooter/>
</worksheet>
</file>