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<sst xmlns="http://schemas.openxmlformats.org/spreadsheetml/2006/main" count="5272" uniqueCount="5272">
  <si>
    <t>Date Type:</t>
  </si>
  <si>
    <t>Shipped Date</t>
  </si>
  <si>
    <t>Start Date:</t>
  </si>
  <si>
    <t>10/01/2024</t>
  </si>
  <si>
    <t>End Date:</t>
  </si>
  <si>
    <t>10/31/2024</t>
  </si>
  <si>
    <t>Report Run Date:</t>
  </si>
  <si>
    <t>11/04/2024</t>
  </si>
  <si>
    <t>Sorting:</t>
  </si>
  <si>
    <t>Pattern/Color Sales Total DESC</t>
  </si>
  <si>
    <t>Product Category Sales Total DESC</t>
  </si>
  <si>
    <t>Brand Sales Total DESC</t>
  </si>
  <si>
    <t>Division DESC</t>
  </si>
  <si>
    <t>Item Information</t>
  </si>
  <si>
    <t>Current And Future Inventory</t>
  </si>
  <si>
    <t>Current And History Sales Comparison</t>
  </si>
  <si>
    <t>OVERSTOCK01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</si>
  <si>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</si>
  <si>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</si>
  <si>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</si>
  <si>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</si>
  <si>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</si>
  <si>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</si>
  <si>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</si>
  <si>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</si>
  <si>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</si>
  <si>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</si>
  <si>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</si>
  <si>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</si>
  <si>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</si>
  <si>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</si>
  <si>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</si>
  <si>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</si>
  <si>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</si>
  <si>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</si>
  <si>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</si>
  <si>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</si>
  <si>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</si>
  <si>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</si>
  <si>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</si>
  <si>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</si>
  <si>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</si>
  <si>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</si>
  <si>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</si>
  <si>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</si>
  <si>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</si>
  <si>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</si>
  <si>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</si>
  <si>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Customer Item No.</t>
  </si>
  <si>
    <t>Customer Division</t>
  </si>
  <si>
    <t>Customer Buyer</t>
  </si>
  <si>
    <t>Program Tier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</si>
  <si>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</si>
  <si>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</si>
  <si>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</si>
  <si>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</si>
  <si>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</si>
  <si>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</si>
  <si>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</si>
  <si>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</si>
  <si>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</si>
  <si>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</si>
  <si>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</si>
  <si>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</si>
  <si>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</si>
  <si>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</si>
  <si>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</si>
  <si>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</si>
  <si>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</si>
  <si>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</si>
  <si>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</si>
  <si>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</si>
  <si>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</si>
  <si>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</si>
  <si>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</si>
  <si>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</si>
  <si>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</si>
  <si>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</si>
  <si>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</si>
  <si>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</si>
  <si>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</si>
  <si>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</si>
  <si>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</si>
  <si>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</si>
  <si>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</si>
  <si>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</si>
  <si>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</si>
  <si>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</si>
  <si>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</si>
  <si>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</si>
  <si>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</si>
  <si>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</si>
  <si>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</si>
  <si>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</si>
  <si>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</si>
  <si>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</si>
  <si>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</si>
  <si>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</si>
  <si>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</si>
  <si>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</si>
  <si>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</si>
  <si>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</si>
  <si>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</si>
  <si>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</si>
  <si>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</si>
  <si>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</si>
  <si>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</si>
  <si>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10/28/2024</t>
  </si>
  <si>
    <t>10/29/2024</t>
  </si>
  <si>
    <t>10/30/2024</t>
  </si>
  <si>
    <t>11/01/2024</t>
  </si>
  <si>
    <t>11/12/2024</t>
  </si>
  <si>
    <t>11/13/2024</t>
  </si>
  <si>
    <t>11/14/2024</t>
  </si>
  <si>
    <t>11/15/2024</t>
  </si>
  <si>
    <t>11/16/2024</t>
  </si>
  <si>
    <t>11/17/2024</t>
  </si>
  <si>
    <t>11/18/2024</t>
  </si>
  <si>
    <t>11/19/2024</t>
  </si>
  <si>
    <t>11/21/2024</t>
  </si>
  <si>
    <t>11/22/2024</t>
  </si>
  <si>
    <t>11/23/2024</t>
  </si>
  <si>
    <t>11/24/2024</t>
  </si>
  <si>
    <t>11/25/2024</t>
  </si>
  <si>
    <t>11/26/2024</t>
  </si>
  <si>
    <t>11/27/2024</t>
  </si>
  <si>
    <t>11/28/2024</t>
  </si>
  <si>
    <t>11/29/2024</t>
  </si>
  <si>
    <t>11/30/2024</t>
  </si>
  <si>
    <t>12/01/2024</t>
  </si>
  <si>
    <t>12/02/2024</t>
  </si>
  <si>
    <t>12/03/2024</t>
  </si>
  <si>
    <t>12/05/2024</t>
  </si>
  <si>
    <t>12/06/2024</t>
  </si>
  <si>
    <t>12/07/2024</t>
  </si>
  <si>
    <t>12/08/2024</t>
  </si>
  <si>
    <t>12/09/2024</t>
  </si>
  <si>
    <t>12/12/2024</t>
  </si>
  <si>
    <t>12/14/2024</t>
  </si>
  <si>
    <t>12/16/2024</t>
  </si>
  <si>
    <t>12/17/2024</t>
  </si>
  <si>
    <t>12/18/2024</t>
  </si>
  <si>
    <t>12/19/2024</t>
  </si>
  <si>
    <t>12/20/2024</t>
  </si>
  <si>
    <t>12/21/2024</t>
  </si>
  <si>
    <t>12/22/2024</t>
  </si>
  <si>
    <t>12/23/2024</t>
  </si>
  <si>
    <t>12/25/2024</t>
  </si>
  <si>
    <t>12/26/2024</t>
  </si>
  <si>
    <t>12/27/2024</t>
  </si>
  <si>
    <t>12/29/2024</t>
  </si>
  <si>
    <t>01/01/2025</t>
  </si>
  <si>
    <t>01/02/2025</t>
  </si>
  <si>
    <t>01/03/2025</t>
  </si>
  <si>
    <t>01/07/2025</t>
  </si>
  <si>
    <t>01/08/2025</t>
  </si>
  <si>
    <t>01/10/2025</t>
  </si>
  <si>
    <t>01/11/2025</t>
  </si>
  <si>
    <t>01/14/2025</t>
  </si>
  <si>
    <t>01/15/2025</t>
  </si>
  <si>
    <t>01/17/2025</t>
  </si>
  <si>
    <t>01/18/2025</t>
  </si>
  <si>
    <t>01/19/2025</t>
  </si>
  <si>
    <t>01/20/2025</t>
  </si>
  <si>
    <t>01/21/2025</t>
  </si>
  <si>
    <t>01/22/2025</t>
  </si>
  <si>
    <t>01/24/2025</t>
  </si>
  <si>
    <t>01/25/2025</t>
  </si>
  <si>
    <t>01/27/2025</t>
  </si>
  <si>
    <t>01/29/2025</t>
  </si>
  <si>
    <t>01/31/2025</t>
  </si>
  <si>
    <t>02/04/2025</t>
  </si>
  <si>
    <t>02/05/2025</t>
  </si>
  <si>
    <t>02/12/2025</t>
  </si>
  <si>
    <t>02/15/2025</t>
  </si>
  <si>
    <t>02/16/2025</t>
  </si>
  <si>
    <t>02/17/2025</t>
  </si>
  <si>
    <t>02/19/2025</t>
  </si>
  <si>
    <t>02/20/2025</t>
  </si>
  <si>
    <t>02/23/2025</t>
  </si>
  <si>
    <t>02/24/2025</t>
  </si>
  <si>
    <t>02/25/2025</t>
  </si>
  <si>
    <t>02/26/2025</t>
  </si>
  <si>
    <t>02/28/2025</t>
  </si>
  <si>
    <t>03/03/2025</t>
  </si>
  <si>
    <t>03/05/2025</t>
  </si>
  <si>
    <t>03/08/2025</t>
  </si>
  <si>
    <t>03/09/2025</t>
  </si>
  <si>
    <t>03/11/2025</t>
  </si>
  <si>
    <t>03/12/2025</t>
  </si>
  <si>
    <t>03/16/2025</t>
  </si>
  <si>
    <t>03/19/2025</t>
  </si>
  <si>
    <t>11/20/2024</t>
  </si>
  <si>
    <t>12/04/2024</t>
  </si>
  <si>
    <t>BASI16-0386</t>
  </si>
  <si>
    <t>BASI</t>
  </si>
  <si>
    <t>Sleep Philosophy</t>
  </si>
  <si>
    <t>MATT PAD/TOPPER</t>
  </si>
  <si>
    <t>Mattress Toppers</t>
  </si>
  <si>
    <t>2" Gel Memory Foam with 3M Cover</t>
  </si>
  <si>
    <t>Mattress Topper</t>
  </si>
  <si>
    <t>Twin</t>
  </si>
  <si>
    <t>White</t>
  </si>
  <si>
    <t>Active</t>
  </si>
  <si>
    <t>B</t>
  </si>
  <si>
    <t>NO</t>
  </si>
  <si>
    <t/>
  </si>
  <si>
    <t>PF002107</t>
  </si>
  <si>
    <t>Foam</t>
  </si>
  <si>
    <t>Solid</t>
  </si>
  <si>
    <t>Casual</t>
  </si>
  <si>
    <t>4/2/2017</t>
  </si>
  <si>
    <t>KOHLDSN,TGTDVS</t>
  </si>
  <si>
    <t>17764099-000-000</t>
  </si>
  <si>
    <t>Tier 3</t>
  </si>
  <si>
    <t>Setup</t>
  </si>
  <si>
    <t>7/30/2016</t>
  </si>
  <si>
    <t>7/3/2017</t>
  </si>
  <si>
    <t>No</t>
  </si>
  <si>
    <t>BASI16-0387</t>
  </si>
  <si>
    <t>Full</t>
  </si>
  <si>
    <t>CSNSTORES,JCPENNEY01,KOHLDSN,MACY02,OLLIIX,ZOLA</t>
  </si>
  <si>
    <t>17764099-000-001</t>
  </si>
  <si>
    <t>10/9/2017</t>
  </si>
  <si>
    <t>MPE20-1014</t>
  </si>
  <si>
    <t>SHET</t>
  </si>
  <si>
    <t>Madison Park Essentials</t>
  </si>
  <si>
    <t>SHEET/SHEET SET</t>
  </si>
  <si>
    <t>Sheet/Sheet Set</t>
  </si>
  <si>
    <t>200 Thread Count Printed Cotton</t>
  </si>
  <si>
    <t>Sheet Set</t>
  </si>
  <si>
    <t>King</t>
  </si>
  <si>
    <t>Blue Stripe</t>
  </si>
  <si>
    <t>PP001858;PF005942</t>
  </si>
  <si>
    <t>Cotton</t>
  </si>
  <si>
    <t>4</t>
  </si>
  <si>
    <t>Stripe</t>
  </si>
  <si>
    <t>3/22/2023</t>
  </si>
  <si>
    <t>AMAZON,CSNSTORES,JCPENNEY01,KOHLDSN,MACY02,TGTDVS,Zulily</t>
  </si>
  <si>
    <t>42128528-000-007</t>
  </si>
  <si>
    <t>8/17/2023</t>
  </si>
  <si>
    <t>1/23/2024</t>
  </si>
  <si>
    <t>MPE20-1006</t>
  </si>
  <si>
    <t>Green Leaves</t>
  </si>
  <si>
    <t>PP001858;PF005940</t>
  </si>
  <si>
    <t>Botanical</t>
  </si>
  <si>
    <t>AMAZON,AMAZONDS,CSNSTORES,JCPENNEY01,MACY02,TGTDVS</t>
  </si>
  <si>
    <t>42128528-000-003</t>
  </si>
  <si>
    <t>11/18/2023</t>
  </si>
  <si>
    <t>MPE20-1015</t>
  </si>
  <si>
    <t>Grey Stripe</t>
  </si>
  <si>
    <t>PP001858;PF005943</t>
  </si>
  <si>
    <t>AMAZON,AMAZONDS,JCPENNEY01,MACY02,TGTDVS</t>
  </si>
  <si>
    <t>42128528-000-000</t>
  </si>
  <si>
    <t>9/28/2023</t>
  </si>
  <si>
    <t>MPE20-1017</t>
  </si>
  <si>
    <t>AMAZON,CSNSTORES,JCPENNEY01,KOHLDSN,TGTDVS</t>
  </si>
  <si>
    <t>42128528-000-002</t>
  </si>
  <si>
    <t>11/13/2023</t>
  </si>
  <si>
    <t>BASI16-0417</t>
  </si>
  <si>
    <t>3" Gel Memory Foam</t>
  </si>
  <si>
    <t>All Season Reversible Hypoallergenic Cooling Mattress Topper</t>
  </si>
  <si>
    <t>Blue</t>
  </si>
  <si>
    <t>PF002106</t>
  </si>
  <si>
    <t>AMAZON,BEALLSDS,BIGLOTSDS,BLK01,HSNDS,KOHLDSN,MACY02,OLLIIX,TGTDVS,WALMARTDS,Zulily</t>
  </si>
  <si>
    <t>19524730-000-000</t>
  </si>
  <si>
    <t>9/15/2016</t>
  </si>
  <si>
    <t>12/9/2016</t>
  </si>
  <si>
    <t>BASI16-0420</t>
  </si>
  <si>
    <t>AMAZON,BIGLOTSDS,BLK01,KOHLDSN,MACY02,OLLIIX,TGTDVS,WALMARTDS,ZOLA</t>
  </si>
  <si>
    <t>19524730-000-003</t>
  </si>
  <si>
    <t>9/30/2016</t>
  </si>
  <si>
    <t>BASI16-0475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</si>
  <si>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</si>
  <si>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</si>
  <si>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</si>
  <si>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</si>
  <si>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AMAZON,AMAZONDS,HDDS,JCPENNEY01,KOHLDSN,OLLIIX,TGTDVS</t>
  </si>
  <si>
    <t>19965442-000-000</t>
  </si>
  <si>
    <t>11/1/2016</t>
  </si>
  <si>
    <t>7/7/2017</t>
  </si>
  <si>
    <t>BASI16-0478</t>
  </si>
  <si>
    <t>Queen</t>
  </si>
  <si>
    <t>AAFESDS,BLK01,HDDS,JCPENNEY01,KOHLDSN,MACY02,OLLIIX,TGTDVS,ZOLA</t>
  </si>
  <si>
    <t>19965442-000-003</t>
  </si>
  <si>
    <t>1/30/2017</t>
  </si>
  <si>
    <t>MP20-2447</t>
  </si>
  <si>
    <t>Madison Park</t>
  </si>
  <si>
    <t>3M Microcell</t>
  </si>
  <si>
    <t>Luxurious Brushed Microfiber Deep Pocket Sheet Set</t>
  </si>
  <si>
    <t>Twin XL</t>
  </si>
  <si>
    <t>PF001786</t>
  </si>
  <si>
    <t>Microfiber</t>
  </si>
  <si>
    <t>1/22/2025</t>
  </si>
  <si>
    <t>DESINC,HDDS,HSNDS,JCPENNEY01,KOHLDSN,MACY02,OLLIIX</t>
  </si>
  <si>
    <t>16596275-000-039</t>
  </si>
  <si>
    <t>5/17/2016</t>
  </si>
  <si>
    <t>MP20-1186</t>
  </si>
  <si>
    <t>BLK01,CSNSTORES,HDDS,HSNDS,JCPENNEY01,KOHLDSN,MACY02,OLLIIX,TGTDVS</t>
  </si>
  <si>
    <t>16596275-000-011</t>
  </si>
  <si>
    <t>6/5/2015</t>
  </si>
  <si>
    <t>MP20-1187</t>
  </si>
  <si>
    <t>BLK01,CSNSTORES,HDDS,HSNDS,JCPENNEY01,KOHLDSN,MACY02,OLLIIX,TGTDVS,ZOLA</t>
  </si>
  <si>
    <t>16596275-000-012</t>
  </si>
  <si>
    <t>4/24/2015</t>
  </si>
  <si>
    <t>MP20-1188</t>
  </si>
  <si>
    <t>BLK01,HDDS,HSNDS,JCPENNEY01,KOHLDSN,MACY02,OLLIIX,TGTDVS,ZOLA</t>
  </si>
  <si>
    <t>16596275-000-013</t>
  </si>
  <si>
    <t>8/24/2015</t>
  </si>
  <si>
    <t>MP20-1189</t>
  </si>
  <si>
    <t>Cal King</t>
  </si>
  <si>
    <t>CSNSTORES,JCPENNEY01,KOHLDSN,MACY02,TGTDVS,ZOLA</t>
  </si>
  <si>
    <t>16596275-000-014</t>
  </si>
  <si>
    <t>12/7/2015</t>
  </si>
  <si>
    <t>MP20-4389</t>
  </si>
  <si>
    <t>Blush</t>
  </si>
  <si>
    <t>PF001792</t>
  </si>
  <si>
    <t>5/17/2017</t>
  </si>
  <si>
    <t>12/9/2024</t>
  </si>
  <si>
    <t>AMAZON,BLK01,HDDS,JCPENNEY01,KOHLDSN,MACY02,WALMARTDS</t>
  </si>
  <si>
    <t>16596275-000-041</t>
  </si>
  <si>
    <t>4/25/2017</t>
  </si>
  <si>
    <t>6/8/2017</t>
  </si>
  <si>
    <t>MP20-4390</t>
  </si>
  <si>
    <t>AMAZON,AMAZONDS,BLK01,CSNSTORES,HDDS,HSNDS,JCPENNEY01,KOHLDSN,MACY02,OLLIIX</t>
  </si>
  <si>
    <t>16596275-000-042</t>
  </si>
  <si>
    <t>7/18/2017</t>
  </si>
  <si>
    <t>MP20-4391</t>
  </si>
  <si>
    <t>AMAZON,BEALLSDS,BLK01,CSNSTORES,HDDS,HSNDS,JCPENNEY01,KOHLDSN,MACY02,OLLIIX,WALMARTDS,ZOLA</t>
  </si>
  <si>
    <t>16596275-000-043</t>
  </si>
  <si>
    <t>6/5/2017</t>
  </si>
  <si>
    <t>MP20-4393</t>
  </si>
  <si>
    <t>AMAZON,HDDS,JCPENNEY01,KOHLDSN,MACY02</t>
  </si>
  <si>
    <t>16596275-000-045</t>
  </si>
  <si>
    <t>3/15/2018</t>
  </si>
  <si>
    <t>MP20-2383</t>
  </si>
  <si>
    <t>Grey</t>
  </si>
  <si>
    <t>PF001789</t>
  </si>
  <si>
    <t>JCPENNEY01,KOHLDSN,MACY02,OLLIIX</t>
  </si>
  <si>
    <t>16596275-000-025</t>
  </si>
  <si>
    <t>5/10/2016</t>
  </si>
  <si>
    <t>MP20-2443</t>
  </si>
  <si>
    <t>BLK01,HDDS,JCPENNEY01,KOHLDSN,MACY02</t>
  </si>
  <si>
    <t>16596275-000-026</t>
  </si>
  <si>
    <t>10/24/2016</t>
  </si>
  <si>
    <t>MP20-2384</t>
  </si>
  <si>
    <t>16596275-000-027</t>
  </si>
  <si>
    <t>3/24/2016</t>
  </si>
  <si>
    <t>MP20-2387</t>
  </si>
  <si>
    <t>AMAZON,BLK01,JCPENNEY01,KOHLDSN,ZOLA</t>
  </si>
  <si>
    <t>16596275-000-030</t>
  </si>
  <si>
    <t>4/22/2016</t>
  </si>
  <si>
    <t>MP20-1180</t>
  </si>
  <si>
    <t>Ivory</t>
  </si>
  <si>
    <t>PF001785</t>
  </si>
  <si>
    <t>HDDS,HSNDS,JCPENNEY01,KOHLDSN,MACY02,OLLIIX,TGTDVS,WALMARTDS</t>
  </si>
  <si>
    <t>16596275-000-005</t>
  </si>
  <si>
    <t>2/17/2015</t>
  </si>
  <si>
    <t>MP20-2446</t>
  </si>
  <si>
    <t>HDDS,HSNDS,JCPENNEY01,KOHLDSN,MACY02</t>
  </si>
  <si>
    <t>16596275-000-038</t>
  </si>
  <si>
    <t>7/5/2016</t>
  </si>
  <si>
    <t>MP20-1181</t>
  </si>
  <si>
    <t>BLK01,CSNSTORES,HDDS,JCPENNEY01,KOHLDSN,MACY02,OLLIIX,TGTDVS,WALMARTDS</t>
  </si>
  <si>
    <t>16596275-000-006</t>
  </si>
  <si>
    <t>MP20-1183</t>
  </si>
  <si>
    <t>BLK01,HDDS,HSNDS,JCPENNEY01,KOHLDSN,MACY02,OLLIIX,TGTDVS,WALMARTDS</t>
  </si>
  <si>
    <t>16596275-000-008</t>
  </si>
  <si>
    <t>1/7/2015</t>
  </si>
  <si>
    <t>MP20-1184</t>
  </si>
  <si>
    <t>HSNDS,JCPENNEY01,KOHLDSN,MACY02,OLLIIX</t>
  </si>
  <si>
    <t>16596275-000-009</t>
  </si>
  <si>
    <t>5/12/2015</t>
  </si>
  <si>
    <t>MP20-1190</t>
  </si>
  <si>
    <t>Khaki</t>
  </si>
  <si>
    <t>PF001787</t>
  </si>
  <si>
    <t>HSNDS,JCPENNEY01,KOHLDSN,MACY02,OLLIIX,TGTDVS</t>
  </si>
  <si>
    <t>16596275-000-015</t>
  </si>
  <si>
    <t>3/20/2015</t>
  </si>
  <si>
    <t>MP20-1191</t>
  </si>
  <si>
    <t>BLK01,JCPENNEY01,KOHLDSN,MACY02,OLLIIX,TGTDVS</t>
  </si>
  <si>
    <t>16596275-000-016</t>
  </si>
  <si>
    <t>1/12/2015</t>
  </si>
  <si>
    <t>MP20-1193</t>
  </si>
  <si>
    <t>BLK01,HDDS,HSNDS,JCPENNEY01,KOHLDSN,MACY02,NRTPORT,OLLIIX,TGTDVS</t>
  </si>
  <si>
    <t>16596275-000-018</t>
  </si>
  <si>
    <t>8/11/2015</t>
  </si>
  <si>
    <t>MP20-1194</t>
  </si>
  <si>
    <t>HSNDS,JCPENNEY01,KOHLDSN,MACY02</t>
  </si>
  <si>
    <t>16596275-000-019</t>
  </si>
  <si>
    <t>6/1/2015</t>
  </si>
  <si>
    <t>MP20-2388</t>
  </si>
  <si>
    <t>Seafoam</t>
  </si>
  <si>
    <t>PF001791</t>
  </si>
  <si>
    <t>AMAZON,JCPENNEY01,KOHLDSN,OLLIIX</t>
  </si>
  <si>
    <t>16596275-000-031</t>
  </si>
  <si>
    <t>6/23/2016</t>
  </si>
  <si>
    <t>MP20-2444</t>
  </si>
  <si>
    <t>AMAZON,AMAZONDS,HSNDS,JCPENNEY01,KOHLDSN,MACY02</t>
  </si>
  <si>
    <t>16596275-000-032</t>
  </si>
  <si>
    <t>4/13/2016</t>
  </si>
  <si>
    <t>MP20-2389</t>
  </si>
  <si>
    <t>AMAZON,BEALLSDS,BLK01,CSNSTORES,HSNDS,JCPENNEY01,KOHLDSN,MACY02,OLLIIX</t>
  </si>
  <si>
    <t>16596275-000-033</t>
  </si>
  <si>
    <t>7/20/2016</t>
  </si>
  <si>
    <t>MP20-2391</t>
  </si>
  <si>
    <t>AMAZON,BLK01,CSNSTORES,HDDS,HSNDS,JCPENNEY01,KOHLDSN,MACY02,ZOLA</t>
  </si>
  <si>
    <t>16596275-000-035</t>
  </si>
  <si>
    <t>4/5/2016</t>
  </si>
  <si>
    <t>MP20-2392</t>
  </si>
  <si>
    <t>AMAZON,CSNSTORES,HSNDS,JCPENNEY01,KOHLDSN,MACY02</t>
  </si>
  <si>
    <t>16596275-000-036</t>
  </si>
  <si>
    <t>MP20-1175</t>
  </si>
  <si>
    <t>PF001784</t>
  </si>
  <si>
    <t>JCPENNEY01,KOHLDSN,MACY02,OLLIIX,TGTDVS</t>
  </si>
  <si>
    <t>16596275-000-000</t>
  </si>
  <si>
    <t>1/6/2015</t>
  </si>
  <si>
    <t>MP20-1179</t>
  </si>
  <si>
    <t>16596275-000-004</t>
  </si>
  <si>
    <t>1/21/2015</t>
  </si>
  <si>
    <t>BASI16-0450</t>
  </si>
  <si>
    <t>4" Gel Memory Foam with 3M Cover</t>
  </si>
  <si>
    <t>4" Memory Foam Mattress Topper</t>
  </si>
  <si>
    <t>PF002109</t>
  </si>
  <si>
    <t>AMAZON,CSNSTORES,JCPENNEY01,KOHLDSN,MACY02,TGTDVS</t>
  </si>
  <si>
    <t>19512397-000-000</t>
  </si>
  <si>
    <t>Tier 2</t>
  </si>
  <si>
    <t>12/7/2016</t>
  </si>
  <si>
    <t>MP95G-0286</t>
  </si>
  <si>
    <t>ART</t>
  </si>
  <si>
    <t>FRAMED GRAPHICS</t>
  </si>
  <si>
    <t>Framed Graphics</t>
  </si>
  <si>
    <t>Abstract Reveal</t>
  </si>
  <si>
    <t>Framed Glass and Gallery Matted Wall Art</t>
  </si>
  <si>
    <t>See below</t>
  </si>
  <si>
    <t>Neutral</t>
  </si>
  <si>
    <t>PP001665</t>
  </si>
  <si>
    <t>1</t>
  </si>
  <si>
    <t>Abstract</t>
  </si>
  <si>
    <t>Modern/Contemporary</t>
  </si>
  <si>
    <t>6/2/2021</t>
  </si>
  <si>
    <t>12/2/2024</t>
  </si>
  <si>
    <t>AMAZON,AMAZONDS,AMERSIGNDS,BLK01,HDDS,JCPENNEY01,KIRKLANDDS,KOHLDSN,MACY02,OLLIIX,ROOMECOM,TGTDVS</t>
  </si>
  <si>
    <t>38501149-000-000</t>
  </si>
  <si>
    <t>7/19/2021</t>
  </si>
  <si>
    <t>11/26/2021</t>
  </si>
  <si>
    <t>MT95G-0029</t>
  </si>
  <si>
    <t>Martha Stewart</t>
  </si>
  <si>
    <t>Across The Plains 1</t>
  </si>
  <si>
    <t>Framed Glass and Double Matted Abstract Landscape Wall Art</t>
  </si>
  <si>
    <t>Multi</t>
  </si>
  <si>
    <t>PP001448;PF005015</t>
  </si>
  <si>
    <t>Landscape</t>
  </si>
  <si>
    <t>Traditional</t>
  </si>
  <si>
    <t>MT Bedford</t>
  </si>
  <si>
    <t>11/13/2019</t>
  </si>
  <si>
    <t>AMAZON,AMAZONDS,BLK01,CSNSTORES,DESINC,HDDS,KIRKLANDDS,KOHLDSN,MACY02,OLLIIX,TGTDVS,ZOLA,Zulily</t>
  </si>
  <si>
    <t>35147144-000-000</t>
  </si>
  <si>
    <t>11/21/2019</t>
  </si>
  <si>
    <t>4/21/2020</t>
  </si>
  <si>
    <t>II104-0481</t>
  </si>
  <si>
    <t>FUR</t>
  </si>
  <si>
    <t>INK+IVY</t>
  </si>
  <si>
    <t>BAR STOOL</t>
  </si>
  <si>
    <t>Swivel Counter Stool</t>
  </si>
  <si>
    <t>Adams</t>
  </si>
  <si>
    <t>Faux Leather Swivel Counter Stool</t>
  </si>
  <si>
    <t>B-</t>
  </si>
  <si>
    <t>Other</t>
  </si>
  <si>
    <t>4/20/2022</t>
  </si>
  <si>
    <t>CSNSTORES,HDDS,KOHLDSN,OLLIIX,ZOLA</t>
  </si>
  <si>
    <t>39863216-000-000</t>
  </si>
  <si>
    <t>4/25/2022</t>
  </si>
  <si>
    <t>8/18/2022</t>
  </si>
  <si>
    <t>MPE73-1024</t>
  </si>
  <si>
    <t>TOWL</t>
  </si>
  <si>
    <t>BATH TOWEL</t>
  </si>
  <si>
    <t>Bath Towel</t>
  </si>
  <si>
    <t>Adrien</t>
  </si>
  <si>
    <t>Remy</t>
  </si>
  <si>
    <t>Roman</t>
  </si>
  <si>
    <t>Super Soft Cotton Quick Dry Bath Towel 6 Piece Set</t>
  </si>
  <si>
    <t>6-Piece</t>
  </si>
  <si>
    <t>Black</t>
  </si>
  <si>
    <t>PP001058;PF005959</t>
  </si>
  <si>
    <t>6</t>
  </si>
  <si>
    <t>7/4/2023</t>
  </si>
  <si>
    <t>AMAZON,AMAZONDS,BLK01,CSNSTORES,KOHLDSN,MACY02,OLLIIX,TGTDVS,ZOLA</t>
  </si>
  <si>
    <t>25423983-000-011</t>
  </si>
  <si>
    <t>3/6/2024</t>
  </si>
  <si>
    <t>MPE73-664</t>
  </si>
  <si>
    <t>Coral</t>
  </si>
  <si>
    <t>A</t>
  </si>
  <si>
    <t>10/18/2017</t>
  </si>
  <si>
    <t>AMAZON,BIGLOTSDS,BLK01,CSNSTORES,DESINC,HDDS,JCPENNEY01,KOHLDSN,MACY02,OLLIIX,TGTDVS</t>
  </si>
  <si>
    <t>25423983-000-002</t>
  </si>
  <si>
    <t>12/7/2017</t>
  </si>
  <si>
    <t>1/25/2018</t>
  </si>
  <si>
    <t>MPE73-788</t>
  </si>
  <si>
    <t>Teal</t>
  </si>
  <si>
    <t>PP001058</t>
  </si>
  <si>
    <t>1/24/2019</t>
  </si>
  <si>
    <t>AMAZON,BIGLOTSDS,BLK01,CSNSTORES,JCPENNEY01,KOHLDSN,MACY02,OLLIIX,TGTDVS,WALMARTDS,ZOLA</t>
  </si>
  <si>
    <t>25423983-000-007</t>
  </si>
  <si>
    <t>1/31/2019</t>
  </si>
  <si>
    <t>2/6/2019</t>
  </si>
  <si>
    <t>MT153-0078</t>
  </si>
  <si>
    <t>LGT</t>
  </si>
  <si>
    <t>LGT-TABLE LAMPS</t>
  </si>
  <si>
    <t>Table Task Lamps</t>
  </si>
  <si>
    <t>Aelorian</t>
  </si>
  <si>
    <t>Table Lamp 28"H</t>
  </si>
  <si>
    <t>Antique Brass</t>
  </si>
  <si>
    <t>4/10/2024</t>
  </si>
  <si>
    <t>11/1/2024</t>
  </si>
  <si>
    <t>HDDS,KOHLDSN</t>
  </si>
  <si>
    <t>44300081-000-000</t>
  </si>
  <si>
    <t>7/9/2024</t>
  </si>
  <si>
    <t>8/7/2024</t>
  </si>
  <si>
    <t>II153-0113</t>
  </si>
  <si>
    <t>Agape</t>
  </si>
  <si>
    <t>Boho Ceramic Table Lamp</t>
  </si>
  <si>
    <t>12/22/2021</t>
  </si>
  <si>
    <t>CSNSTORES,JCPENNEY01,KIRKLANDDS,KOHLDSN,OLLIIX,TGTDVS</t>
  </si>
  <si>
    <t>39471145-000-000</t>
  </si>
  <si>
    <t>1/7/2022</t>
  </si>
  <si>
    <t>5/23/2022</t>
  </si>
  <si>
    <t>MPE10-1022</t>
  </si>
  <si>
    <t>ADUL</t>
  </si>
  <si>
    <t>COMFORTER (SET)</t>
  </si>
  <si>
    <t>BIAB</t>
  </si>
  <si>
    <t>Alice</t>
  </si>
  <si>
    <t>Leena</t>
  </si>
  <si>
    <t>Robin</t>
  </si>
  <si>
    <t>Floral Comforter Set with Bed Sheets</t>
  </si>
  <si>
    <t>Mauve</t>
  </si>
  <si>
    <t>PP001866;PF005965</t>
  </si>
  <si>
    <t>7</t>
  </si>
  <si>
    <t>Floral</t>
  </si>
  <si>
    <t>Transitional</t>
  </si>
  <si>
    <t>5/5/2023</t>
  </si>
  <si>
    <t>AMAZON,ASHFURNDS,CSNSTORES,JCPENNEY01,KOHLDSN,MACY02</t>
  </si>
  <si>
    <t>41524975-000-004</t>
  </si>
  <si>
    <t>5/9/2023</t>
  </si>
  <si>
    <t>7/7/2023</t>
  </si>
  <si>
    <t>MZ12-371</t>
  </si>
  <si>
    <t>YOUT</t>
  </si>
  <si>
    <t>Mi Zone</t>
  </si>
  <si>
    <t>DUVET&amp;DUVET SET</t>
  </si>
  <si>
    <t>Duvet&amp;Duvet Set</t>
  </si>
  <si>
    <t>Allison</t>
  </si>
  <si>
    <t>Mackenzie</t>
  </si>
  <si>
    <t>Kelly</t>
  </si>
  <si>
    <t>Floral Duvet Cover Set</t>
  </si>
  <si>
    <t>Yellow</t>
  </si>
  <si>
    <t>PF000013</t>
  </si>
  <si>
    <t>3</t>
  </si>
  <si>
    <t>AMAZON,ASHFURNDS,CSNSTORES,MACY02,TGTDVS,Zulily</t>
  </si>
  <si>
    <t>17632896-000-000</t>
  </si>
  <si>
    <t>9/17/2015</t>
  </si>
  <si>
    <t>PET63PC6184-MD</t>
  </si>
  <si>
    <t>PETB</t>
  </si>
  <si>
    <t>Friends Forever</t>
  </si>
  <si>
    <t>PET BEDS</t>
  </si>
  <si>
    <t>Pet Beds</t>
  </si>
  <si>
    <t>Ally</t>
  </si>
  <si>
    <t>Medium All Foam Pet Couch</t>
  </si>
  <si>
    <t>M</t>
  </si>
  <si>
    <t>8/10/2023</t>
  </si>
  <si>
    <t>AMAZON,AMAZONDS</t>
  </si>
  <si>
    <t>43809389-000-006</t>
  </si>
  <si>
    <t>4/12/2024</t>
  </si>
  <si>
    <t>PET63PC6184-XL</t>
  </si>
  <si>
    <t>XLarge All Foam Pet Couch</t>
  </si>
  <si>
    <t>XL</t>
  </si>
  <si>
    <t>AMAZON,KOHLDSN</t>
  </si>
  <si>
    <t>43809389-000-004</t>
  </si>
  <si>
    <t>9/5/2024</t>
  </si>
  <si>
    <t>II12-784</t>
  </si>
  <si>
    <t>Duvet Mini Set</t>
  </si>
  <si>
    <t>Alpine</t>
  </si>
  <si>
    <t>3 Piece Duvet Cover Mini Set</t>
  </si>
  <si>
    <t>King/Cal King</t>
  </si>
  <si>
    <t>Aqua</t>
  </si>
  <si>
    <t>PF001637;PP000371</t>
  </si>
  <si>
    <t>Ikat</t>
  </si>
  <si>
    <t>Mid-Century</t>
  </si>
  <si>
    <t>Casual|Modern/Contemporary</t>
  </si>
  <si>
    <t>AMAZON,AMAZONDS,CSNSTORES,JCPENNEY01,KOHLDSN,MACY02,OLLIIX,ZOLA</t>
  </si>
  <si>
    <t>19427077-000-001</t>
  </si>
  <si>
    <t>9/7/2016</t>
  </si>
  <si>
    <t>11/22/2016</t>
  </si>
  <si>
    <t>II12-787</t>
  </si>
  <si>
    <t>Full/Queen</t>
  </si>
  <si>
    <t>PF001638;PP000371</t>
  </si>
  <si>
    <t>AMAZON,CSNSTORES,JCPENNEY01,KOHLDSN,OLLIIX,TGTDVS</t>
  </si>
  <si>
    <t>19427075-000-000</t>
  </si>
  <si>
    <t>1/18/2017</t>
  </si>
  <si>
    <t>MP116-1142</t>
  </si>
  <si>
    <t>HEADBOARD</t>
  </si>
  <si>
    <t>Headboard</t>
  </si>
  <si>
    <t>Amelia</t>
  </si>
  <si>
    <t>Baldwin</t>
  </si>
  <si>
    <t>Janice</t>
  </si>
  <si>
    <t>Upholstery Headboard</t>
  </si>
  <si>
    <t>Navy</t>
  </si>
  <si>
    <t>1/12/2022</t>
  </si>
  <si>
    <t>1/7/2025</t>
  </si>
  <si>
    <t>AMAZONDS,CSNSTORES,JCPENNEY01,KOHLDSN,MACY02F,OLLIIX</t>
  </si>
  <si>
    <t>22669390-000-005</t>
  </si>
  <si>
    <t>2/8/2022</t>
  </si>
  <si>
    <t>2/16/2022</t>
  </si>
  <si>
    <t>MP41-2226</t>
  </si>
  <si>
    <t>WIN</t>
  </si>
  <si>
    <t>VALANCE</t>
  </si>
  <si>
    <t>Valance</t>
  </si>
  <si>
    <t>Amherst</t>
  </si>
  <si>
    <t>Eastridge</t>
  </si>
  <si>
    <t>Salem</t>
  </si>
  <si>
    <t>Polyoni Pintuck Window Valance</t>
  </si>
  <si>
    <t>50x18"</t>
  </si>
  <si>
    <t>PF002411;PP000373</t>
  </si>
  <si>
    <t>Pieced</t>
  </si>
  <si>
    <t>1/29/2025</t>
  </si>
  <si>
    <t>AMAZON,AMAZONDS,BLK01,CSNSTORES,DESINC,JCPENNEY01,KOHLDSN,TGTDVS,WALMARTDS</t>
  </si>
  <si>
    <t>18539537-000-000</t>
  </si>
  <si>
    <t>6/6/2016</t>
  </si>
  <si>
    <t>MP40-2223</t>
  </si>
  <si>
    <t>WINDOW PANEL</t>
  </si>
  <si>
    <t>Window Panel</t>
  </si>
  <si>
    <t>Polyoni Pintuck Curtain Panel</t>
  </si>
  <si>
    <t>50x84"</t>
  </si>
  <si>
    <t>PF001363;PP000524</t>
  </si>
  <si>
    <t>Light Filtering</t>
  </si>
  <si>
    <t>AMAZON,BLK01,CASTLEGATE,CSNSTORES,JCPENNEY01,KOHLDSN,OLLIIX,TGTDVS</t>
  </si>
  <si>
    <t>17924347-000-000</t>
  </si>
  <si>
    <t>12/15/2015</t>
  </si>
  <si>
    <t>MP41-2229</t>
  </si>
  <si>
    <t>AMAZON,BIGLOTSDS,BLK01,CSNSTORES,JCPENNEY01,KOHLDSN</t>
  </si>
  <si>
    <t>17924350-000-000</t>
  </si>
  <si>
    <t>12/8/2015</t>
  </si>
  <si>
    <t>MP41-4376</t>
  </si>
  <si>
    <t>Polyoni Pintuck Valance</t>
  </si>
  <si>
    <t>PF002415</t>
  </si>
  <si>
    <t>7/4/2017</t>
  </si>
  <si>
    <t>12/6/2024</t>
  </si>
  <si>
    <t>AMAZON,AMAZONDS,BEALLSDS,CSNSTORES,HDDS,JCPENNEY01,KOHLDSN,TGTDVS</t>
  </si>
  <si>
    <t>18539537-000-004</t>
  </si>
  <si>
    <t>6/6/2017</t>
  </si>
  <si>
    <t>8/8/2017</t>
  </si>
  <si>
    <t>MP40-4373</t>
  </si>
  <si>
    <t>PF002411</t>
  </si>
  <si>
    <t>AMAZON,ASHFURNDS,BLK01,CSNSTORES,JCPENNEY01,KIRKLANDDS,KOHLDSN,TGTDVS</t>
  </si>
  <si>
    <t>17924352-000-005</t>
  </si>
  <si>
    <t>9/5/2017</t>
  </si>
  <si>
    <t>MP40-2221</t>
  </si>
  <si>
    <t>Natural</t>
  </si>
  <si>
    <t>PF002412;PP000373</t>
  </si>
  <si>
    <t>AMAZON,AMAZONDS,BEALLSDS,BLK01,CSNSTORES,DESINC,JCPENNEY01,KOHLDSN,OLLIIX</t>
  </si>
  <si>
    <t>17924352-000-001</t>
  </si>
  <si>
    <t>5/16/2016</t>
  </si>
  <si>
    <t>MP72-6205</t>
  </si>
  <si>
    <t>BATH</t>
  </si>
  <si>
    <t>BATH RUG</t>
  </si>
  <si>
    <t>Bath Rug</t>
  </si>
  <si>
    <t>Cotton Tufted Bath Rug</t>
  </si>
  <si>
    <t>27x45"</t>
  </si>
  <si>
    <t>PP000524;PF004654</t>
  </si>
  <si>
    <t>Color Block</t>
  </si>
  <si>
    <t>4/9/2019</t>
  </si>
  <si>
    <t>AMAZON,AMAZONDS,CSNSTORES,JCPENNEY01,KIRKLANDDS,KOHLDSN,MACY02,OLLIIX,TGTDVS,Zulily</t>
  </si>
  <si>
    <t>16629267-000-007</t>
  </si>
  <si>
    <t>5/23/2019</t>
  </si>
  <si>
    <t>MP40-2224</t>
  </si>
  <si>
    <t>Red</t>
  </si>
  <si>
    <t>PF001362;PP000524</t>
  </si>
  <si>
    <t>AMAZON,AMAZONDS,ASHFURNDS,BIGLOTSDS,BLK01,CASTLEGATE,CSNSTORES,JCPENNEY01,KOHLDSN,TGTDVS</t>
  </si>
  <si>
    <t>17924347-000-001</t>
  </si>
  <si>
    <t>12/3/2015</t>
  </si>
  <si>
    <t>MP41-2230</t>
  </si>
  <si>
    <t>AMAZON,AMAZONDS,ASHFURNDS,BLK01,CSNSTORES,JCPENNEY01,KOHLDSN,TGTDVS,WALMARTDS</t>
  </si>
  <si>
    <t>17924350-000-001</t>
  </si>
  <si>
    <t>12/11/2015</t>
  </si>
  <si>
    <t>MP70-221</t>
  </si>
  <si>
    <t>SHOWER CURTAIN</t>
  </si>
  <si>
    <t>Shower Curtain</t>
  </si>
  <si>
    <t>Faux Silk Shower Curtain</t>
  </si>
  <si>
    <t>72x72"</t>
  </si>
  <si>
    <t>AMAZON,AMAZONDS,CSNSTORES,DESINC,HDDS,JCPENNEY01,KOHLDSN,MACY02,OLLIIX,TGTDVS</t>
  </si>
  <si>
    <t>14941994-000-000</t>
  </si>
  <si>
    <t>2/12/2016</t>
  </si>
  <si>
    <t>MP40-6765</t>
  </si>
  <si>
    <t>Anaheim</t>
  </si>
  <si>
    <t>Salford</t>
  </si>
  <si>
    <t>Preston</t>
  </si>
  <si>
    <t>Plaid Faux Leather Tab Top Curtain Panel with Fleece Lining</t>
  </si>
  <si>
    <t>Brown</t>
  </si>
  <si>
    <t>PP001397;PF004934</t>
  </si>
  <si>
    <t>Plaid</t>
  </si>
  <si>
    <t>10/31/2019</t>
  </si>
  <si>
    <t>AMAZON,CSNSTORES,HDDS,JCPENNEY01,MACY02,TGTDVS</t>
  </si>
  <si>
    <t>35137209-000-002</t>
  </si>
  <si>
    <t>11/20/2019</t>
  </si>
  <si>
    <t>12/4/2019</t>
  </si>
  <si>
    <t>MP40-6767</t>
  </si>
  <si>
    <t>Plaid Rod Pocket and Back Tab Curtain Panel with Fleece Lining</t>
  </si>
  <si>
    <t>AMAZON,AMAZONDS,CSNSTORES,HDDS,JCPENNEY01,KOHLDSN,OLLIIX,TGTDVS,WALMARTDS</t>
  </si>
  <si>
    <t>35137210-000-001</t>
  </si>
  <si>
    <t>MP40-8295</t>
  </si>
  <si>
    <t>Green</t>
  </si>
  <si>
    <t>PP001397;PF006073</t>
  </si>
  <si>
    <t>9/22/2023</t>
  </si>
  <si>
    <t>AMAZON,AMAZONDS,CSNSTORES,DESINC,JCPENNEY01,KOHLDSN,OLLIIX,TGTDVS,Zulily</t>
  </si>
  <si>
    <t>35137210-000-006</t>
  </si>
  <si>
    <t>10/24/2023</t>
  </si>
  <si>
    <t>11/7/2023</t>
  </si>
  <si>
    <t>MP40-8276</t>
  </si>
  <si>
    <t>PP001397;PF006072</t>
  </si>
  <si>
    <t>10/12/2023</t>
  </si>
  <si>
    <t>AMAZON,KOHLDSN,TGTDVS</t>
  </si>
  <si>
    <t>35137209-000-004</t>
  </si>
  <si>
    <t>MP40-6761</t>
  </si>
  <si>
    <t>PP001397;PF004933</t>
  </si>
  <si>
    <t>AMAZON,CSNSTORES,HDDS,JCPENNEY01,KOHLDSN,TGTDVS</t>
  </si>
  <si>
    <t>35137209-000-001</t>
  </si>
  <si>
    <t>1/23/2020</t>
  </si>
  <si>
    <t>MP40-1297</t>
  </si>
  <si>
    <t>Andora</t>
  </si>
  <si>
    <t>Eliza</t>
  </si>
  <si>
    <t>Aden</t>
  </si>
  <si>
    <t>Curtain Panel</t>
  </si>
  <si>
    <t>50x95"</t>
  </si>
  <si>
    <t>PF003823</t>
  </si>
  <si>
    <t>AMAZON,AMAZONDS,BEALLSDS,BLK01,DESINC,JCPENNEY01,KOHLDSN,TGTDVS,WALMARTDS</t>
  </si>
  <si>
    <t>15478285-000-007</t>
  </si>
  <si>
    <t>1/28/2015</t>
  </si>
  <si>
    <t>MP41-4571</t>
  </si>
  <si>
    <t>Faux Silk Embroidered Window Valance</t>
  </si>
  <si>
    <t>6/29/2017</t>
  </si>
  <si>
    <t>AMAZON,BLK01,CSNSTORES,JCPENNEY01,KOHLDSN,TGTDVS</t>
  </si>
  <si>
    <t>22972352-000-002</t>
  </si>
  <si>
    <t>6/28/2017</t>
  </si>
  <si>
    <t>8/30/2017</t>
  </si>
  <si>
    <t>MP40-1296</t>
  </si>
  <si>
    <t>PF003962</t>
  </si>
  <si>
    <t>BLK01,DESINC,HDDS,JCPENNEY01,KOHLDSN,TGTDVS</t>
  </si>
  <si>
    <t>15478285-000-008</t>
  </si>
  <si>
    <t>1/5/2015</t>
  </si>
  <si>
    <t>MP40-1298</t>
  </si>
  <si>
    <t>AMAZON,AMAZONDS,AMERSIGNDS,BLK01,DESINC,JCPENNEY01,KOHLDSN</t>
  </si>
  <si>
    <t>15478285-000-009</t>
  </si>
  <si>
    <t>2/23/2015</t>
  </si>
  <si>
    <t>MP41-4573</t>
  </si>
  <si>
    <t>6/14/2017</t>
  </si>
  <si>
    <t>AMAZON,AMAZONDS,BLK01,CSNSTORES,JCPENNEY01,KOHLDSN,TGTDVS</t>
  </si>
  <si>
    <t>22972352-000-004</t>
  </si>
  <si>
    <t>7/10/2017</t>
  </si>
  <si>
    <t>MP40-1782</t>
  </si>
  <si>
    <t>PF003840</t>
  </si>
  <si>
    <t>ASHFURNDS,CSNSTORES,DESINC,JCPENNEY01,KOHLDSN,OLLIIX</t>
  </si>
  <si>
    <t>15478285-000-014</t>
  </si>
  <si>
    <t>8/29/2016</t>
  </si>
  <si>
    <t>WIN40-098</t>
  </si>
  <si>
    <t>Tan</t>
  </si>
  <si>
    <t>PF003798</t>
  </si>
  <si>
    <t>AMAZON,BLK01,CSNSTORES,HDDS,JCPENNEY01,KOHLDSN,LOWESDS,OLLIIX,TGTDVS,WALMARTDS</t>
  </si>
  <si>
    <t>15478285-000-000</t>
  </si>
  <si>
    <t>1/2/2015</t>
  </si>
  <si>
    <t>MP41-4574</t>
  </si>
  <si>
    <t>AMAZON,AMAZONDS,BLK01,CSNSTORES,JCPENNEY01,KOHLDSN,OLLIIX,TGTDVS</t>
  </si>
  <si>
    <t>22972352-000-005</t>
  </si>
  <si>
    <t>7/26/2017</t>
  </si>
  <si>
    <t>WIN40-100</t>
  </si>
  <si>
    <t>B+</t>
  </si>
  <si>
    <t>PF003816</t>
  </si>
  <si>
    <t>AMAZON,AMAZONDS,BLK01,CSNSTORES,HDDS,HSNDS,JCPENNEY01,KOHLDSN,NEBFUR01,OLLIIX,TGTDVS,WALMARTDS</t>
  </si>
  <si>
    <t>15478285-000-002</t>
  </si>
  <si>
    <t>MP40-718</t>
  </si>
  <si>
    <t>AMAZON,AMAZONDS,AMERSIGNDS,ASHFURNDS,CSNSTORES,HDDS,HSNDS,JCPENNEY01,KOHLDSN</t>
  </si>
  <si>
    <t>15478285-000-005</t>
  </si>
  <si>
    <t>WIN40-140</t>
  </si>
  <si>
    <t>Anna</t>
  </si>
  <si>
    <t>Joycelyn</t>
  </si>
  <si>
    <t>Ariana</t>
  </si>
  <si>
    <t>Cotton Oversized Ruffle Curtain Panel</t>
  </si>
  <si>
    <t>PF003972</t>
  </si>
  <si>
    <t>Cottage/Country</t>
  </si>
  <si>
    <t>AMAZON,BLK01,CSNSTORES,DESINC,JCPENNEY01,KOHLDSN,MACY02,NRTPORT,TGTDVS</t>
  </si>
  <si>
    <t>15856535-000-000</t>
  </si>
  <si>
    <t>II105-0466</t>
  </si>
  <si>
    <t>ACCENT BENCH</t>
  </si>
  <si>
    <t>Bench</t>
  </si>
  <si>
    <t>April</t>
  </si>
  <si>
    <t>Accent Bench</t>
  </si>
  <si>
    <t>Grey Multi</t>
  </si>
  <si>
    <t>CSNSTORES,OLLIIX</t>
  </si>
  <si>
    <t>39636262-000-000</t>
  </si>
  <si>
    <t>3/2/2022</t>
  </si>
  <si>
    <t>3/25/2022</t>
  </si>
  <si>
    <t>BASI50-0413</t>
  </si>
  <si>
    <t>BLK</t>
  </si>
  <si>
    <t>THROW</t>
  </si>
  <si>
    <t>Filled Throw</t>
  </si>
  <si>
    <t>Arctic</t>
  </si>
  <si>
    <t>Polar</t>
  </si>
  <si>
    <t>Ultra Plush Down Alternative Throw</t>
  </si>
  <si>
    <t>50x60"</t>
  </si>
  <si>
    <t>PF002120;PP000376</t>
  </si>
  <si>
    <t>Faux Fur</t>
  </si>
  <si>
    <t>Geometric</t>
  </si>
  <si>
    <t>4/8/2017</t>
  </si>
  <si>
    <t>CSNSTORES,JCPENNEY01,KOHLDSN,MACY02,OLLIIX,WALMARTDS</t>
  </si>
  <si>
    <t>19257555-000-000</t>
  </si>
  <si>
    <t>8/17/2016</t>
  </si>
  <si>
    <t>8/30/2016</t>
  </si>
  <si>
    <t>MZ10-084</t>
  </si>
  <si>
    <t>Comforter (Set)</t>
  </si>
  <si>
    <t>Ashton</t>
  </si>
  <si>
    <t>Garrett</t>
  </si>
  <si>
    <t>Cody</t>
  </si>
  <si>
    <t>Comforter Set</t>
  </si>
  <si>
    <t>Twin/Twin XL</t>
  </si>
  <si>
    <t>Khaki/Navy</t>
  </si>
  <si>
    <t>PF000057</t>
  </si>
  <si>
    <t>AMAZON,CSNSTORES,HOUZZ,JCPENNEY01,KOHLDSN,MACY02,OLLIIX,TGTDVS</t>
  </si>
  <si>
    <t>15289509-000-000</t>
  </si>
  <si>
    <t>1/4/2015</t>
  </si>
  <si>
    <t>FB154-1164</t>
  </si>
  <si>
    <t>510 Design</t>
  </si>
  <si>
    <t>LGT-FLOOR LAMPS</t>
  </si>
  <si>
    <t>Floor Lamps</t>
  </si>
  <si>
    <t>Aster</t>
  </si>
  <si>
    <t>Angular Arched Metal Floor Lamp</t>
  </si>
  <si>
    <t>Gold</t>
  </si>
  <si>
    <t>5/4/2022</t>
  </si>
  <si>
    <t>CSNSTORES,JCPENNEY01,KIRKLANDDS,KOHLDSN,OLLIIX,ROOMECOM,TGTDVS,ZOLA</t>
  </si>
  <si>
    <t>39936651-000-000</t>
  </si>
  <si>
    <t>5/9/2022</t>
  </si>
  <si>
    <t>6/15/2022</t>
  </si>
  <si>
    <t>MP40-2713</t>
  </si>
  <si>
    <t>Panel Pair</t>
  </si>
  <si>
    <t>Aubrey</t>
  </si>
  <si>
    <t>Whitman</t>
  </si>
  <si>
    <t>Charlotte</t>
  </si>
  <si>
    <t>Jacquard Curtain Panel Pair</t>
  </si>
  <si>
    <t>Burgundy</t>
  </si>
  <si>
    <t>PF003393;PP000381</t>
  </si>
  <si>
    <t>Paisley</t>
  </si>
  <si>
    <t>AMAZON,CSNSTORES,DESINC,HDDS,JCPENNEY01,KOHLDSN,OLLIIX,TGTDVS</t>
  </si>
  <si>
    <t>15478287-000-005</t>
  </si>
  <si>
    <t>Tier 1</t>
  </si>
  <si>
    <t>7/19/2016</t>
  </si>
  <si>
    <t>MP40-2680</t>
  </si>
  <si>
    <t>50x108"</t>
  </si>
  <si>
    <t>AMAZONDS,JCPENNEY01,KOHLDSN</t>
  </si>
  <si>
    <t>15478287-000-006</t>
  </si>
  <si>
    <t>8/19/2016</t>
  </si>
  <si>
    <t>MP41-2714</t>
  </si>
  <si>
    <t>Jacquard Window Valance</t>
  </si>
  <si>
    <t>AMAZON,AMAZONDS,ASHFURNDS,BEALLSDS,BLK01,CSNSTORES,JCPENNEY01,KOHLDSN,OLLIIX,TGTDVS</t>
  </si>
  <si>
    <t>16924840-000-002</t>
  </si>
  <si>
    <t>MP40-4897</t>
  </si>
  <si>
    <t>PF003394</t>
  </si>
  <si>
    <t>8/16/2017</t>
  </si>
  <si>
    <t>15478287-000-010</t>
  </si>
  <si>
    <t>8/21/2017</t>
  </si>
  <si>
    <t>9/26/2017</t>
  </si>
  <si>
    <t>MP40-4898</t>
  </si>
  <si>
    <t>AMAZON,ASHFURNDS,CSNSTORES,HDDS,JCPENNEY01,KOHLDSN</t>
  </si>
  <si>
    <t>15478287-000-011</t>
  </si>
  <si>
    <t>FB151-1188</t>
  </si>
  <si>
    <t>LGT-PENDANTS</t>
  </si>
  <si>
    <t>Pendants</t>
  </si>
  <si>
    <t>Auburn</t>
  </si>
  <si>
    <t>Auburn Bell Shaped Hanging Glass Pendant Light</t>
  </si>
  <si>
    <t>Dia.9"</t>
  </si>
  <si>
    <t>Gold/Amber</t>
  </si>
  <si>
    <t>Farm House</t>
  </si>
  <si>
    <t>23542148-000-005</t>
  </si>
  <si>
    <t>4/26/2024</t>
  </si>
  <si>
    <t>8/2/2024</t>
  </si>
  <si>
    <t>MP103-0825</t>
  </si>
  <si>
    <t>MOTION</t>
  </si>
  <si>
    <t>Swivel Glider</t>
  </si>
  <si>
    <t>Augustine</t>
  </si>
  <si>
    <t>Caddy</t>
  </si>
  <si>
    <t>Bewick</t>
  </si>
  <si>
    <t>Swivel Glider Chair</t>
  </si>
  <si>
    <t>Grey/Taupe</t>
  </si>
  <si>
    <t>6/21/2019</t>
  </si>
  <si>
    <t>AMAZONDS,AMERSIGNDS,CSNSTORES,HOUZZ,LAMPDS,MACY02F,OLLIIX</t>
  </si>
  <si>
    <t>33955914-000-000</t>
  </si>
  <si>
    <t>7/31/2019</t>
  </si>
  <si>
    <t>9/14/2019</t>
  </si>
  <si>
    <t>MP95B-0288</t>
  </si>
  <si>
    <t>AWD</t>
  </si>
  <si>
    <t>Aurelian Emblem</t>
  </si>
  <si>
    <t>Natural Capiz with Gold Foil 2-piece Shadowbox Wall Decor Set</t>
  </si>
  <si>
    <t>Natural/Gold</t>
  </si>
  <si>
    <t>PP001709</t>
  </si>
  <si>
    <t>2</t>
  </si>
  <si>
    <t>Coastal</t>
  </si>
  <si>
    <t>6/19/2021</t>
  </si>
  <si>
    <t>2/5/2025</t>
  </si>
  <si>
    <t>AMERSIGNDS,HOUZZ,KIRKLANDDS,OLLIIX,TGTDVS</t>
  </si>
  <si>
    <t>39266366-000-000</t>
  </si>
  <si>
    <t>11/27/2021</t>
  </si>
  <si>
    <t>1/19/2022</t>
  </si>
  <si>
    <t>MP95C-0285</t>
  </si>
  <si>
    <t>CANVAS</t>
  </si>
  <si>
    <t>Canvas</t>
  </si>
  <si>
    <t>Auric Beam</t>
  </si>
  <si>
    <t>Gold Foil Abstract Framed Canvas Wall Art</t>
  </si>
  <si>
    <t>PP001664</t>
  </si>
  <si>
    <t>Glam/Luxury</t>
  </si>
  <si>
    <t>AMAZONDS,AMERSIGNDS,CSNSTORES,JCPENNEY01,KIRKLANDDS,KOHLDSN,LAMPDS,NEBFUR01,OLLIIX,ROOMECOM,TGTDVS</t>
  </si>
  <si>
    <t>38513312-000-000</t>
  </si>
  <si>
    <t>7/20/2021</t>
  </si>
  <si>
    <t>11/22/2021</t>
  </si>
  <si>
    <t>MP95C-0207</t>
  </si>
  <si>
    <t>Autumn Forest</t>
  </si>
  <si>
    <t>Triptych 3-piece Textured Canvas Wall Art Set</t>
  </si>
  <si>
    <t>4/17/2019</t>
  </si>
  <si>
    <t>2/4/2025</t>
  </si>
  <si>
    <t>AMAZON,AMAZONDS,AMERSIGNDS,CSNSTORES,KIRKLANDDS,KOHLDSN,LAMPDS,OLLIIX,ROOMECOM,TGTDVS,Zulily</t>
  </si>
  <si>
    <t>33368285-000-000</t>
  </si>
  <si>
    <t>5/24/2019</t>
  </si>
  <si>
    <t>12/11/2019</t>
  </si>
  <si>
    <t>MP40-3596</t>
  </si>
  <si>
    <t>Sheer</t>
  </si>
  <si>
    <t>Averil</t>
  </si>
  <si>
    <t>Vina</t>
  </si>
  <si>
    <t>Layla</t>
  </si>
  <si>
    <t>Grommet Top Sheer Bird on Branches Burnout Window Curtain</t>
  </si>
  <si>
    <t>PF003984</t>
  </si>
  <si>
    <t>Nature</t>
  </si>
  <si>
    <t>AMAZON,CSNSTORES,DESINC,KOHLDSN</t>
  </si>
  <si>
    <t>16625358-000-005</t>
  </si>
  <si>
    <t>8/31/2016</t>
  </si>
  <si>
    <t>9/23/2016</t>
  </si>
  <si>
    <t>CCL40-0045</t>
  </si>
  <si>
    <t>Croscill Classics</t>
  </si>
  <si>
    <t>Avignon</t>
  </si>
  <si>
    <t>Pleat Curtain Panel with Tieback (Single)</t>
  </si>
  <si>
    <t>52x96"</t>
  </si>
  <si>
    <t>Champagne</t>
  </si>
  <si>
    <t>11/14/2022</t>
  </si>
  <si>
    <t>AMAZON,AMAZONDS,CSNSTORES,DESINC,DLCROSCILL,JCPENNEY01,KOHLDSN</t>
  </si>
  <si>
    <t>42036995-000-000</t>
  </si>
  <si>
    <t>7/27/2023</t>
  </si>
  <si>
    <t>9/1/2023</t>
  </si>
  <si>
    <t>FPF20-0402</t>
  </si>
  <si>
    <t>Counter Stool</t>
  </si>
  <si>
    <t>Avila</t>
  </si>
  <si>
    <t>Hayes</t>
  </si>
  <si>
    <t>Saffron</t>
  </si>
  <si>
    <t>Tufted Back Counter Stool</t>
  </si>
  <si>
    <t>PF000798;PP000092</t>
  </si>
  <si>
    <t>Print</t>
  </si>
  <si>
    <t>AMAZONDS,CSNSTORES,HDDS,MACY02F,OLLIIX,ROOMECOM</t>
  </si>
  <si>
    <t>18195302-000-000</t>
  </si>
  <si>
    <t>3/3/2016</t>
  </si>
  <si>
    <t>MT120-1200</t>
  </si>
  <si>
    <t>OCCASIONL TABLE</t>
  </si>
  <si>
    <t>Coffee Table</t>
  </si>
  <si>
    <t>Ayanna</t>
  </si>
  <si>
    <t>Oval Coffee Table with Shelf</t>
  </si>
  <si>
    <t>Reclaimed Greige</t>
  </si>
  <si>
    <t>2/28/2024</t>
  </si>
  <si>
    <t>2/26/2025</t>
  </si>
  <si>
    <t>AMAZONDS,CSNSTORES,KOHLDSN,OLLIIX</t>
  </si>
  <si>
    <t>43639317-000-000</t>
  </si>
  <si>
    <t>2/29/2024</t>
  </si>
  <si>
    <t>5/13/2024</t>
  </si>
  <si>
    <t>FPF18-0151</t>
  </si>
  <si>
    <t>ACCENT CHAIR</t>
  </si>
  <si>
    <t>Arm Chair</t>
  </si>
  <si>
    <t>Barton</t>
  </si>
  <si>
    <t>Weston</t>
  </si>
  <si>
    <t>Colette</t>
  </si>
  <si>
    <t>Wing Chair</t>
  </si>
  <si>
    <t>Dark Gray</t>
  </si>
  <si>
    <t>PF000615;PP000093</t>
  </si>
  <si>
    <t>CASTLEGATE,CSNSTORES,HDDS,KOHLDSN,MACY02F,ROOMECOM</t>
  </si>
  <si>
    <t>17880174-000-000</t>
  </si>
  <si>
    <t>3/21/2017</t>
  </si>
  <si>
    <t>MP72-5843</t>
  </si>
  <si>
    <t>Bayside</t>
  </si>
  <si>
    <t>Nantucket</t>
  </si>
  <si>
    <t>Rockaway</t>
  </si>
  <si>
    <t>Reversible High Pile Tufted Bath Rug</t>
  </si>
  <si>
    <t>24x60"</t>
  </si>
  <si>
    <t>PP000384;PF004272</t>
  </si>
  <si>
    <t>4/10/2018</t>
  </si>
  <si>
    <t>AMAZON,AMAZONDS,BEALLSDS,BLK01,CSNSTORES,DESINC,HDDS,JCPENNEY01,KIRKLANDDS,KOHLDSN,MACY02,OLLIIX,TGTDVS</t>
  </si>
  <si>
    <t>26943164-000-000</t>
  </si>
  <si>
    <t>4/26/2018</t>
  </si>
  <si>
    <t>5/16/2018</t>
  </si>
  <si>
    <t>ID95C-0054</t>
  </si>
  <si>
    <t>Beach Dogs</t>
  </si>
  <si>
    <t>Corgi Canvas Wall Art</t>
  </si>
  <si>
    <t>Corgi/Blue Multi</t>
  </si>
  <si>
    <t>Animal</t>
  </si>
  <si>
    <t>10/6/2023</t>
  </si>
  <si>
    <t>AMAZON,AMAZONDS,KOHLDSN,OLLIIX</t>
  </si>
  <si>
    <t>42721561-000-003</t>
  </si>
  <si>
    <t>10/8/2023</t>
  </si>
  <si>
    <t>1/22/2024</t>
  </si>
  <si>
    <t>ID95C-0058</t>
  </si>
  <si>
    <t>Golden Retriever Canvas Wall Art</t>
  </si>
  <si>
    <t>Golden Retriever/Blue Multi</t>
  </si>
  <si>
    <t>10/7/2023</t>
  </si>
  <si>
    <t>AMAZON,AMAZONDS,JCPENNEY01,KOHLDSN,OLLIIX</t>
  </si>
  <si>
    <t>42721561-000-004</t>
  </si>
  <si>
    <t>MP40-7494</t>
  </si>
  <si>
    <t>Beals</t>
  </si>
  <si>
    <t>Barnet</t>
  </si>
  <si>
    <t>Bayer</t>
  </si>
  <si>
    <t>Faux Linen Tab Top Fleece Lined Curtain Panel</t>
  </si>
  <si>
    <t>PP001631;PF005475</t>
  </si>
  <si>
    <t>7/10/2021</t>
  </si>
  <si>
    <t>AMAZON,DESINC,JCPENNEY01,KOHLDSN</t>
  </si>
  <si>
    <t>38477161-000-001</t>
  </si>
  <si>
    <t>7/14/2021</t>
  </si>
  <si>
    <t>7/22/2021</t>
  </si>
  <si>
    <t>MP40-7495</t>
  </si>
  <si>
    <t>Faux Linen Rod Pocket and Back Tab Fleece Lined Curtain Panel</t>
  </si>
  <si>
    <t>AMAZON,AMAZONDS,BLK01,CSNSTORES,HOUZZ,JCPENNEY01,KOHLDSN,OLLIIX</t>
  </si>
  <si>
    <t>38477180-000-002</t>
  </si>
  <si>
    <t>1/27/2022</t>
  </si>
  <si>
    <t>MPS130-0293</t>
  </si>
  <si>
    <t>Madison Park Signature</t>
  </si>
  <si>
    <t>ACCENT CHEST</t>
  </si>
  <si>
    <t>Cabinet</t>
  </si>
  <si>
    <t>Beckett</t>
  </si>
  <si>
    <t>2 Drawer Accent Chest</t>
  </si>
  <si>
    <t>Morocco Brown</t>
  </si>
  <si>
    <t>A+</t>
  </si>
  <si>
    <t>9/15/2020</t>
  </si>
  <si>
    <t>AMERSIGNDS,CSNSTORES,JCPENNEY01,KOHLDSN,OLLIIX</t>
  </si>
  <si>
    <t>36910051-000-000</t>
  </si>
  <si>
    <t>10/12/2020</t>
  </si>
  <si>
    <t>10/21/2020</t>
  </si>
  <si>
    <t>SS40-0062</t>
  </si>
  <si>
    <t>SunSmart</t>
  </si>
  <si>
    <t>Bentley</t>
  </si>
  <si>
    <t>Abel</t>
  </si>
  <si>
    <t>Byron</t>
  </si>
  <si>
    <t>Ogee Knitted Jacquard Total Blackout Curtain Panel</t>
  </si>
  <si>
    <t>Charcoal</t>
  </si>
  <si>
    <t>PP000358;PF004024</t>
  </si>
  <si>
    <t>Total Blackout</t>
  </si>
  <si>
    <t>AMAZON,CSNSTORES,JCPENNEY01,KOHLDSN,TGTDVS,WALMARTDS</t>
  </si>
  <si>
    <t>25504572-000-003</t>
  </si>
  <si>
    <t>12/22/2017</t>
  </si>
  <si>
    <t>3/16/2018</t>
  </si>
  <si>
    <t>SS40-0064</t>
  </si>
  <si>
    <t>25504572-000-005</t>
  </si>
  <si>
    <t>3/6/2018</t>
  </si>
  <si>
    <t>SS40-0120</t>
  </si>
  <si>
    <t>Taupe</t>
  </si>
  <si>
    <t>PP000358;PF004699</t>
  </si>
  <si>
    <t>6/12/2019</t>
  </si>
  <si>
    <t>AMAZON,AMAZONDS,BLK01,CSNSTORES,HDDS,JCPENNEY01,KOHLDSN</t>
  </si>
  <si>
    <t>25504572-000-007</t>
  </si>
  <si>
    <t>6/20/2019</t>
  </si>
  <si>
    <t>11/1/2019</t>
  </si>
  <si>
    <t>SS40-0121</t>
  </si>
  <si>
    <t>AMAZON,CSNSTORES,DESINC,JCPENNEY01,KOHLDSN</t>
  </si>
  <si>
    <t>25504572-000-008</t>
  </si>
  <si>
    <t>4/17/2020</t>
  </si>
  <si>
    <t>MP100-0153</t>
  </si>
  <si>
    <t>DINING CHAIR</t>
  </si>
  <si>
    <t>Dining Chair</t>
  </si>
  <si>
    <t>Bexley</t>
  </si>
  <si>
    <t>Larkin</t>
  </si>
  <si>
    <t>Oda</t>
  </si>
  <si>
    <t>Rounded Back Dining Chair</t>
  </si>
  <si>
    <t>PF001054;PP000096</t>
  </si>
  <si>
    <t>CASTLEGATE,CSNSTORES,DESINC,HDDS,KOHLDSN,MACY02F,OLLIIX</t>
  </si>
  <si>
    <t>22078834-000-000</t>
  </si>
  <si>
    <t>5/8/2017</t>
  </si>
  <si>
    <t>8/27/2017</t>
  </si>
  <si>
    <t>MP100-0152</t>
  </si>
  <si>
    <t>PF001053;PP000096</t>
  </si>
  <si>
    <t>3/5/2025</t>
  </si>
  <si>
    <t>CSNSTORES,HOUZZ,KIRKLANDDS,KOHLDSN,MACY02F,NEBFUR01,OLLIIX,ROOMECOM,TGTDVS</t>
  </si>
  <si>
    <t>20985770-000-000</t>
  </si>
  <si>
    <t>2/22/2017</t>
  </si>
  <si>
    <t>5/19/2017</t>
  </si>
  <si>
    <t>5DS73-0217</t>
  </si>
  <si>
    <t>Big Bundle</t>
  </si>
  <si>
    <t>100% Cotton Quick Dry 12 Piece Bath Towel Set</t>
  </si>
  <si>
    <t>12-Piece</t>
  </si>
  <si>
    <t>Beige</t>
  </si>
  <si>
    <t>PP001159;PF006347</t>
  </si>
  <si>
    <t>12</t>
  </si>
  <si>
    <t>7/3/2019</t>
  </si>
  <si>
    <t>1/15/2025</t>
  </si>
  <si>
    <t>AMAZONDS,BIGLOTSDS,BLK01,CSNSTORES,FINGERHUTDS,HDDS,JCPENNEY01,KIRKLANDDS,KOHLDSN,MACY02,NEBFUR01,OLLIIX,TGTDVS</t>
  </si>
  <si>
    <t>33127889-000-003</t>
  </si>
  <si>
    <t>11/18/2019</t>
  </si>
  <si>
    <t>5DS73-0201</t>
  </si>
  <si>
    <t>PP001159;PF006346</t>
  </si>
  <si>
    <t>5/2/2019</t>
  </si>
  <si>
    <t>AAFESDS,BIGLOTSDS,BLK01,CSNSTORES,FINGERHUTDS,HDDS,JCPENNEY01,KOHLDSN,MACY02,OLLIIX,TGTDVS</t>
  </si>
  <si>
    <t>33127889-000-000</t>
  </si>
  <si>
    <t>6/15/2019</t>
  </si>
  <si>
    <t>1/20/2020</t>
  </si>
  <si>
    <t>5DS73-0202</t>
  </si>
  <si>
    <t>Indigo</t>
  </si>
  <si>
    <t>PP001159;PF006343</t>
  </si>
  <si>
    <t>AAFESDS,BEALLSDS,BLK01,CSNSTORES,FINGERHUTDS,HDDS,JCPENNEY01,KOHLDSN,MACY02,NEBFUR01,OLLIIX,WALMARTDS</t>
  </si>
  <si>
    <t>33127889-000-002</t>
  </si>
  <si>
    <t>7/15/2019</t>
  </si>
  <si>
    <t>5DS73-0200</t>
  </si>
  <si>
    <t>PP001159;PF006344</t>
  </si>
  <si>
    <t>AAFESDS,BEALLSDS,BLK01,CSNSTORES,FINGERHUTDS,HDDS,JCPENNEY01,KOHLDSN,MACY02,OLLIIX,TGTDVS</t>
  </si>
  <si>
    <t>33127889-000-001</t>
  </si>
  <si>
    <t>7/18/2019</t>
  </si>
  <si>
    <t>CCL30-0030</t>
  </si>
  <si>
    <t>NORMAL PILLOW</t>
  </si>
  <si>
    <t>Normal Pillow</t>
  </si>
  <si>
    <t>Biron</t>
  </si>
  <si>
    <t>Square Decor Pillow</t>
  </si>
  <si>
    <t>18x18"</t>
  </si>
  <si>
    <t>Silver</t>
  </si>
  <si>
    <t>Vintage</t>
  </si>
  <si>
    <t>10/26/2022</t>
  </si>
  <si>
    <t>AMAZON,DLCROSCILL</t>
  </si>
  <si>
    <t>42067836-000-000</t>
  </si>
  <si>
    <t>8/3/2023</t>
  </si>
  <si>
    <t>9/27/2023</t>
  </si>
  <si>
    <t>MP10-8083</t>
  </si>
  <si>
    <t>Comforter Mini Set</t>
  </si>
  <si>
    <t>Blair</t>
  </si>
  <si>
    <t>Dakota</t>
  </si>
  <si>
    <t>Ruched Fur Down Alternative Comforter Set</t>
  </si>
  <si>
    <t>PP001807;PF005802</t>
  </si>
  <si>
    <t>9/29/2022</t>
  </si>
  <si>
    <t>AMAZONDS,BLK01,CSNSTORES,JCPENNEY01,KOHLDSN,MACY02,OLLIIX,TGTDVS</t>
  </si>
  <si>
    <t>40552139-000-000</t>
  </si>
  <si>
    <t>10/5/2022</t>
  </si>
  <si>
    <t>12/19/2022</t>
  </si>
  <si>
    <t>ID10-2332</t>
  </si>
  <si>
    <t xml:space="preserve">Intelligent Design </t>
  </si>
  <si>
    <t>Blake</t>
  </si>
  <si>
    <t>Liam</t>
  </si>
  <si>
    <t>Reeve</t>
  </si>
  <si>
    <t>Plaid Comforter Set</t>
  </si>
  <si>
    <t>Tan/Gray</t>
  </si>
  <si>
    <t>PF006203</t>
  </si>
  <si>
    <t>Lodge/Cabin</t>
  </si>
  <si>
    <t>3/16/2024</t>
  </si>
  <si>
    <t>AMAZON,JCPENNEY01</t>
  </si>
  <si>
    <t>43735708-000-000</t>
  </si>
  <si>
    <t>3/21/2024</t>
  </si>
  <si>
    <t>5/5/2024</t>
  </si>
  <si>
    <t>SS40-0072</t>
  </si>
  <si>
    <t>Blakesly</t>
  </si>
  <si>
    <t>Kagen</t>
  </si>
  <si>
    <t>Etro</t>
  </si>
  <si>
    <t>Printed Ikat Blackout Curtain Panel</t>
  </si>
  <si>
    <t>PP000592;PF004056</t>
  </si>
  <si>
    <t>Blackout</t>
  </si>
  <si>
    <t>AMAZON,AMERSIGNDS,CSNSTORES,HDDS,JCPENNEY01,KOHLDSN,NEBFUR01,TGTDVS,WALMARTDS</t>
  </si>
  <si>
    <t>25450234-000-007</t>
  </si>
  <si>
    <t>12/13/2017</t>
  </si>
  <si>
    <t>6/3/2019</t>
  </si>
  <si>
    <t>SS40-0073</t>
  </si>
  <si>
    <t>AMAZON,CSNSTORES,HDDS,JCPENNEY01,OLLIIX,TGTDVS,WALMARTDS</t>
  </si>
  <si>
    <t>25450234-000-008</t>
  </si>
  <si>
    <t>2/20/2018</t>
  </si>
  <si>
    <t>MT95C-0036A</t>
  </si>
  <si>
    <t>Blue Drift</t>
  </si>
  <si>
    <t>Abstract 5-piece Gallery Framed Canvas Wall Art Set</t>
  </si>
  <si>
    <t>PF005355</t>
  </si>
  <si>
    <t>5</t>
  </si>
  <si>
    <t>MT Perry Street</t>
  </si>
  <si>
    <t>1/20/2021</t>
  </si>
  <si>
    <t>AMAZON,AMAZONDS,CSNSTORES,HDDS,JCPENNEY01,KIRKLANDDS,KOHLDSN,OLLIIX,ROOMECOM,TGTDVS,ZOLA</t>
  </si>
  <si>
    <t>37326661-000-000</t>
  </si>
  <si>
    <t>1/19/2021</t>
  </si>
  <si>
    <t>1/26/2021</t>
  </si>
  <si>
    <t>MP95C-0179A</t>
  </si>
  <si>
    <t>Blue Horizon</t>
  </si>
  <si>
    <t>5-piece Gallery Framed Canvas Wall Art Set</t>
  </si>
  <si>
    <t>Blue Multi</t>
  </si>
  <si>
    <t>PP001102;PF004596</t>
  </si>
  <si>
    <t>Global Inspired|Industrial</t>
  </si>
  <si>
    <t>12/28/2018</t>
  </si>
  <si>
    <t>AMAZON,AMAZONDS,AMERSIGNDS,ASHFURNDS,CSNSTORES,DESINC,KIRKLANDDS,KOHLDSN,MACY02,OLLIIX,ROOMECOM,TGTDVS</t>
  </si>
  <si>
    <t>32348945-000-000</t>
  </si>
  <si>
    <t>2/13/2019</t>
  </si>
  <si>
    <t>2/20/2019</t>
  </si>
  <si>
    <t>II103-0498</t>
  </si>
  <si>
    <t>Swivel</t>
  </si>
  <si>
    <t>Bonn</t>
  </si>
  <si>
    <t>Upholstered 360 Degree Swivel Chair</t>
  </si>
  <si>
    <t>2/22/2023</t>
  </si>
  <si>
    <t>12/1/2024</t>
  </si>
  <si>
    <t>KIRKLANDDS,KOHLDSN,OLLIIX,ZOLA,Zulily</t>
  </si>
  <si>
    <t>41285717-000-000</t>
  </si>
  <si>
    <t>3/26/2023</t>
  </si>
  <si>
    <t>5/11/2023</t>
  </si>
  <si>
    <t>II100-0219</t>
  </si>
  <si>
    <t>Armless Chair</t>
  </si>
  <si>
    <t>Boomerang</t>
  </si>
  <si>
    <t>Accent Chair</t>
  </si>
  <si>
    <t>PF000109</t>
  </si>
  <si>
    <t>Industrial</t>
  </si>
  <si>
    <t>1/9/2018</t>
  </si>
  <si>
    <t>CSNSTORES,LAMPDS,MACY02F,OLLIIX,ZOLA</t>
  </si>
  <si>
    <t>25898951-000-000</t>
  </si>
  <si>
    <t>2/7/2018</t>
  </si>
  <si>
    <t>5/14/2018</t>
  </si>
  <si>
    <t>II100-0044</t>
  </si>
  <si>
    <t>Mustard Yellow/Pecan</t>
  </si>
  <si>
    <t>PF000109;PP000013</t>
  </si>
  <si>
    <t>CSNSTORES,HDDS,KOHLDSN,MACY02F,OLLIIX</t>
  </si>
  <si>
    <t>20693855-000-000</t>
  </si>
  <si>
    <t>1/13/2017</t>
  </si>
  <si>
    <t>5/22/2017</t>
  </si>
  <si>
    <t>MP108-0513</t>
  </si>
  <si>
    <t>Braiden</t>
  </si>
  <si>
    <t>Quimby</t>
  </si>
  <si>
    <t>Garnet</t>
  </si>
  <si>
    <t>Dining Chair (set of 2)</t>
  </si>
  <si>
    <t>PP000621</t>
  </si>
  <si>
    <t>12/8/2024</t>
  </si>
  <si>
    <t>AMERSIGNDS,CSNSTORES,OLLIIX</t>
  </si>
  <si>
    <t>26569656-000-000</t>
  </si>
  <si>
    <t>3/29/2018</t>
  </si>
  <si>
    <t>10/8/2018</t>
  </si>
  <si>
    <t>MP100-0575</t>
  </si>
  <si>
    <t>Brayden</t>
  </si>
  <si>
    <t>Kendrick</t>
  </si>
  <si>
    <t>Rhodes</t>
  </si>
  <si>
    <t>PP000716</t>
  </si>
  <si>
    <t>1/23/2018</t>
  </si>
  <si>
    <t>ASHFURNDS,KOHLDSN,OLLIIX</t>
  </si>
  <si>
    <t>26757918-000-000</t>
  </si>
  <si>
    <t>4/12/2018</t>
  </si>
  <si>
    <t>2/18/2021</t>
  </si>
  <si>
    <t>II21-1307</t>
  </si>
  <si>
    <t>PILLOWCASE</t>
  </si>
  <si>
    <t>Pillowcase</t>
  </si>
  <si>
    <t>Bree Knit</t>
  </si>
  <si>
    <t>Euro Pillow Cover</t>
  </si>
  <si>
    <t>26x26"</t>
  </si>
  <si>
    <t>PP001571;PF006068</t>
  </si>
  <si>
    <t>Acrylic</t>
  </si>
  <si>
    <t>CSNSTORES,KOHLDSN</t>
  </si>
  <si>
    <t>21015342-000-006</t>
  </si>
  <si>
    <t>11/6/2023</t>
  </si>
  <si>
    <t>II21-1300</t>
  </si>
  <si>
    <t>Square Pillow Cover</t>
  </si>
  <si>
    <t>20x20"</t>
  </si>
  <si>
    <t>PP001571;PF006067</t>
  </si>
  <si>
    <t>19510042-000-008</t>
  </si>
  <si>
    <t>11/28/2023</t>
  </si>
  <si>
    <t>II50-1297</t>
  </si>
  <si>
    <t>Throw</t>
  </si>
  <si>
    <t>AMAZON,OLLIIX</t>
  </si>
  <si>
    <t>18986579-000-006</t>
  </si>
  <si>
    <t>12/6/2023</t>
  </si>
  <si>
    <t>II51-1135</t>
  </si>
  <si>
    <t>BLANKET</t>
  </si>
  <si>
    <t>Blanket</t>
  </si>
  <si>
    <t>PP001571;PF005282</t>
  </si>
  <si>
    <t>1/16/2021</t>
  </si>
  <si>
    <t>AMAZON,AMAZONDS,CSNSTORES,HDDS,KOHLDSN,MACY02,TGTDVS</t>
  </si>
  <si>
    <t>18986582-000-012</t>
  </si>
  <si>
    <t>1/17/2021</t>
  </si>
  <si>
    <t>2/8/2021</t>
  </si>
  <si>
    <t>II30-1140</t>
  </si>
  <si>
    <t>1/13/2021</t>
  </si>
  <si>
    <t>JCPENNEY01,KOHLDSN,OLLIIX</t>
  </si>
  <si>
    <t>21015342-000-005</t>
  </si>
  <si>
    <t>1/24/2021</t>
  </si>
  <si>
    <t>5/17/2021</t>
  </si>
  <si>
    <t>II51-724</t>
  </si>
  <si>
    <t>PF003487</t>
  </si>
  <si>
    <t>AMAZON,CSNSTORES,HDDS,TGTDVS</t>
  </si>
  <si>
    <t>18986582-000-000</t>
  </si>
  <si>
    <t>8/5/2016</t>
  </si>
  <si>
    <t>II51-725</t>
  </si>
  <si>
    <t>AMAZON,BEALLSDS,CSNSTORES,HDDS,KOHLDSN,MACY02,TGTDVS</t>
  </si>
  <si>
    <t>18986582-000-001</t>
  </si>
  <si>
    <t>II30-871</t>
  </si>
  <si>
    <t>AMAZON,AMAZONDS,CSNSTORES,JCPENNEY01,KOHLDSN,MACY02</t>
  </si>
  <si>
    <t>21015342-000-000</t>
  </si>
  <si>
    <t>2/23/2017</t>
  </si>
  <si>
    <t>4/5/2017</t>
  </si>
  <si>
    <t>II51-1308</t>
  </si>
  <si>
    <t>Light Blue</t>
  </si>
  <si>
    <t>PP001571;PF006066</t>
  </si>
  <si>
    <t>AMAZON,CSNSTORES,KOHLDSN,MACY02,TGTDVS</t>
  </si>
  <si>
    <t>18986582-000-019</t>
  </si>
  <si>
    <t>10/25/2023</t>
  </si>
  <si>
    <t>11/29/2023</t>
  </si>
  <si>
    <t>II51-1309</t>
  </si>
  <si>
    <t>HDDS,JCPENNEY01,KOHLDSN,MACY02,TGTDVS</t>
  </si>
  <si>
    <t>18986582-000-020</t>
  </si>
  <si>
    <t>11/19/2023</t>
  </si>
  <si>
    <t>II21-1302</t>
  </si>
  <si>
    <t>Oblong Pillow Cover</t>
  </si>
  <si>
    <t>12x20"</t>
  </si>
  <si>
    <t>KOHLDSN,OLLIIX,TGTDVS</t>
  </si>
  <si>
    <t>19510041-000-008</t>
  </si>
  <si>
    <t>3/29/2024</t>
  </si>
  <si>
    <t>II21-1305</t>
  </si>
  <si>
    <t>AMAZONDS,KOHLDSN,OLLIIX</t>
  </si>
  <si>
    <t>21015342-000-008</t>
  </si>
  <si>
    <t>3/27/2024</t>
  </si>
  <si>
    <t>UH12-2156</t>
  </si>
  <si>
    <t>Urban Habitat</t>
  </si>
  <si>
    <t>Brooklyn</t>
  </si>
  <si>
    <t>Maize</t>
  </si>
  <si>
    <t>Kay</t>
  </si>
  <si>
    <t>Cotton Jacquard Duvet Cover Set with Euro Shams and Throw Pillows</t>
  </si>
  <si>
    <t>PP000834;PF004165</t>
  </si>
  <si>
    <t>Shabby Chic</t>
  </si>
  <si>
    <t>Cottage/Country|Farmhouse</t>
  </si>
  <si>
    <t>12/26/2017</t>
  </si>
  <si>
    <t>TGTDVS</t>
  </si>
  <si>
    <t>22066583-000-017</t>
  </si>
  <si>
    <t>3/19/2018</t>
  </si>
  <si>
    <t>5/10/2018</t>
  </si>
  <si>
    <t>UH12-2158</t>
  </si>
  <si>
    <t>22066583-000-016</t>
  </si>
  <si>
    <t>5/29/2018</t>
  </si>
  <si>
    <t>UH12-2258</t>
  </si>
  <si>
    <t>PP000834;PF004683</t>
  </si>
  <si>
    <t>5/14/2019</t>
  </si>
  <si>
    <t>KOHLDSN,MACY02</t>
  </si>
  <si>
    <t>22066583-000-007</t>
  </si>
  <si>
    <t>5/16/2019</t>
  </si>
  <si>
    <t>6/24/2019</t>
  </si>
  <si>
    <t>UH10-2256</t>
  </si>
  <si>
    <t>Cotton Jacquard Comforter Set with Euro Shams and Throw Pillows</t>
  </si>
  <si>
    <t>5/15/2019</t>
  </si>
  <si>
    <t>AMAZON,BLK01,CSNSTORES,KOHLDSN,MACY02,OLLIIX,ROOMECOM,TGTDVS,ZOLA</t>
  </si>
  <si>
    <t>22066584-000-006</t>
  </si>
  <si>
    <t>6/2/2019</t>
  </si>
  <si>
    <t>UH10-2257</t>
  </si>
  <si>
    <t>AMAZON,BLK01,CSNSTORES,JCPENNEY01,KOHLDSN,MACY02,NEBFUR01,OLLIIX,TGTDVS</t>
  </si>
  <si>
    <t>22066584-000-005</t>
  </si>
  <si>
    <t>5/22/2019</t>
  </si>
  <si>
    <t>UH10-2159</t>
  </si>
  <si>
    <t>PP000834;PF004166</t>
  </si>
  <si>
    <t>AMAZON,AMAZONDS,CSNSTORES,JCPENNEY01,KOHLDSN,MACY02,OLLIIX,TGTDVS</t>
  </si>
  <si>
    <t>22066584-000-012</t>
  </si>
  <si>
    <t>UH12-2162</t>
  </si>
  <si>
    <t>KOHLDSN,MACY02,TGTDVS</t>
  </si>
  <si>
    <t>22066583-000-013</t>
  </si>
  <si>
    <t>4/6/2018</t>
  </si>
  <si>
    <t>UH12-2163</t>
  </si>
  <si>
    <t>AMAZON,CASTLEGATE,CSNSTORES,KOHLDSN,MACY02,TGTDVS</t>
  </si>
  <si>
    <t>22066583-000-014</t>
  </si>
  <si>
    <t>3/23/2018</t>
  </si>
  <si>
    <t>UH12-2164</t>
  </si>
  <si>
    <t>AMAZON,AMAZONDS,CSNSTORES,KOHLDSN,MACY02,OLLIIX,TGTDVS</t>
  </si>
  <si>
    <t>22066583-000-012</t>
  </si>
  <si>
    <t>3/27/2018</t>
  </si>
  <si>
    <t>UH70-2312</t>
  </si>
  <si>
    <t>Cotton Jacquard Pom Pom Shower Curtain</t>
  </si>
  <si>
    <t>70x72"</t>
  </si>
  <si>
    <t>Indigo Blue</t>
  </si>
  <si>
    <t>PP000834;PF004684</t>
  </si>
  <si>
    <t>1/8/2020</t>
  </si>
  <si>
    <t>AMAZON,CSNSTORES,JCPENNEY01,KOHLDSN,MACY02,OLLIIX,TGTDVS,WALMARTDS</t>
  </si>
  <si>
    <t>31010783-000-005</t>
  </si>
  <si>
    <t>1/10/2020</t>
  </si>
  <si>
    <t>3/17/2020</t>
  </si>
  <si>
    <t>UH10-0198</t>
  </si>
  <si>
    <t>PF002470</t>
  </si>
  <si>
    <t>4/22/2017</t>
  </si>
  <si>
    <t>AMAZON,AMAZONDS,BLK01,CSNSTORES,MACY02,OLLIIX,TGTDVS</t>
  </si>
  <si>
    <t>22066584-000-000</t>
  </si>
  <si>
    <t>5/4/2017</t>
  </si>
  <si>
    <t>UH10-2263</t>
  </si>
  <si>
    <t>AMAZON,BLK01,CSNSTORES,HDDS,KOHLDSN,MACY02,NEBFUR01,OLLIIX,TGTDVS</t>
  </si>
  <si>
    <t>22066584-000-003</t>
  </si>
  <si>
    <t>7/25/2019</t>
  </si>
  <si>
    <t>UH12-2266</t>
  </si>
  <si>
    <t>22066583-000-006</t>
  </si>
  <si>
    <t>6/11/2019</t>
  </si>
  <si>
    <t>7/20/2019</t>
  </si>
  <si>
    <t>UH12-0207</t>
  </si>
  <si>
    <t>Pink</t>
  </si>
  <si>
    <t>PF002471</t>
  </si>
  <si>
    <t>AMAZON,KOHLDSN,MACY02,OLLIIX,TGTDVS</t>
  </si>
  <si>
    <t>22066583-000-010</t>
  </si>
  <si>
    <t>5/12/2017</t>
  </si>
  <si>
    <t>UH12-0208</t>
  </si>
  <si>
    <t>AMAZON,AMERSIGNDS,BLK01,CSNSTORES,JCPENNEY01,KOHLDSN,MACY02,ROOMECOM,TGTDVS</t>
  </si>
  <si>
    <t>22066583-000-009</t>
  </si>
  <si>
    <t>UH12-0209</t>
  </si>
  <si>
    <t>AMAZON,KOHLDSN,MACY02,TGTDVS</t>
  </si>
  <si>
    <t>22066583-000-011</t>
  </si>
  <si>
    <t>5/18/2017</t>
  </si>
  <si>
    <t>UH70-2242</t>
  </si>
  <si>
    <t>Brooklyn Cotton Jacquard Pom Pom Shower Curtain</t>
  </si>
  <si>
    <t>PF002471;PP000834</t>
  </si>
  <si>
    <t>12/27/2018</t>
  </si>
  <si>
    <t>AMAZON,JCPENNEY01,KOHLDSN,MACY02,OLLIIX,TGTDVS,WALMARTDS</t>
  </si>
  <si>
    <t>31010783-000-001</t>
  </si>
  <si>
    <t>4/26/2019</t>
  </si>
  <si>
    <t>UH10-2494</t>
  </si>
  <si>
    <t>Rust</t>
  </si>
  <si>
    <t>PP000834;PF006097</t>
  </si>
  <si>
    <t>12/30/2023</t>
  </si>
  <si>
    <t>CSNSTORES,KOHLDSN,TGTDVS</t>
  </si>
  <si>
    <t>22066584-000-019</t>
  </si>
  <si>
    <t>1/2/2024</t>
  </si>
  <si>
    <t>UH12-2497</t>
  </si>
  <si>
    <t>KOHLDSN</t>
  </si>
  <si>
    <t>22066583-000-020</t>
  </si>
  <si>
    <t>1/21/2024</t>
  </si>
  <si>
    <t>UH10-2495</t>
  </si>
  <si>
    <t>BLK01,CSNSTORES,JCPENNEY01,KOHLDSN,MACY02,OLLIIX</t>
  </si>
  <si>
    <t>22066584-000-018</t>
  </si>
  <si>
    <t>1/1/2024</t>
  </si>
  <si>
    <t>1/15/2024</t>
  </si>
  <si>
    <t>UH12-2498</t>
  </si>
  <si>
    <t>22066583-000-018</t>
  </si>
  <si>
    <t>3/5/2024</t>
  </si>
  <si>
    <t>UH10-2496</t>
  </si>
  <si>
    <t>CSNSTORES,HDDS,OLLIIX</t>
  </si>
  <si>
    <t>22066584-000-020</t>
  </si>
  <si>
    <t>1/8/2024</t>
  </si>
  <si>
    <t>PET66PT6198</t>
  </si>
  <si>
    <t>PET</t>
  </si>
  <si>
    <t>PET ACCESSORIES</t>
  </si>
  <si>
    <t>Pet Accessories</t>
  </si>
  <si>
    <t>Bumpi</t>
  </si>
  <si>
    <t>Avocado</t>
  </si>
  <si>
    <t>N/A</t>
  </si>
  <si>
    <t>AMAZON</t>
  </si>
  <si>
    <t>43809388-000-000</t>
  </si>
  <si>
    <t>PET66PT6022</t>
  </si>
  <si>
    <t>Dino Rubber Toy 2PK</t>
  </si>
  <si>
    <t>Citron/Orange</t>
  </si>
  <si>
    <t>3/31/2023</t>
  </si>
  <si>
    <t>43809386-000-004</t>
  </si>
  <si>
    <t>6/17/2024</t>
  </si>
  <si>
    <t>PET66PT6025-SM</t>
  </si>
  <si>
    <t>Kettlebell Rubber Toy SM</t>
  </si>
  <si>
    <t>Orange</t>
  </si>
  <si>
    <t>AMAZONDS</t>
  </si>
  <si>
    <t>43809386-000-003</t>
  </si>
  <si>
    <t>7/25/2024</t>
  </si>
  <si>
    <t>PET66PT6023</t>
  </si>
  <si>
    <t>Dumbbell Rubber Toy 2PK</t>
  </si>
  <si>
    <t>Pink/Orange</t>
  </si>
  <si>
    <t>43809386-000-000</t>
  </si>
  <si>
    <t>7/29/2024</t>
  </si>
  <si>
    <t>PET66PT6195</t>
  </si>
  <si>
    <t>Hedgehog with tennis ball</t>
  </si>
  <si>
    <t>Rose Red Hedgehog</t>
  </si>
  <si>
    <t>43809385-000-000</t>
  </si>
  <si>
    <t>PET66PT6194</t>
  </si>
  <si>
    <t>Teal Hedgehog</t>
  </si>
  <si>
    <t>43809385-000-001</t>
  </si>
  <si>
    <t>PET66PT6199</t>
  </si>
  <si>
    <t>Tortoise Puzzle Dog Toy</t>
  </si>
  <si>
    <t>Tortoise Puzzle</t>
  </si>
  <si>
    <t>8/16/2023</t>
  </si>
  <si>
    <t>43809387-000-000</t>
  </si>
  <si>
    <t>PET66PT6025-LG</t>
  </si>
  <si>
    <t>Kettlebell Rubber Toy LG</t>
  </si>
  <si>
    <t>43809386-000-002</t>
  </si>
  <si>
    <t>9/30/2024</t>
  </si>
  <si>
    <t>II150-0153</t>
  </si>
  <si>
    <t>LGT-CHANDELIERS</t>
  </si>
  <si>
    <t>Chandeliers</t>
  </si>
  <si>
    <t>Calista</t>
  </si>
  <si>
    <t>8-Light Metal Chandelier with Globe Bulbs</t>
  </si>
  <si>
    <t>Gold/Clear</t>
  </si>
  <si>
    <t>2/1/2024</t>
  </si>
  <si>
    <t>43652589-000-000</t>
  </si>
  <si>
    <t>3/4/2024</t>
  </si>
  <si>
    <t>MP103-1077</t>
  </si>
  <si>
    <t>Capstone</t>
  </si>
  <si>
    <t>Wilmette</t>
  </si>
  <si>
    <t>Milton</t>
  </si>
  <si>
    <t>Tufted Barrel Swivel Chair</t>
  </si>
  <si>
    <t>4/27/2021</t>
  </si>
  <si>
    <t>AMAZONDS,AMERSIGNDS,ASHFURNDS,CSNSTORES,KOHLDSN,TGTDVS</t>
  </si>
  <si>
    <t>22701323-000-001</t>
  </si>
  <si>
    <t>5/3/2021</t>
  </si>
  <si>
    <t>MP108-0642</t>
  </si>
  <si>
    <t>Captiva</t>
  </si>
  <si>
    <t>Callaway</t>
  </si>
  <si>
    <t>Hastings</t>
  </si>
  <si>
    <t>Dining Side Chair (Set of 2)</t>
  </si>
  <si>
    <t>Cream</t>
  </si>
  <si>
    <t>12/15/2017</t>
  </si>
  <si>
    <t>AMERSIGNDS,HDDS,HOUZZ,JCPENNEY01,KOHLDSN,LAMPDS,MACY02F,OLLIIX,ROOMECOM</t>
  </si>
  <si>
    <t>30877160-000-000</t>
  </si>
  <si>
    <t>11/15/2018</t>
  </si>
  <si>
    <t>11/27/2018</t>
  </si>
  <si>
    <t>MP108-0987</t>
  </si>
  <si>
    <t>Carson</t>
  </si>
  <si>
    <t>Fillmore</t>
  </si>
  <si>
    <t>Troy</t>
  </si>
  <si>
    <t>Upholstered Wingback Dining Chair</t>
  </si>
  <si>
    <t>Light Grey</t>
  </si>
  <si>
    <t>6/15/2020</t>
  </si>
  <si>
    <t>CASTLEGATE,CSNSTORES,OLLIIX</t>
  </si>
  <si>
    <t>26377787-000-001</t>
  </si>
  <si>
    <t>6/18/2020</t>
  </si>
  <si>
    <t>7/9/2020</t>
  </si>
  <si>
    <t>MP108-1209</t>
  </si>
  <si>
    <t>Light Sage Green</t>
  </si>
  <si>
    <t>12/3/2022</t>
  </si>
  <si>
    <t>26377787-000-002</t>
  </si>
  <si>
    <t>12/7/2022</t>
  </si>
  <si>
    <t>1/20/2023</t>
  </si>
  <si>
    <t>MP51-8427</t>
  </si>
  <si>
    <t>Carved Plush</t>
  </si>
  <si>
    <t>PP001953;PF006224</t>
  </si>
  <si>
    <t>Plush</t>
  </si>
  <si>
    <t>3/30/2024</t>
  </si>
  <si>
    <t>AMAZON,JCPENNEY01,KOHLDSN,MACY02,TGTDVS</t>
  </si>
  <si>
    <t>43785953-000-006</t>
  </si>
  <si>
    <t>4/2/2024</t>
  </si>
  <si>
    <t>8/22/2024</t>
  </si>
  <si>
    <t>MP51-8428</t>
  </si>
  <si>
    <t>43785953-000-011</t>
  </si>
  <si>
    <t>6/12/2024</t>
  </si>
  <si>
    <t>MP51-8423</t>
  </si>
  <si>
    <t>PP001953;PF006223</t>
  </si>
  <si>
    <t>JCPENNEY01,KOHLDSN,MACY02</t>
  </si>
  <si>
    <t>43785953-000-013</t>
  </si>
  <si>
    <t>7/30/2024</t>
  </si>
  <si>
    <t>MP51-8417</t>
  </si>
  <si>
    <t>PP001953;PF006221</t>
  </si>
  <si>
    <t>43785953-000-012</t>
  </si>
  <si>
    <t>MP51-8418</t>
  </si>
  <si>
    <t>1/1/2025</t>
  </si>
  <si>
    <t>AMAZON,CSNSTORES,JCPENNEY01,KOHLDSN,MACY02,OLLIIX,TGTDVS</t>
  </si>
  <si>
    <t>43785953-000-010</t>
  </si>
  <si>
    <t>5/2/2024</t>
  </si>
  <si>
    <t>MP51-8419</t>
  </si>
  <si>
    <t>AMAZON,AMAZONDS,JCPENNEY01,KOHLDSN,MACY02,TGTDVS</t>
  </si>
  <si>
    <t>43785953-000-004</t>
  </si>
  <si>
    <t>5/28/2024</t>
  </si>
  <si>
    <t>MP51-8421</t>
  </si>
  <si>
    <t>PP001953;PF006222</t>
  </si>
  <si>
    <t>43785953-000-000</t>
  </si>
  <si>
    <t>7/10/2024</t>
  </si>
  <si>
    <t>MP51-8414</t>
  </si>
  <si>
    <t>PP001953;PF006220</t>
  </si>
  <si>
    <t>3/19/2025</t>
  </si>
  <si>
    <t>43785953-000-007</t>
  </si>
  <si>
    <t>MP51-8416</t>
  </si>
  <si>
    <t>43785953-000-002</t>
  </si>
  <si>
    <t>9/4/2024</t>
  </si>
  <si>
    <t>ID12-2262</t>
  </si>
  <si>
    <t>Cassiopeia</t>
  </si>
  <si>
    <t>Karissa</t>
  </si>
  <si>
    <t>Lisa</t>
  </si>
  <si>
    <t>Watercolor Tie Dye Printed Duvet Cover Set with Throw Pillow</t>
  </si>
  <si>
    <t>PF005394;PP001904</t>
  </si>
  <si>
    <t>10/11/2023</t>
  </si>
  <si>
    <t>38019805-000-005</t>
  </si>
  <si>
    <t>2/20/2024</t>
  </si>
  <si>
    <t>ID10-2385</t>
  </si>
  <si>
    <t>Watercolor Tie Dye Printed Comforter Set with Throw Pillow</t>
  </si>
  <si>
    <t>PP001904;PF006265</t>
  </si>
  <si>
    <t>7/6/2024</t>
  </si>
  <si>
    <t>AMAZON,KOHLDSN,MACY02</t>
  </si>
  <si>
    <t>37999199-000-008</t>
  </si>
  <si>
    <t>7/11/2024</t>
  </si>
  <si>
    <t>8/9/2024</t>
  </si>
  <si>
    <t>ID10-2386</t>
  </si>
  <si>
    <t>7/4/2024</t>
  </si>
  <si>
    <t>AMAZON,JCPENNEY01,KOHLDSN,MACY02,OLLIIX,TGTDVS</t>
  </si>
  <si>
    <t>37999199-000-007</t>
  </si>
  <si>
    <t>8/15/2024</t>
  </si>
  <si>
    <t>ID10-2387</t>
  </si>
  <si>
    <t>7/5/2024</t>
  </si>
  <si>
    <t>AMAZON,JCPENNEY01,KOHLDSN,MACY02</t>
  </si>
  <si>
    <t>37999199-000-006</t>
  </si>
  <si>
    <t>ID12-2258</t>
  </si>
  <si>
    <t>Lavender</t>
  </si>
  <si>
    <t>PP001904;PF006071</t>
  </si>
  <si>
    <t>9/5/2023</t>
  </si>
  <si>
    <t>BLK01,CSNSTORES,JCPENNEY01,KOHLDSN,MACY02,TGTDVS</t>
  </si>
  <si>
    <t>38019805-000-003</t>
  </si>
  <si>
    <t>9/6/2023</t>
  </si>
  <si>
    <t>11/20/2023</t>
  </si>
  <si>
    <t>ID12-2260</t>
  </si>
  <si>
    <t>38019805-000-002</t>
  </si>
  <si>
    <t>SS40-0097</t>
  </si>
  <si>
    <t>Cassius</t>
  </si>
  <si>
    <t>Odessa</t>
  </si>
  <si>
    <t>Aurora</t>
  </si>
  <si>
    <t>Jacquard Lined Total Blackout Rod Pocket/Back Tab Curtain Panel</t>
  </si>
  <si>
    <t>Grey/Silver</t>
  </si>
  <si>
    <t>PF004522;PP001040</t>
  </si>
  <si>
    <t>12/9/2018</t>
  </si>
  <si>
    <t>AMAZONDS,CSNSTORES,DESINC,HDDS,JCPENNEY01,KOHLDSN,OLLIIX</t>
  </si>
  <si>
    <t>24130527-000-006</t>
  </si>
  <si>
    <t>8/13/2020</t>
  </si>
  <si>
    <t>SS40-0099</t>
  </si>
  <si>
    <t>AMAZON,ASHFURNDS,BLK01,CSNSTORES,HDDS,JCPENNEY01,KOHLDSN</t>
  </si>
  <si>
    <t>24130527-000-008</t>
  </si>
  <si>
    <t>7/21/2020</t>
  </si>
  <si>
    <t>MP13-2533</t>
  </si>
  <si>
    <t>COVERLET&amp;BEDSPR</t>
  </si>
  <si>
    <t>Coverlet</t>
  </si>
  <si>
    <t>Celeste</t>
  </si>
  <si>
    <t>Isabella</t>
  </si>
  <si>
    <t>Alexis</t>
  </si>
  <si>
    <t>4 Piece Microfiber Reversible Ruffle Quilt Set with Throw Pillow</t>
  </si>
  <si>
    <t>PF002762</t>
  </si>
  <si>
    <t>Cottage/Country|Farm House</t>
  </si>
  <si>
    <t>11/4/2024</t>
  </si>
  <si>
    <t>AMAZON,HSNDS,JCPENNEY01,KOHLDSN,OLLIIX,TGTDVS</t>
  </si>
  <si>
    <t>18524338-000-001</t>
  </si>
  <si>
    <t>3/28/2016</t>
  </si>
  <si>
    <t>II95C-0142</t>
  </si>
  <si>
    <t>Celestial Orbit Navy</t>
  </si>
  <si>
    <t>Silver Foil Abstract 2-piece Canvas Wall Art Set</t>
  </si>
  <si>
    <t>PP000800</t>
  </si>
  <si>
    <t>AMAZONDS,AMERSIGNDS,BLK01,KIRKLANDDS,KOHLDSN,OLLIIX,ROOMECOM</t>
  </si>
  <si>
    <t>25697384-000-000</t>
  </si>
  <si>
    <t>1/12/2018</t>
  </si>
  <si>
    <t>1/15/2018</t>
  </si>
  <si>
    <t>MP40-7371</t>
  </si>
  <si>
    <t>Sheer Pair</t>
  </si>
  <si>
    <t>Ceres</t>
  </si>
  <si>
    <t>Elowen</t>
  </si>
  <si>
    <t>Persis</t>
  </si>
  <si>
    <t>Twisted Tab Voile Sheer Window Pair</t>
  </si>
  <si>
    <t>2-PK 50x63"</t>
  </si>
  <si>
    <t>PP001184;PF005382</t>
  </si>
  <si>
    <t>4/6/2021</t>
  </si>
  <si>
    <t>AMAZON,AMAZONDS,CSNSTORES,HOUZZ,JCPENNEY01,KOHLDSN,OLLIIX</t>
  </si>
  <si>
    <t>25510906-000-011</t>
  </si>
  <si>
    <t>4/7/2021</t>
  </si>
  <si>
    <t>4/14/2021</t>
  </si>
  <si>
    <t>MP40-6349</t>
  </si>
  <si>
    <t>Twist Tab Voile Sheer Window Pair</t>
  </si>
  <si>
    <t>2-PK 50x84"</t>
  </si>
  <si>
    <t>PF004682;PP001184</t>
  </si>
  <si>
    <t>5/31/2019</t>
  </si>
  <si>
    <t>AMAZON,ASHFURNDS,BIGLOTSDS,BLK01,CSNSTORES,DESINC,JCPENNEY01,KOHLDSN,OLLIIX</t>
  </si>
  <si>
    <t>25510906-000-003</t>
  </si>
  <si>
    <t>MP50N-5512</t>
  </si>
  <si>
    <t>Chloe</t>
  </si>
  <si>
    <t>Mila</t>
  </si>
  <si>
    <t>100% Cotton Tufted Chenille Lightweight Throw With Fringe Tassel 50" x 60"</t>
  </si>
  <si>
    <t>PP000792</t>
  </si>
  <si>
    <t>BOHO</t>
  </si>
  <si>
    <t>AMAZON,BEALLSDS,JCPENNEY01,KOHLDSN,MACY02,OLLIIX,WALMARTDS</t>
  </si>
  <si>
    <t>26107195-000-001</t>
  </si>
  <si>
    <t>2/16/2018</t>
  </si>
  <si>
    <t>3/26/2018</t>
  </si>
  <si>
    <t>ID10-2326</t>
  </si>
  <si>
    <t>Christa</t>
  </si>
  <si>
    <t>Kaia</t>
  </si>
  <si>
    <t>Lena</t>
  </si>
  <si>
    <t>Floral Striped Comforter Set</t>
  </si>
  <si>
    <t>PF006201</t>
  </si>
  <si>
    <t>43787444-000-000</t>
  </si>
  <si>
    <t>7/3/2024</t>
  </si>
  <si>
    <t>ID12-2328</t>
  </si>
  <si>
    <t>Floral Striped Duvet Cover Set</t>
  </si>
  <si>
    <t>43794270-000-000</t>
  </si>
  <si>
    <t>4/3/2024</t>
  </si>
  <si>
    <t>6/24/2024</t>
  </si>
  <si>
    <t>ID12-2329</t>
  </si>
  <si>
    <t>3/26/2024</t>
  </si>
  <si>
    <t>HDDS,JCPENNEY01,KOHLDSN,MACY02,NRTPORT</t>
  </si>
  <si>
    <t>43794270-000-001</t>
  </si>
  <si>
    <t>5/16/2024</t>
  </si>
  <si>
    <t>CCL11-0023</t>
  </si>
  <si>
    <t>BED SKIRT&amp;SHAM</t>
  </si>
  <si>
    <t>Bed Skirt&amp;Sham</t>
  </si>
  <si>
    <t>Clermont</t>
  </si>
  <si>
    <t>European Pillow Sham</t>
  </si>
  <si>
    <t>10/24/2022</t>
  </si>
  <si>
    <t>AMAZON,CSNSTORES,DLCROSCILL,NRTPORT,OLLIIX</t>
  </si>
  <si>
    <t>42067463-000-003</t>
  </si>
  <si>
    <t>HH12-1542</t>
  </si>
  <si>
    <t>Harbor House</t>
  </si>
  <si>
    <t>Coastline</t>
  </si>
  <si>
    <t>Duvet Cover Mini Set</t>
  </si>
  <si>
    <t>PF003317</t>
  </si>
  <si>
    <t>AMAZONDS,BLK01,CSNSTORES,KOHLDSN,MACY02,OLLIIX</t>
  </si>
  <si>
    <t>18756959-000-000</t>
  </si>
  <si>
    <t>5/24/2016</t>
  </si>
  <si>
    <t>Yes</t>
  </si>
  <si>
    <t>NS12-3655</t>
  </si>
  <si>
    <t>N Natori</t>
  </si>
  <si>
    <t>Cocoon</t>
  </si>
  <si>
    <t>3 Piece Quilt Top Duvet Cover Mini Set</t>
  </si>
  <si>
    <t>PP001696;PF005609</t>
  </si>
  <si>
    <t>11/2/2021</t>
  </si>
  <si>
    <t>CSNSTORES,KOHLDSN,MACY02,OLLIIX</t>
  </si>
  <si>
    <t>39081183-000-003</t>
  </si>
  <si>
    <t>11/10/2021</t>
  </si>
  <si>
    <t>1/3/2022</t>
  </si>
  <si>
    <t>MPS153-0025</t>
  </si>
  <si>
    <t>Hampton Hill</t>
  </si>
  <si>
    <t>Rectangular Ceramic Table Lamp</t>
  </si>
  <si>
    <t>PF002829</t>
  </si>
  <si>
    <t>AMERSIGNDS,CSNSTORES,HOUZZ,KOHLDSN,OLLIIX</t>
  </si>
  <si>
    <t>20910303-000-000</t>
  </si>
  <si>
    <t>2/9/2017</t>
  </si>
  <si>
    <t>5DS40-0151</t>
  </si>
  <si>
    <t>Colt</t>
  </si>
  <si>
    <t>Garett</t>
  </si>
  <si>
    <t>Bryce</t>
  </si>
  <si>
    <t>Room Darkening Metallic Printed Poly Velvet Rod Pocket/Back Tab Window Panel Pair</t>
  </si>
  <si>
    <t>37x63"</t>
  </si>
  <si>
    <t>PP000910;PF004315</t>
  </si>
  <si>
    <t>Velvet</t>
  </si>
  <si>
    <t>Room Darkening</t>
  </si>
  <si>
    <t>7/10/2018</t>
  </si>
  <si>
    <t>ASHFURNDS,BLK01,CSNSTORES,HDDS,HOUZZ,JCPENNEY01,KOHLDSN,OLLIIX,TGTDVS</t>
  </si>
  <si>
    <t>28110688-000-011</t>
  </si>
  <si>
    <t>7/9/2018</t>
  </si>
  <si>
    <t>7/30/2018</t>
  </si>
  <si>
    <t>5DS40-0152</t>
  </si>
  <si>
    <t>37x84"</t>
  </si>
  <si>
    <t>BLK01,CSNSTORES,DESINC,JCPENNEY01,KOHLDSN,OLLIIX,TGTDVS,WALMARTDS</t>
  </si>
  <si>
    <t>28110688-000-005</t>
  </si>
  <si>
    <t>7/17/2018</t>
  </si>
  <si>
    <t>5DS40-0153</t>
  </si>
  <si>
    <t>37x95"</t>
  </si>
  <si>
    <t>ASHFURNDS,BLK01,CSNSTORES,JCPENNEY01,KOHLDSN,NEBFUR01,TGTDVS,WALMARTDS</t>
  </si>
  <si>
    <t>28110688-000-006</t>
  </si>
  <si>
    <t>8/23/2018</t>
  </si>
  <si>
    <t>5DS40-0162</t>
  </si>
  <si>
    <t>PP000910;PF004318</t>
  </si>
  <si>
    <t>CSNSTORES,DESINC,KIRKLANDDS,KOHLDSN,OLLIIX,TGTDVS</t>
  </si>
  <si>
    <t>28110688-000-007</t>
  </si>
  <si>
    <t>8/27/2018</t>
  </si>
  <si>
    <t>FMY011JBH</t>
  </si>
  <si>
    <t>Colton</t>
  </si>
  <si>
    <t>Charlie</t>
  </si>
  <si>
    <t>Track Arm Club Chair</t>
  </si>
  <si>
    <t>PF000577;PP000128</t>
  </si>
  <si>
    <t>AMAZONDS,AMERSIGNDS,ASHFURNDS,CSNSTORES,KIRKLANDDS,KOHLDSN,MACY02F,OLLIIX</t>
  </si>
  <si>
    <t>17880180-000-000</t>
  </si>
  <si>
    <t>11/30/2015</t>
  </si>
  <si>
    <t>FPF18-0160</t>
  </si>
  <si>
    <t>PF000621;PP000128</t>
  </si>
  <si>
    <t>ASHFURNDS,CASTLEGATE,CSNSTORES,KIRKLANDDS,KOHLDSN,MACY02F,OLLIIX,Zulily</t>
  </si>
  <si>
    <t>17880187-000-000</t>
  </si>
  <si>
    <t>11/21/2015</t>
  </si>
  <si>
    <t>MCC100-0001</t>
  </si>
  <si>
    <t>PF001017;PP000128</t>
  </si>
  <si>
    <t>2/12/2025</t>
  </si>
  <si>
    <t>AMERSIGNDS,ASHFURNDS,CASTLEGATE,CSNSTORES,KOHLDSN,LAMPDS,MACY02F,OLLIIX,ROOMECOM</t>
  </si>
  <si>
    <t>23075005-000-000</t>
  </si>
  <si>
    <t>7/11/2017</t>
  </si>
  <si>
    <t>7/20/2017</t>
  </si>
  <si>
    <t>UH10-2506</t>
  </si>
  <si>
    <t>Down Alternative Comforter Filler</t>
  </si>
  <si>
    <t>Comfort Cool Jersey Knit</t>
  </si>
  <si>
    <t>Oversized Down Alternative Comforter</t>
  </si>
  <si>
    <t>PP001912;PF006110</t>
  </si>
  <si>
    <t>Jersey</t>
  </si>
  <si>
    <t>43139341-000-000</t>
  </si>
  <si>
    <t>12/5/2023</t>
  </si>
  <si>
    <t>1/16/2024</t>
  </si>
  <si>
    <t>UH10-2500</t>
  </si>
  <si>
    <t>PF006108;PP001912</t>
  </si>
  <si>
    <t>AMAZON,AMAZONDS,KOHLDSN,MACY02,OLLIIX,TGTDVS</t>
  </si>
  <si>
    <t>43139341-000-003</t>
  </si>
  <si>
    <t>12/13/2023</t>
  </si>
  <si>
    <t>UH10-2501</t>
  </si>
  <si>
    <t>BLK01,CSNSTORES,KOHLDSN,MACY02,OLLIIX,TGTDVS</t>
  </si>
  <si>
    <t>43139341-000-008</t>
  </si>
  <si>
    <t>UH10-2503</t>
  </si>
  <si>
    <t>PP001912;PF006109</t>
  </si>
  <si>
    <t>43139341-000-004</t>
  </si>
  <si>
    <t>12/12/2023</t>
  </si>
  <si>
    <t>SS40-0136</t>
  </si>
  <si>
    <t>Como</t>
  </si>
  <si>
    <t>Leighton</t>
  </si>
  <si>
    <t>Aberdeen</t>
  </si>
  <si>
    <t>Tonal Printed Faux Silk Room Darkening Curtain Panel Pair</t>
  </si>
  <si>
    <t>42x84"</t>
  </si>
  <si>
    <t>PP001428;PF004982</t>
  </si>
  <si>
    <t>1/3/2020</t>
  </si>
  <si>
    <t>AMAZONDS,BLK01,CSNSTORES,HDDS,JCPENNEY01,KOHLDSN,OLLIIX,TGTDVS</t>
  </si>
  <si>
    <t>35381437-000-008</t>
  </si>
  <si>
    <t>1/6/2020</t>
  </si>
  <si>
    <t>2/10/2020</t>
  </si>
  <si>
    <t>SS40-0137</t>
  </si>
  <si>
    <t>42x95"</t>
  </si>
  <si>
    <t>AMAZONDS,ASHFURNDS,CSNSTORES,DESINC,JCPENNEY01,KOHLDSN,NEBFUR01,OLLIIX,TGTDVS</t>
  </si>
  <si>
    <t>35381437-000-004</t>
  </si>
  <si>
    <t>3/24/2020</t>
  </si>
  <si>
    <t>MP40-7435</t>
  </si>
  <si>
    <t>Roman Shade</t>
  </si>
  <si>
    <t>Printed Faux Silk Room Darkening Cordless Roman Shade</t>
  </si>
  <si>
    <t>27x64"</t>
  </si>
  <si>
    <t>AMAZONDS,CSNSTORES,HDDS,JCPENNEY01,KIRKLANDDS,KOHLDSN,NRTPORT,TGTDVS</t>
  </si>
  <si>
    <t>38024443-000-004</t>
  </si>
  <si>
    <t>5/15/2021</t>
  </si>
  <si>
    <t>6/3/2021</t>
  </si>
  <si>
    <t>MP40-7436</t>
  </si>
  <si>
    <t>31x64"</t>
  </si>
  <si>
    <t>CSNSTORES,DESINC,JCPENNEY01,KOHLDSN,NRTPORT,TGTDVS</t>
  </si>
  <si>
    <t>38024443-000-003</t>
  </si>
  <si>
    <t>5/19/2021</t>
  </si>
  <si>
    <t>MP40-7437</t>
  </si>
  <si>
    <t>33x64"</t>
  </si>
  <si>
    <t>AMAZON,CSNSTORES,HDDS,KIRKLANDDS,KOHLDSN,TGTDVS</t>
  </si>
  <si>
    <t>38024443-000-002</t>
  </si>
  <si>
    <t>MP40-7438</t>
  </si>
  <si>
    <t>35x64"</t>
  </si>
  <si>
    <t>AMAZONDS,CSNSTORES,HDDS,JCPENNEY01,KOHLDSN,MACY02,OLLIIX,TGTDVS</t>
  </si>
  <si>
    <t>38024443-000-006</t>
  </si>
  <si>
    <t>8/10/2021</t>
  </si>
  <si>
    <t>MP40-7439</t>
  </si>
  <si>
    <t>39x64"</t>
  </si>
  <si>
    <t>AMAZON,AMAZONDS,CSNSTORES,HDDS,JCPENNEY01,TGTDVS</t>
  </si>
  <si>
    <t>38024443-000-007</t>
  </si>
  <si>
    <t>SS40-0139</t>
  </si>
  <si>
    <t>PP001428;PF004983</t>
  </si>
  <si>
    <t>AMAZONDS,CSNSTORES,JCPENNEY01,KOHLDSN,NEBFUR01,TGTDVS</t>
  </si>
  <si>
    <t>35381437-000-006</t>
  </si>
  <si>
    <t>3/16/2020</t>
  </si>
  <si>
    <t>SS40-0140</t>
  </si>
  <si>
    <t>ASHFURNDS,DESINC,HDDS,JCPENNEY01,KOHLDSN,OLLIIX,TGTDVS</t>
  </si>
  <si>
    <t>35381437-000-002</t>
  </si>
  <si>
    <t>4/14/2020</t>
  </si>
  <si>
    <t>MP40-7445</t>
  </si>
  <si>
    <t>AMAZON,AMAZONDS,CSNSTORES,JCPENNEY01,KIRKLANDDS,KOHLDSN,TGTDVS</t>
  </si>
  <si>
    <t>38024443-000-008</t>
  </si>
  <si>
    <t>8/4/2021</t>
  </si>
  <si>
    <t>MP40-7447</t>
  </si>
  <si>
    <t>AMAZON,AMAZONDS,KOHLDSN,TGTDVS</t>
  </si>
  <si>
    <t>38024443-000-011</t>
  </si>
  <si>
    <t>MP40-7448</t>
  </si>
  <si>
    <t>AMAZON,HDDS,KOHLDSN,TGTDVS</t>
  </si>
  <si>
    <t>38024443-000-013</t>
  </si>
  <si>
    <t>5/18/2021</t>
  </si>
  <si>
    <t>MP40-7449</t>
  </si>
  <si>
    <t>AMAZON,AMAZONDS,CSNSTORES,KOHLDSN,TGTDVS</t>
  </si>
  <si>
    <t>38024443-000-005</t>
  </si>
  <si>
    <t>7/8/2021</t>
  </si>
  <si>
    <t>PET63OP6011</t>
  </si>
  <si>
    <t>Copper</t>
  </si>
  <si>
    <t>Ortho Napper</t>
  </si>
  <si>
    <t>AMAZONDS,CSNSTORES,DESINC</t>
  </si>
  <si>
    <t>43822207-000-000</t>
  </si>
  <si>
    <t>4/13/2024</t>
  </si>
  <si>
    <t>ST54-0290</t>
  </si>
  <si>
    <t>Serta</t>
  </si>
  <si>
    <t>ELECT BLANKET</t>
  </si>
  <si>
    <t>Electric Blanket</t>
  </si>
  <si>
    <t>Corded Plush</t>
  </si>
  <si>
    <t>Heated Blanket</t>
  </si>
  <si>
    <t>PP001892;PF006035</t>
  </si>
  <si>
    <t>CSNSTORES,JCPENNEY01,KOHLDSN</t>
  </si>
  <si>
    <t>42738934-000-004</t>
  </si>
  <si>
    <t>11/8/2023</t>
  </si>
  <si>
    <t>ST54-0293</t>
  </si>
  <si>
    <t>9/21/2023</t>
  </si>
  <si>
    <t>CSNSTORES,JCPENNEY01,KOHLDSN,MACY02</t>
  </si>
  <si>
    <t>42738934-000-012</t>
  </si>
  <si>
    <t>10/16/2023</t>
  </si>
  <si>
    <t>ST54-0294</t>
  </si>
  <si>
    <t>PP001892;PF006036</t>
  </si>
  <si>
    <t>DESINC,JCPENNEY01,KOHLDSN,MACY02</t>
  </si>
  <si>
    <t>42738934-000-010</t>
  </si>
  <si>
    <t>ST54-0295</t>
  </si>
  <si>
    <t>BLK01,DESINC,JCPENNEY01,KOHLDSN,MACY02,TGTDVS</t>
  </si>
  <si>
    <t>42738934-000-000</t>
  </si>
  <si>
    <t>8/12/2024</t>
  </si>
  <si>
    <t>ST54-0296</t>
  </si>
  <si>
    <t>CSNSTORES,JCPENNEY01,KOHLDSN,MACY02,TGTDVS</t>
  </si>
  <si>
    <t>42738934-000-002</t>
  </si>
  <si>
    <t>1/19/2024</t>
  </si>
  <si>
    <t>ST54-0286</t>
  </si>
  <si>
    <t>PP001892;PF006034</t>
  </si>
  <si>
    <t>42738934-000-014</t>
  </si>
  <si>
    <t>ST54-0282</t>
  </si>
  <si>
    <t>PP001892;PF006033</t>
  </si>
  <si>
    <t>CSNSTORES,DESINC,JCPENNEY01,KOHLDSN,MACY02</t>
  </si>
  <si>
    <t>42738934-000-005</t>
  </si>
  <si>
    <t>UH95C-0030</t>
  </si>
  <si>
    <t>Cosmic Curl</t>
  </si>
  <si>
    <t>3-piece Framed Canvas Wall Art Set</t>
  </si>
  <si>
    <t>Black/Taupe</t>
  </si>
  <si>
    <t>PP001611</t>
  </si>
  <si>
    <t>2/10/2021</t>
  </si>
  <si>
    <t>AMAZON,AMAZONDS,HDDS,JCPENNEY01,KIRKLANDDS,KOHLDSN,OLLIIX,ROOMECOM,TGTDVS,ZOLA</t>
  </si>
  <si>
    <t>37419231-000-000</t>
  </si>
  <si>
    <t>2/11/2021</t>
  </si>
  <si>
    <t>2/25/2021</t>
  </si>
  <si>
    <t>ID20-696</t>
  </si>
  <si>
    <t>Cotton Blend Jersey Knit</t>
  </si>
  <si>
    <t>All Season Sheet Set</t>
  </si>
  <si>
    <t>PF002200</t>
  </si>
  <si>
    <t>AMAZON,FINGERHUTDS,JCPENNEY01,KOHLDSN,MACY02,TGTDVS,WALMARTDS</t>
  </si>
  <si>
    <t>18526070-000-009</t>
  </si>
  <si>
    <t>5/9/2016</t>
  </si>
  <si>
    <t>ID20-692</t>
  </si>
  <si>
    <t>Dark Grey</t>
  </si>
  <si>
    <t>PF002199</t>
  </si>
  <si>
    <t>AMAZON,AMAZONDS,BLK01,CSNSTORES,FINGERHUTDS,JCPENNEY01,KOHLDSN,MACY02,TGTDVS</t>
  </si>
  <si>
    <t>18526070-000-005</t>
  </si>
  <si>
    <t>4/20/2016</t>
  </si>
  <si>
    <t>ID20-704</t>
  </si>
  <si>
    <t>Purple</t>
  </si>
  <si>
    <t>PF002202</t>
  </si>
  <si>
    <t>AMAZON,AMAZONDS,CSNSTORES,JCPENNEY01,KOHLDSN,TGTDVS</t>
  </si>
  <si>
    <t>18526070-000-017</t>
  </si>
  <si>
    <t>ID20-688</t>
  </si>
  <si>
    <t>PF002198</t>
  </si>
  <si>
    <t>18526070-000-001</t>
  </si>
  <si>
    <t>4/26/2016</t>
  </si>
  <si>
    <t>ID20-689</t>
  </si>
  <si>
    <t>AMAZON,AMAZONDS,CSNSTORES,JCPENNEY01,KOHLDSN,MACY02,TGTDVS</t>
  </si>
  <si>
    <t>18526070-000-002</t>
  </si>
  <si>
    <t>WR20-2039</t>
  </si>
  <si>
    <t>Woolrich</t>
  </si>
  <si>
    <t>Cotton Flannel</t>
  </si>
  <si>
    <t>Tan Dog</t>
  </si>
  <si>
    <t>PF002304</t>
  </si>
  <si>
    <t>Flannel</t>
  </si>
  <si>
    <t>Novelty</t>
  </si>
  <si>
    <t>9/21/2017</t>
  </si>
  <si>
    <t>AMAZON,AMAZONDS,CSNSTORES,FINGERHUTDS,KOHLDSN,MACY02,TGTDVS,WALMARTDS</t>
  </si>
  <si>
    <t>19462540-000-027</t>
  </si>
  <si>
    <t>Tier 1-S</t>
  </si>
  <si>
    <t>10/19/2017</t>
  </si>
  <si>
    <t>11/13/2017</t>
  </si>
  <si>
    <t>5DS153-0008</t>
  </si>
  <si>
    <t>Covey</t>
  </si>
  <si>
    <t>Curved Glass Table Lamp, Set of 2</t>
  </si>
  <si>
    <t>3/30/2018</t>
  </si>
  <si>
    <t>CSNSTORES,JCPENNEY01,KIRKLANDDS,KOHLDSN,MACY02,OLLIIX,ROOMECOM,TGTDVS</t>
  </si>
  <si>
    <t>26787036-000-000</t>
  </si>
  <si>
    <t>4/17/2018</t>
  </si>
  <si>
    <t>9/10/2018</t>
  </si>
  <si>
    <t>TN20-0221</t>
  </si>
  <si>
    <t>True North by Sleep Philosophy</t>
  </si>
  <si>
    <t>Cozy Cotton Flannel</t>
  </si>
  <si>
    <t>Printed Sheet Set</t>
  </si>
  <si>
    <t>Aqua French Bulldog</t>
  </si>
  <si>
    <t>PF002289</t>
  </si>
  <si>
    <t>9/29/2017</t>
  </si>
  <si>
    <t>AMAZON,AMAZONDS,BLK01,CSNSTORES,DESINC,JCPENNEY01,KOHLDSN,MACY02,TGTDVS</t>
  </si>
  <si>
    <t>19463070-000-078</t>
  </si>
  <si>
    <t>10/13/2017</t>
  </si>
  <si>
    <t>11/20/2017</t>
  </si>
  <si>
    <t>TN20-0222</t>
  </si>
  <si>
    <t>AMAZON,AMAZONDS,CSNSTORES,DESINC,FINGERHUTDS,JCPENNEY01,KOHLDSN,TGTDVS</t>
  </si>
  <si>
    <t>19463070-000-079</t>
  </si>
  <si>
    <t>11/24/2017</t>
  </si>
  <si>
    <t>TN20-0226</t>
  </si>
  <si>
    <t>AMAZON,AMAZONDS,BLK01,KOHLDSN,MACY02,WALMARTDS</t>
  </si>
  <si>
    <t>19463070-000-083</t>
  </si>
  <si>
    <t>11/27/2017</t>
  </si>
  <si>
    <t>TN20-0386</t>
  </si>
  <si>
    <t>Blue Forest</t>
  </si>
  <si>
    <t>PP000954;PF004392</t>
  </si>
  <si>
    <t>8/29/2018</t>
  </si>
  <si>
    <t>1/17/2025</t>
  </si>
  <si>
    <t>AMAZON,AMAZONDS,BLK01,HSNDS,JCPENNEY01,KOHLDSN,MACY02,OLLIIX,TGTDVS,WALMARTDS,Zulily</t>
  </si>
  <si>
    <t>19463070-000-143</t>
  </si>
  <si>
    <t>10/3/2018</t>
  </si>
  <si>
    <t>10/4/2018</t>
  </si>
  <si>
    <t>TN20-0263</t>
  </si>
  <si>
    <t>Blue Polar Bears</t>
  </si>
  <si>
    <t>PF002295</t>
  </si>
  <si>
    <t>AMAZON,AMAZONDS,BLK01,HSNDS,JCPENNEY01,KOHLDSN,MACY02,OLLIIX,WALMARTDS</t>
  </si>
  <si>
    <t>19463070-000-114</t>
  </si>
  <si>
    <t>10/31/2017</t>
  </si>
  <si>
    <t>TN20-0419</t>
  </si>
  <si>
    <t>Blush Dots</t>
  </si>
  <si>
    <t>PP000954;PF004715</t>
  </si>
  <si>
    <t>8/5/2019</t>
  </si>
  <si>
    <t>AMAZON,AMAZONDS,BLK01,CSNSTORES,JCPENNEY01,KOHLDSN,MACY02,TGTDVS,WALMARTDS</t>
  </si>
  <si>
    <t>19463070-000-167</t>
  </si>
  <si>
    <t>8/12/2019</t>
  </si>
  <si>
    <t>10/16/2019</t>
  </si>
  <si>
    <t>TN20-0511</t>
  </si>
  <si>
    <t>Gray Skiers</t>
  </si>
  <si>
    <t>PP000954;PF006047</t>
  </si>
  <si>
    <t>8/30/2023</t>
  </si>
  <si>
    <t>AMAZON,AMAZONDS,CSNSTORES,NRTPORT</t>
  </si>
  <si>
    <t>19463070-000-183</t>
  </si>
  <si>
    <t>10/18/2023</t>
  </si>
  <si>
    <t>11/10/2023</t>
  </si>
  <si>
    <t>TN20-0513</t>
  </si>
  <si>
    <t>KOHLDSN,MACY02,TGTDVS,Zulily</t>
  </si>
  <si>
    <t>19463070-000-185</t>
  </si>
  <si>
    <t>TN20-0514</t>
  </si>
  <si>
    <t>AMAZON,AMAZONDS,KOHLDSN,MACY02,NRTPORT,OLLIIX,TGTDVS,Zulily</t>
  </si>
  <si>
    <t>19463070-000-184</t>
  </si>
  <si>
    <t>12/14/2023</t>
  </si>
  <si>
    <t>TN20-0515</t>
  </si>
  <si>
    <t>AMAZON,AMAZONDS,MACY02,TGTDVS,Zulily</t>
  </si>
  <si>
    <t>19463070-000-187</t>
  </si>
  <si>
    <t>11/16/2023</t>
  </si>
  <si>
    <t>TN20-0517</t>
  </si>
  <si>
    <t>Gray/Taupe Nordic</t>
  </si>
  <si>
    <t>PP000954;PF006048</t>
  </si>
  <si>
    <t>8/19/2023</t>
  </si>
  <si>
    <t>AMAZON,AMAZONDS,JCPENNEY01,TGTDVS</t>
  </si>
  <si>
    <t>19463070-000-189</t>
  </si>
  <si>
    <t>11/2/2023</t>
  </si>
  <si>
    <t>TN20-0518</t>
  </si>
  <si>
    <t>AMAZON,CSNSTORES,JCPENNEY01,KOHLDSN,MACY02,OLLIIX,TGTDVS,Zulily</t>
  </si>
  <si>
    <t>19463070-000-188</t>
  </si>
  <si>
    <t>11/1/2023</t>
  </si>
  <si>
    <t>TN20-0240</t>
  </si>
  <si>
    <t>Grey Geo</t>
  </si>
  <si>
    <t>PF002291</t>
  </si>
  <si>
    <t>9/28/2017</t>
  </si>
  <si>
    <t>AMAZON,AMAZONDS,BLK01,CSNSTORES,FINGERHUTDS,JCPENNEY01,KOHLDSN,MACY02,TGTDVS,WALMARTDS</t>
  </si>
  <si>
    <t>19463070-000-091</t>
  </si>
  <si>
    <t>11/9/2018</t>
  </si>
  <si>
    <t>TN20-0109</t>
  </si>
  <si>
    <t>Grey Solid</t>
  </si>
  <si>
    <t>PF002287</t>
  </si>
  <si>
    <t>AMAZON,AMAZONDS,BLK01,JCPENNEY01,KOHLDSN,MACY02,TGTDVS</t>
  </si>
  <si>
    <t>19463070-000-003</t>
  </si>
  <si>
    <t>9/13/2016</t>
  </si>
  <si>
    <t>11/3/2016</t>
  </si>
  <si>
    <t>TN20-0269</t>
  </si>
  <si>
    <t>Multi Forest Animals</t>
  </si>
  <si>
    <t>PF002296</t>
  </si>
  <si>
    <t>AMAZON,AMAZONDS,BLK01,FINGERHUTDS,JCPENNEY01,KOHLDSN,MACY02,OLLIIX,TGTDVS,WALMARTDS</t>
  </si>
  <si>
    <t>19463070-000-120</t>
  </si>
  <si>
    <t>TN20-0273</t>
  </si>
  <si>
    <t>19463070-000-124</t>
  </si>
  <si>
    <t>11/3/2017</t>
  </si>
  <si>
    <t>TN20-0252</t>
  </si>
  <si>
    <t>Multi Leaves</t>
  </si>
  <si>
    <t>PF002294</t>
  </si>
  <si>
    <t>10/6/2017</t>
  </si>
  <si>
    <t>AMAZON,AMAZONDS,CSNSTORES,FINGERHUTDS,JCPENNEY01,KOHLDSN,MACY02,OLLIIX,TGTDVS,WALMARTDS</t>
  </si>
  <si>
    <t>19463070-000-109</t>
  </si>
  <si>
    <t>TN20-0371</t>
  </si>
  <si>
    <t>Multi Sloth</t>
  </si>
  <si>
    <t>PP000954;PF004391</t>
  </si>
  <si>
    <t>8/7/2018</t>
  </si>
  <si>
    <t>AMAZON,AMAZONDS,BLK01,CSNSTORES,DESINC,KOHLDSN,MACY02,TGTDVS,Zulily</t>
  </si>
  <si>
    <t>19463070-000-132</t>
  </si>
  <si>
    <t>9/24/2018</t>
  </si>
  <si>
    <t>10/2/2018</t>
  </si>
  <si>
    <t>TN20-0375</t>
  </si>
  <si>
    <t>AMAZON,AMAZONDS,BLK01,CSNSTORES,FINGERHUTDS,KOHLDSN,MACY02,TGTDVS,WALMARTDS,Zulily</t>
  </si>
  <si>
    <t>19463070-000-135</t>
  </si>
  <si>
    <t>9/26/2018</t>
  </si>
  <si>
    <t>TN20-0228</t>
  </si>
  <si>
    <t>Pink French Bulldog</t>
  </si>
  <si>
    <t>PF002290</t>
  </si>
  <si>
    <t>AMAZON,AMAZONDS,BLK01,DESINC,JCPENNEY01,KOHLDSN,MACY02,TGTDVS</t>
  </si>
  <si>
    <t>19463070-000-085</t>
  </si>
  <si>
    <t>11/16/2017</t>
  </si>
  <si>
    <t>TN20-0231</t>
  </si>
  <si>
    <t>AMAZON,AMAZONDS,BLK01,JCPENNEY01,KOHLDSN,MACY02,NRTPORT,TGTDVS,Zulily</t>
  </si>
  <si>
    <t>19463070-000-088</t>
  </si>
  <si>
    <t>10/28/2017</t>
  </si>
  <si>
    <t>TN20-0275</t>
  </si>
  <si>
    <t>Pink Plaid</t>
  </si>
  <si>
    <t>PF002297</t>
  </si>
  <si>
    <t>AMAZON,AMAZONDS,BLK01,FINGERHUTDS,JCPENNEY01,KOHLDSN,MACY02,TGTDVS</t>
  </si>
  <si>
    <t>19463070-000-126</t>
  </si>
  <si>
    <t>TN20-0277</t>
  </si>
  <si>
    <t>AMAZON,AMAZONDS,CSNSTORES,FINGERHUTDS,KOHLDSN,MACY02,TGTDVS</t>
  </si>
  <si>
    <t>19463070-000-128</t>
  </si>
  <si>
    <t>TN20-0069</t>
  </si>
  <si>
    <t>Pink/Grey Snowflakes</t>
  </si>
  <si>
    <t>PF002277</t>
  </si>
  <si>
    <t>6/30/2017</t>
  </si>
  <si>
    <t>AMAZON,AMAZONDS,CSNSTORES,JCPENNEY01,KOHLDSN,MACY02,NRTPORT,TGTDVS,WALMARTDS</t>
  </si>
  <si>
    <t>19463070-000-028</t>
  </si>
  <si>
    <t>10/19/2016</t>
  </si>
  <si>
    <t>TN20-0211</t>
  </si>
  <si>
    <t>Red Plaid</t>
  </si>
  <si>
    <t>PF002279</t>
  </si>
  <si>
    <t>9/8/2017</t>
  </si>
  <si>
    <t>AMAZON,BLK01,CSNSTORES,FINGERHUTDS,JCPENNEY01,KOHLDSN,MACY02,TGTDVS,WALMARTDS</t>
  </si>
  <si>
    <t>19463070-000-068</t>
  </si>
  <si>
    <t>9/14/2017</t>
  </si>
  <si>
    <t>11/15/2017</t>
  </si>
  <si>
    <t>TN20-0078</t>
  </si>
  <si>
    <t>AMAZON,AMAZONDS,BLK01,CSNSTORES,FINGERHUTDS,JCPENNEY01,KOHLDSN,MACY02,OLLIIX,TGTDVS,Zulily</t>
  </si>
  <si>
    <t>19463070-000-037</t>
  </si>
  <si>
    <t>10/30/2016</t>
  </si>
  <si>
    <t>TN20-0079</t>
  </si>
  <si>
    <t>AMAZON,BLK01,CSNSTORES,JCPENNEY01,KOHLDSN,MACY02,NRTPORT,OLLIIX,TGTDVS,WALMARTDS</t>
  </si>
  <si>
    <t>19463070-000-038</t>
  </si>
  <si>
    <t>9/27/2016</t>
  </si>
  <si>
    <t>TN20-0118</t>
  </si>
  <si>
    <t>Tan Solid</t>
  </si>
  <si>
    <t>PF002285</t>
  </si>
  <si>
    <t>9/20/2017</t>
  </si>
  <si>
    <t>AMAZON,AMAZONDS,BLK01,CSNSTORES,JCPENNEY01,KOHLDSN,MACY02,TGTDVS</t>
  </si>
  <si>
    <t>19463070-000-012</t>
  </si>
  <si>
    <t>11/29/2016</t>
  </si>
  <si>
    <t>TN20-0062</t>
  </si>
  <si>
    <t>Tan/Blue Snowflakes</t>
  </si>
  <si>
    <t>PF002276</t>
  </si>
  <si>
    <t>AMAZON,BLK01,CSNSTORES,JCPENNEY01,KOHLDSN,MACY02,OLLIIX,TGTDVS</t>
  </si>
  <si>
    <t>19463070-000-021</t>
  </si>
  <si>
    <t>ID20-1537</t>
  </si>
  <si>
    <t>Cozy Soft</t>
  </si>
  <si>
    <t>Cotton Flannel Printed Sheet Set</t>
  </si>
  <si>
    <t>Blue Stars</t>
  </si>
  <si>
    <t>PP000944;PF004352</t>
  </si>
  <si>
    <t>6/21/2018</t>
  </si>
  <si>
    <t>AMAZONDS,BLK01,CSNSTORES,JCPENNEY01,KOHLDSN,MACY02,TGTDVS,WALMARTDS</t>
  </si>
  <si>
    <t>27441193-000-027</t>
  </si>
  <si>
    <t>5/28/2018</t>
  </si>
  <si>
    <t>7/12/2018</t>
  </si>
  <si>
    <t>ID20-1534</t>
  </si>
  <si>
    <t>Pink Llamas</t>
  </si>
  <si>
    <t>PP000944;PF004351</t>
  </si>
  <si>
    <t>AMAZON,AMAZONDS,JCPENNEY01,KOHLDSN,MACY02,OLLIIX,WALMARTDS,Zulily</t>
  </si>
  <si>
    <t>27441193-000-025</t>
  </si>
  <si>
    <t>8/6/2018</t>
  </si>
  <si>
    <t>ID20-1535</t>
  </si>
  <si>
    <t>AMAZON,AMAZONDS,BLK01,CSNSTORES,FINGERHUTDS,JCPENNEY01,KOHLDSN,MACY02,TGTDVS,WALMARTDS,Zulily</t>
  </si>
  <si>
    <t>27441193-000-005</t>
  </si>
  <si>
    <t>7/6/2018</t>
  </si>
  <si>
    <t>ID20-1750</t>
  </si>
  <si>
    <t>Pink/Grey Hedgehogs</t>
  </si>
  <si>
    <t>PP000944;PF004717</t>
  </si>
  <si>
    <t>AMAZONDS,BLK01,CSNSTORES,JCPENNEY01,KOHLDSN,MACY02,TGTDVS,WALMARTDS,Zulily</t>
  </si>
  <si>
    <t>27441193-000-030</t>
  </si>
  <si>
    <t>11/23/2020</t>
  </si>
  <si>
    <t>FPF18-0414</t>
  </si>
  <si>
    <t>Crackle</t>
  </si>
  <si>
    <t>PF000018;PP000022</t>
  </si>
  <si>
    <t>4/12/2017</t>
  </si>
  <si>
    <t>CSNSTORES,LAMPDS,OLLIIX,TGTDVS</t>
  </si>
  <si>
    <t>19889611-000-000</t>
  </si>
  <si>
    <t>10/26/2016</t>
  </si>
  <si>
    <t>IIF18-0054</t>
  </si>
  <si>
    <t>PF000207;PP000022</t>
  </si>
  <si>
    <t>2/24/2025</t>
  </si>
  <si>
    <t>AMERSIGNDS,CSNSTORES,HDDS,HOUZZ,KOHLDSN,LAMPDS,MACY02F,OLLIIX,ROOMECOM</t>
  </si>
  <si>
    <t>19586467-000-000</t>
  </si>
  <si>
    <t>9/21/2016</t>
  </si>
  <si>
    <t>9/26/2016</t>
  </si>
  <si>
    <t>II100-0168</t>
  </si>
  <si>
    <t>PF000129;PP000022</t>
  </si>
  <si>
    <t>1/19/2025</t>
  </si>
  <si>
    <t>CSNSTORES,HDDS,MACY02F,OLLIIX</t>
  </si>
  <si>
    <t>24890664-000-000</t>
  </si>
  <si>
    <t>11/21/2017</t>
  </si>
  <si>
    <t>3/13/2018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</si>
  <si>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</si>
  <si>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</si>
  <si>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</si>
  <si>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</si>
  <si>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</si>
  <si>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</si>
  <si>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</si>
  <si>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ASHFURNDS,CSNSTORES,HOUZZ,MACY02F,OLLIIX</t>
  </si>
  <si>
    <t>21706935-000-000</t>
  </si>
  <si>
    <t>4/17/2017</t>
  </si>
  <si>
    <t>7/31/2017</t>
  </si>
  <si>
    <t>MP95B-0231</t>
  </si>
  <si>
    <t>Wall Decor</t>
  </si>
  <si>
    <t>Damask Wood Panel</t>
  </si>
  <si>
    <t>Two-tone Geometric Wall Decor</t>
  </si>
  <si>
    <t>Wood</t>
  </si>
  <si>
    <t>PP001412;PF004958</t>
  </si>
  <si>
    <t>Global</t>
  </si>
  <si>
    <t>10/2/2019</t>
  </si>
  <si>
    <t>AMAZON,DESINC,JCPENNEY01,KIRKLANDDS,KOHLDSN,LAMPDS,MACY02,OLLIIX,TGTDVS</t>
  </si>
  <si>
    <t>35137208-000-000</t>
  </si>
  <si>
    <t>12/17/2019</t>
  </si>
  <si>
    <t>MT100-0106</t>
  </si>
  <si>
    <t>Decker</t>
  </si>
  <si>
    <t>8/29/2020</t>
  </si>
  <si>
    <t>AMAZONDS,ASHFURNDS,CSNSTORES,JCPENNEY01,KIRKLANDDS,MACY02F,OLLIIX</t>
  </si>
  <si>
    <t>33732336-000-001</t>
  </si>
  <si>
    <t>9/7/2020</t>
  </si>
  <si>
    <t>9/28/2020</t>
  </si>
  <si>
    <t>II95C-0150</t>
  </si>
  <si>
    <t>Desert Serenity</t>
  </si>
  <si>
    <t>Hand Embellished Abstract 2-piece Framed Canvas Wall Art Set</t>
  </si>
  <si>
    <t>PP001871</t>
  </si>
  <si>
    <t>4/13/2023</t>
  </si>
  <si>
    <t>AMAZON,ASHFURNDS,CSNSTORES,KIRKLANDDS,KOHLDSN,OLLIIX,TGTDVS</t>
  </si>
  <si>
    <t>41374289-000-000</t>
  </si>
  <si>
    <t>4/16/2023</t>
  </si>
  <si>
    <t>8/28/2023</t>
  </si>
  <si>
    <t>MP95C-0216</t>
  </si>
  <si>
    <t>Dewy Forest</t>
  </si>
  <si>
    <t>Gold Foil Abstract 3-piece Canvas Wall Art Set</t>
  </si>
  <si>
    <t>PP001323;PF004768</t>
  </si>
  <si>
    <t>6/10/2019</t>
  </si>
  <si>
    <t>AMAZON,BLK01,CSNSTORES,KIRKLANDDS,KOHLDSN,OLLIIX,TGTDVS</t>
  </si>
  <si>
    <t>33781534-000-000</t>
  </si>
  <si>
    <t>MP100-1174</t>
  </si>
  <si>
    <t>Diedra</t>
  </si>
  <si>
    <t>Blaine</t>
  </si>
  <si>
    <t>Paulie</t>
  </si>
  <si>
    <t>2/23/2022</t>
  </si>
  <si>
    <t>ASHFURNDS,CSNSTORES,KOHLDSN,LAMPDS,NEBFUR01,OLLIIX</t>
  </si>
  <si>
    <t>25393674-000-002</t>
  </si>
  <si>
    <t>3/8/2022</t>
  </si>
  <si>
    <t>3/24/2022</t>
  </si>
  <si>
    <t>ID12-1593</t>
  </si>
  <si>
    <t>Dorsey</t>
  </si>
  <si>
    <t>Renee</t>
  </si>
  <si>
    <t>Hannah</t>
  </si>
  <si>
    <t>Floral Print Duvet Cover Set</t>
  </si>
  <si>
    <t>Black/White</t>
  </si>
  <si>
    <t>Close-out</t>
  </si>
  <si>
    <t>PF004478;PP001844</t>
  </si>
  <si>
    <t>10/16/2018</t>
  </si>
  <si>
    <t>AMAZON,BIGLOTSDS,BLK01,CSNSTORES,JCPENNEY01,KOHLDSN,MACY02,OLLIIX,TGTDVS</t>
  </si>
  <si>
    <t>29530407-000-001</t>
  </si>
  <si>
    <t>10/17/2018</t>
  </si>
  <si>
    <t>11/12/2018</t>
  </si>
  <si>
    <t>ID10-1966</t>
  </si>
  <si>
    <t>Floral Print Comforter Set</t>
  </si>
  <si>
    <t>PF004478</t>
  </si>
  <si>
    <t>1/25/2021</t>
  </si>
  <si>
    <t>AMAZON,AMAZONDS,BIGLOTSDS,BLK01,CSNSTORES,DESINC,HDDS,KOHLDSN,MACY02,NEBFUR01,NRTPORT,OLLIIX,TGTDVS</t>
  </si>
  <si>
    <t>29530300-000-002</t>
  </si>
  <si>
    <t>1/28/2021</t>
  </si>
  <si>
    <t>ID12-1967</t>
  </si>
  <si>
    <t>1/21/2021</t>
  </si>
  <si>
    <t>CSNSTORES,HDDS,JCPENNEY01,KOHLDSN,MACY02,OLLIIX,TGTDVS</t>
  </si>
  <si>
    <t>29530407-000-002</t>
  </si>
  <si>
    <t>1/22/2021</t>
  </si>
  <si>
    <t>2/3/2021</t>
  </si>
  <si>
    <t>BR51-4440</t>
  </si>
  <si>
    <t>Beautyrest</t>
  </si>
  <si>
    <t>Dream Soft</t>
  </si>
  <si>
    <t>PP001948;PF006208</t>
  </si>
  <si>
    <t>Polyester</t>
  </si>
  <si>
    <t>43727975-000-008</t>
  </si>
  <si>
    <t>BR51-4442</t>
  </si>
  <si>
    <t>43727975-000-011</t>
  </si>
  <si>
    <t>5/7/2024</t>
  </si>
  <si>
    <t>BR51-4443</t>
  </si>
  <si>
    <t>PP001948;PF006209</t>
  </si>
  <si>
    <t>2/19/2025</t>
  </si>
  <si>
    <t>AMAZON,JCPENNEY01,KOHLDSN,MACY02,OLLIIX</t>
  </si>
  <si>
    <t>43727975-000-001</t>
  </si>
  <si>
    <t>8/26/2024</t>
  </si>
  <si>
    <t>BR51-4437</t>
  </si>
  <si>
    <t>PP001948;PF006207</t>
  </si>
  <si>
    <t>43727975-000-009</t>
  </si>
  <si>
    <t>5DS153-0029</t>
  </si>
  <si>
    <t>Driggs</t>
  </si>
  <si>
    <t>Ceramic Textured Table Lamp</t>
  </si>
  <si>
    <t>Ivory/Grey</t>
  </si>
  <si>
    <t>AMERSIGNDS,CSNSTORES,DESINC,HDDS,JCPENNEY01,KIRKLANDDS,KOHLDSN,OLLIIX</t>
  </si>
  <si>
    <t>30664612-000-000</t>
  </si>
  <si>
    <t>11/14/2018</t>
  </si>
  <si>
    <t>1/16/2019</t>
  </si>
  <si>
    <t>MP30-2997</t>
  </si>
  <si>
    <t>Other Pillows</t>
  </si>
  <si>
    <t>Duke</t>
  </si>
  <si>
    <t>York</t>
  </si>
  <si>
    <t>Faux Fur Square Pillow</t>
  </si>
  <si>
    <t>PF003536;PP000412</t>
  </si>
  <si>
    <t>ASHFURNDS,FINGERHUTDS,HDDS,JCPENNEY01,KOHLDSN,MACY02,NRTPORT,TGTDVS,WALMARTDS</t>
  </si>
  <si>
    <t>18986986-000-000</t>
  </si>
  <si>
    <t>7/11/2016</t>
  </si>
  <si>
    <t>MP50-5784</t>
  </si>
  <si>
    <t>Long Fur Throw</t>
  </si>
  <si>
    <t>PP000412;PF004332</t>
  </si>
  <si>
    <t>5/8/2018</t>
  </si>
  <si>
    <t>AMAZON,ASHFURNDS,BLK01,CSNSTORES,DESINC,FINGERHUTDS,HSNDS,JCPENNEY01,KOHLDSN,MACY02,OLLIIX,TGTDVS</t>
  </si>
  <si>
    <t>15574045-000-005</t>
  </si>
  <si>
    <t>6/8/2018</t>
  </si>
  <si>
    <t>6/20/2018</t>
  </si>
  <si>
    <t>MP30-4963</t>
  </si>
  <si>
    <t>PF003568</t>
  </si>
  <si>
    <t>8/18/2017</t>
  </si>
  <si>
    <t>ASHFURNDS,JCPENNEY01,KOHLDSN,MACY02,OLLIIX,TGTDVS</t>
  </si>
  <si>
    <t>18986986-000-004</t>
  </si>
  <si>
    <t>8/15/2017</t>
  </si>
  <si>
    <t>MP50-455</t>
  </si>
  <si>
    <t>PF003558;PP000412</t>
  </si>
  <si>
    <t>AMAZON,AMAZONDS,BEALLSDS,BLK01,CSNSTORES,DESINC,FINGERHUTDS,JCPENNEY01,KOHLDSN,MACY02,OLLIIX,TGTDVS</t>
  </si>
  <si>
    <t>15574045-000-002</t>
  </si>
  <si>
    <t>5/18/2015</t>
  </si>
  <si>
    <t>MP30-3000</t>
  </si>
  <si>
    <t>PF003567;PP000412</t>
  </si>
  <si>
    <t>ASHFURNDS,CSNSTORES,FINGERHUTDS,JCPENNEY01,KOHLDSN,MACY02,OLLIIX,TGTDVS</t>
  </si>
  <si>
    <t>18986986-000-003</t>
  </si>
  <si>
    <t>9/12/2016</t>
  </si>
  <si>
    <t>MP50-454</t>
  </si>
  <si>
    <t>PF003547;PP000412</t>
  </si>
  <si>
    <t>AMAZONDS,ASHFURNDS,BLK01,CSNSTORES,DESINC,FINGERHUTDS,JCPENNEY01,KOHLDSN,MACY02,OLLIIX,TGTDVS</t>
  </si>
  <si>
    <t>15574045-000-001</t>
  </si>
  <si>
    <t>MP40-7799</t>
  </si>
  <si>
    <t>Eastfield</t>
  </si>
  <si>
    <t>Lyndon</t>
  </si>
  <si>
    <t>Wren</t>
  </si>
  <si>
    <t>Bamboo Light Filtering Roman Shade 64"L</t>
  </si>
  <si>
    <t>Natural Ash</t>
  </si>
  <si>
    <t>PP001722;PF005636</t>
  </si>
  <si>
    <t>Bamboo</t>
  </si>
  <si>
    <t>4/5/2022</t>
  </si>
  <si>
    <t>AMAZONDS,CSNSTORES,HDDS,JCPENNEY01,KOHLDSN,NEBFUR01,OLLIIX</t>
  </si>
  <si>
    <t>39828324-000-009</t>
  </si>
  <si>
    <t>4/11/2022</t>
  </si>
  <si>
    <t>MT101-0014</t>
  </si>
  <si>
    <t>OTTOMAN</t>
  </si>
  <si>
    <t>Cocktail Ottoman</t>
  </si>
  <si>
    <t>Ellen</t>
  </si>
  <si>
    <t>PP001279</t>
  </si>
  <si>
    <t>CSNSTORES,JCPENNEY01,KIRKLANDDS,KOHLDSN,MACY02F,OLLIIX,ROOMECOM,Zulily</t>
  </si>
  <si>
    <t>33732339-000-000</t>
  </si>
  <si>
    <t>7/8/2019</t>
  </si>
  <si>
    <t>MP40-8329</t>
  </si>
  <si>
    <t>Emilia</t>
  </si>
  <si>
    <t>Natalie</t>
  </si>
  <si>
    <t>Lillian</t>
  </si>
  <si>
    <t>Twist Tab Lined Window Curtain Panel</t>
  </si>
  <si>
    <t>PP001164;PF006098</t>
  </si>
  <si>
    <t>11/15/2023</t>
  </si>
  <si>
    <t>15855802-000-049</t>
  </si>
  <si>
    <t>12/19/2023</t>
  </si>
  <si>
    <t>1/3/2024</t>
  </si>
  <si>
    <t>MP40-8330</t>
  </si>
  <si>
    <t>15855802-000-050</t>
  </si>
  <si>
    <t>1/5/2024</t>
  </si>
  <si>
    <t>MP40-8331</t>
  </si>
  <si>
    <t>15855802-000-051</t>
  </si>
  <si>
    <t>MP40-8332</t>
  </si>
  <si>
    <t>50x120"</t>
  </si>
  <si>
    <t>15855802-000-052</t>
  </si>
  <si>
    <t>2/27/2024</t>
  </si>
  <si>
    <t>MP40-8335</t>
  </si>
  <si>
    <t>Twist Tab Total Blackout Window Curtain Panel</t>
  </si>
  <si>
    <t>50x84" Blackout</t>
  </si>
  <si>
    <t>AMAZON,CSNSTORES,JCPENNEY01</t>
  </si>
  <si>
    <t>33704698-000-009</t>
  </si>
  <si>
    <t>3/28/2024</t>
  </si>
  <si>
    <t>MP40-8336</t>
  </si>
  <si>
    <t>50x95" Blackout</t>
  </si>
  <si>
    <t>CSNSTORES,JCPENNEY01</t>
  </si>
  <si>
    <t>33704698-000-008</t>
  </si>
  <si>
    <t>MP40-6323</t>
  </si>
  <si>
    <t>PP001164;PF004652</t>
  </si>
  <si>
    <t>5/9/2019</t>
  </si>
  <si>
    <t>AMAZON,AMAZONDS,CSNSTORES,DESINC,JCPENNEY01,KOHLDSN</t>
  </si>
  <si>
    <t>15855802-000-039</t>
  </si>
  <si>
    <t>6/6/2019</t>
  </si>
  <si>
    <t>6/25/2019</t>
  </si>
  <si>
    <t>MP40-6324</t>
  </si>
  <si>
    <t>AMAZON,AMAZONDS,CSNSTORES</t>
  </si>
  <si>
    <t>15855802-000-038</t>
  </si>
  <si>
    <t>6/4/2019</t>
  </si>
  <si>
    <t>MP41-6325</t>
  </si>
  <si>
    <t>Lightweight Faux Silk Valance With Beads</t>
  </si>
  <si>
    <t>50x26"</t>
  </si>
  <si>
    <t>22670044-000-009</t>
  </si>
  <si>
    <t>6/19/2019</t>
  </si>
  <si>
    <t>MP40-2686</t>
  </si>
  <si>
    <t>Bronze</t>
  </si>
  <si>
    <t>PF003966</t>
  </si>
  <si>
    <t>AMAZON,AMERSIGNDS,BLK01,CSNSTORES,HDDS,JCPENNEY01,KOHLDSN</t>
  </si>
  <si>
    <t>15855802-000-020</t>
  </si>
  <si>
    <t>8/18/2016</t>
  </si>
  <si>
    <t>MP40-3561</t>
  </si>
  <si>
    <t>CSNSTORES,DESINC,JCPENNEY01,KOHLDSN,OLLIIX</t>
  </si>
  <si>
    <t>15855802-000-030</t>
  </si>
  <si>
    <t>MP41-4456</t>
  </si>
  <si>
    <t>6/2/2017</t>
  </si>
  <si>
    <t>AMERSIGNDS,CSNSTORES,JCPENNEY01,KOHLDSN</t>
  </si>
  <si>
    <t>22670044-000-006</t>
  </si>
  <si>
    <t>MP40-3559</t>
  </si>
  <si>
    <t>PF003964</t>
  </si>
  <si>
    <t>AMAZON,AMAZONDS,CSNSTORES,DESINC,HDDS,JCPENNEY01,KOHLDSN</t>
  </si>
  <si>
    <t>15855802-000-028</t>
  </si>
  <si>
    <t>10/10/2016</t>
  </si>
  <si>
    <t>MP41-4454</t>
  </si>
  <si>
    <t>22670044-000-004</t>
  </si>
  <si>
    <t>8/14/2017</t>
  </si>
  <si>
    <t>MP40-6558</t>
  </si>
  <si>
    <t>PP001164;PF004762</t>
  </si>
  <si>
    <t>7/27/2019</t>
  </si>
  <si>
    <t>AMAZON,ASHFURNDS,CSNSTORES,KOHLDSN,NEBFUR01</t>
  </si>
  <si>
    <t>15855802-000-045</t>
  </si>
  <si>
    <t>9/20/2019</t>
  </si>
  <si>
    <t>9/30/2019</t>
  </si>
  <si>
    <t>MP41-6560</t>
  </si>
  <si>
    <t>AMAZON,AMAZONDS,CSNSTORES,FINGERHUTDS,JCPENNEY01,KOHLDSN</t>
  </si>
  <si>
    <t>22670044-000-011</t>
  </si>
  <si>
    <t>10/10/2019</t>
  </si>
  <si>
    <t>11/11/2019</t>
  </si>
  <si>
    <t>WIN40-117</t>
  </si>
  <si>
    <t>Dusty Aqua</t>
  </si>
  <si>
    <t>PF003965</t>
  </si>
  <si>
    <t>AMAZON,BLK01,CSNSTORES,HSNDS,JCPENNEY01,KOHLDSN</t>
  </si>
  <si>
    <t>15855802-000-004</t>
  </si>
  <si>
    <t>MP40-2685</t>
  </si>
  <si>
    <t>15855802-000-019</t>
  </si>
  <si>
    <t>6/20/2016</t>
  </si>
  <si>
    <t>MP40-3560</t>
  </si>
  <si>
    <t>AMAZON,CSNSTORES</t>
  </si>
  <si>
    <t>15855802-000-029</t>
  </si>
  <si>
    <t>10/25/2016</t>
  </si>
  <si>
    <t>MP40-6318</t>
  </si>
  <si>
    <t>PP001164;PF004653</t>
  </si>
  <si>
    <t>AMAZON,CSNSTORES,FINGERHUTDS,JCPENNEY01,KOHLDSN,OLLIIX</t>
  </si>
  <si>
    <t>15855802-000-041</t>
  </si>
  <si>
    <t>6/5/2019</t>
  </si>
  <si>
    <t>7/9/2019</t>
  </si>
  <si>
    <t>MP40-6319</t>
  </si>
  <si>
    <t>AMAZON,BLK01,CSNSTORES,JCPENNEY01,KOHLDSN,OLLIIX</t>
  </si>
  <si>
    <t>15855802-000-040</t>
  </si>
  <si>
    <t>MP40-1299</t>
  </si>
  <si>
    <t>Pewter</t>
  </si>
  <si>
    <t>PF003967</t>
  </si>
  <si>
    <t>AMAZON,AMERSIGNDS,ASHFURNDS,BLK01,CSNSTORES,HDDS,HSNDS,JCPENNEY01,KOHLDSN</t>
  </si>
  <si>
    <t>15855802-000-008</t>
  </si>
  <si>
    <t>2/2/2015</t>
  </si>
  <si>
    <t>MP40-3557</t>
  </si>
  <si>
    <t>AMAZON,CSNSTORES,HDDS,JCPENNEY01,OLLIIX</t>
  </si>
  <si>
    <t>15855802-000-026</t>
  </si>
  <si>
    <t>10/4/2016</t>
  </si>
  <si>
    <t>MP41-4452</t>
  </si>
  <si>
    <t>AMAZON,AMAZONDS,BLK01,CSNSTORES,JCPENNEY01,KOHLDSN,OLLIIX</t>
  </si>
  <si>
    <t>22670044-000-002</t>
  </si>
  <si>
    <t>MP40-7407</t>
  </si>
  <si>
    <t>PF003967;PP001164</t>
  </si>
  <si>
    <t>3/12/2021</t>
  </si>
  <si>
    <t>AMAZON,AMAZONDS,CSNSTORES,DESINC,JCPENNEY01,KOHLDSN,OLLIIX,TGTDVS</t>
  </si>
  <si>
    <t>33704698-000-005</t>
  </si>
  <si>
    <t>4/1/2021</t>
  </si>
  <si>
    <t>5/2/2021</t>
  </si>
  <si>
    <t>MP40-6326</t>
  </si>
  <si>
    <t>PP001164;PF004651</t>
  </si>
  <si>
    <t>3/12/2025</t>
  </si>
  <si>
    <t>AMAZON,AMAZONDS,BLK01,CSNSTORES,DESINC,HDDS,JCPENNEY01,KOHLDSN,NRTPORT,OLLIIX</t>
  </si>
  <si>
    <t>15855802-000-037</t>
  </si>
  <si>
    <t>7/24/2019</t>
  </si>
  <si>
    <t>MP40-6327</t>
  </si>
  <si>
    <t>BLK01,CSNSTORES,HDDS,JCPENNEY01,KOHLDSN,OLLIIX</t>
  </si>
  <si>
    <t>15855802-000-034</t>
  </si>
  <si>
    <t>MP40-6328</t>
  </si>
  <si>
    <t>AMAZON,CSNSTORES,KOHLDSN</t>
  </si>
  <si>
    <t>15855802-000-033</t>
  </si>
  <si>
    <t>MP40-6329</t>
  </si>
  <si>
    <t>AMAZON,CSNSTORES,JCPENNEY01,MACY02,OLLIIX,TGTDVS</t>
  </si>
  <si>
    <t>15855802-000-032</t>
  </si>
  <si>
    <t>MP40-2683</t>
  </si>
  <si>
    <t>PF003958</t>
  </si>
  <si>
    <t>AMAZON,AMERSIGNDS,ASHFURNDS,BLK01,CSNSTORES,DESINC,HDDS,JCPENNEY01,KIRKLANDDS,KOHLDSN,LOWESDS</t>
  </si>
  <si>
    <t>15855802-000-017</t>
  </si>
  <si>
    <t>MP40-3558</t>
  </si>
  <si>
    <t>AMAZON,AMAZONDS,CSNSTORES,DESINC,HDDS,JCPENNEY01,KIRKLANDDS,KOHLDSN</t>
  </si>
  <si>
    <t>15855802-000-027</t>
  </si>
  <si>
    <t>MP41-4453</t>
  </si>
  <si>
    <t>AMAZON,BLK01,CSNSTORES,DESINC,HDDS,JCPENNEY01,KOHLDSN,TGTDVS</t>
  </si>
  <si>
    <t>22670044-000-003</t>
  </si>
  <si>
    <t>MT95G-0030</t>
  </si>
  <si>
    <t>Estuary</t>
  </si>
  <si>
    <t>Abstract Landscape Framed Glass Wall Art</t>
  </si>
  <si>
    <t>PP001449;PF005016</t>
  </si>
  <si>
    <t>AMAZONDS,BLK01,CSNSTORES,DESINC,JCPENNEY01,KIRKLANDDS,KOHLDSN,MACY02,OLLIIX,ZOLA,Zulily</t>
  </si>
  <si>
    <t>35147143-000-000</t>
  </si>
  <si>
    <t>MP95C-0117</t>
  </si>
  <si>
    <t>Ethereal</t>
  </si>
  <si>
    <t>Diptych 2-piece Framed Canvas Wall Art Set</t>
  </si>
  <si>
    <t>PF002035</t>
  </si>
  <si>
    <t>8/26/2017</t>
  </si>
  <si>
    <t>AMAZON,AMERSIGNDS,CSNSTORES,KIRKLANDDS,KOHLDSN</t>
  </si>
  <si>
    <t>23745774-000-000</t>
  </si>
  <si>
    <t>8/29/2017</t>
  </si>
  <si>
    <t>9/11/2017</t>
  </si>
  <si>
    <t>5DS108-0034</t>
  </si>
  <si>
    <t>Everly</t>
  </si>
  <si>
    <t>Upholstered Channel-back Dining Chair Set of 2</t>
  </si>
  <si>
    <t>1/31/2024</t>
  </si>
  <si>
    <t>CSNSTORES,HDDS</t>
  </si>
  <si>
    <t>41922410-000-002</t>
  </si>
  <si>
    <t>3/18/2024</t>
  </si>
  <si>
    <t>II153-0107</t>
  </si>
  <si>
    <t>Ceramic Table Lamp with Handles</t>
  </si>
  <si>
    <t>12/23/2021</t>
  </si>
  <si>
    <t>AMERSIGNDS,CSNSTORES,JCPENNEY01,KIRKLANDDS,KOHLDSN,MACY02,OLLIIX</t>
  </si>
  <si>
    <t>39463174-000-000</t>
  </si>
  <si>
    <t>1/5/2022</t>
  </si>
  <si>
    <t>6/8/2022</t>
  </si>
  <si>
    <t>ID12-1944</t>
  </si>
  <si>
    <t>Felicia</t>
  </si>
  <si>
    <t>Isabel</t>
  </si>
  <si>
    <t>Alyssa</t>
  </si>
  <si>
    <t>Velvet Duvet Cover Set with Throw Pillow</t>
  </si>
  <si>
    <t>PP001091;PF005199</t>
  </si>
  <si>
    <t>Modern/Contemporary|Transitional</t>
  </si>
  <si>
    <t>9/23/2020</t>
  </si>
  <si>
    <t>HDDS,JCPENNEY01,MACY02,WALMARTDS</t>
  </si>
  <si>
    <t>33908184-000-010</t>
  </si>
  <si>
    <t>10/11/2020</t>
  </si>
  <si>
    <t>ID12-1945</t>
  </si>
  <si>
    <t>AMAZON,CSNSTORES,FINGERHUTDS,JCPENNEY01,KOHLDSN,MACY02,NRTPORT,TGTDVS,WALMARTDS</t>
  </si>
  <si>
    <t>33908184-000-011</t>
  </si>
  <si>
    <t>9/24/2020</t>
  </si>
  <si>
    <t>ID12-2160</t>
  </si>
  <si>
    <t>PP001091;PF005800</t>
  </si>
  <si>
    <t>9/27/2022</t>
  </si>
  <si>
    <t>AMAZONDS,CSNSTORES,JCPENNEY01,KOHLDSN,MACY02,TGTDVS,Zulily</t>
  </si>
  <si>
    <t>33908184-000-018</t>
  </si>
  <si>
    <t>10/4/2022</t>
  </si>
  <si>
    <t>10/6/2022</t>
  </si>
  <si>
    <t>ID12-2161</t>
  </si>
  <si>
    <t>AMAZONDS,BLK01,CSNSTORES,KOHLDSN,MACY02,NRTPORT,TGTDVS,Zulily</t>
  </si>
  <si>
    <t>33908184-000-019</t>
  </si>
  <si>
    <t>ID12-1782</t>
  </si>
  <si>
    <t>PP001091;PF004575</t>
  </si>
  <si>
    <t>8/7/2019</t>
  </si>
  <si>
    <t>AMAZON,AMAZONDS,MACY02,TGTDVS</t>
  </si>
  <si>
    <t>33908184-000-000</t>
  </si>
  <si>
    <t>8/8/2019</t>
  </si>
  <si>
    <t>10/9/2019</t>
  </si>
  <si>
    <t>ID10-2400</t>
  </si>
  <si>
    <t>Velvet Comforter Set with Throw Pillow</t>
  </si>
  <si>
    <t>PP001091;PF006267</t>
  </si>
  <si>
    <t>6/20/2024</t>
  </si>
  <si>
    <t>1/24/2025</t>
  </si>
  <si>
    <t>AMAZON,AMAZONDS,HDDS,KOHLDSN,MACY02,NRTPORT,OLLIIX,TGTDVS</t>
  </si>
  <si>
    <t>32471150-000-029</t>
  </si>
  <si>
    <t>7/7/2024</t>
  </si>
  <si>
    <t>ID12-1793</t>
  </si>
  <si>
    <t>PP001091;PF004858</t>
  </si>
  <si>
    <t>9/27/2019</t>
  </si>
  <si>
    <t>33908184-000-004</t>
  </si>
  <si>
    <t>9/28/2019</t>
  </si>
  <si>
    <t>10/18/2019</t>
  </si>
  <si>
    <t>ID12-1794</t>
  </si>
  <si>
    <t>AMAZON,CSNSTORES,FINGERHUTDS,JCPENNEY01,KOHLDSN,MACY02,OLLIIX,TGTDVS,WALMARTDS,Zulily</t>
  </si>
  <si>
    <t>33908184-000-005</t>
  </si>
  <si>
    <t>ID10-2406</t>
  </si>
  <si>
    <t>PP001091;PF006268</t>
  </si>
  <si>
    <t>32471150-000-026</t>
  </si>
  <si>
    <t>8/28/2024</t>
  </si>
  <si>
    <t>ID12-1908</t>
  </si>
  <si>
    <t>PP001091;PF005084</t>
  </si>
  <si>
    <t>5/15/2020</t>
  </si>
  <si>
    <t>AMAZONDS,BLK01,FINGERHUTDS,JCPENNEY01,KOHLDSN,MACY02,TGTDVS,WALMARTDS,Zulily</t>
  </si>
  <si>
    <t>33908184-000-009</t>
  </si>
  <si>
    <t>5/18/2020</t>
  </si>
  <si>
    <t>MT108-1186</t>
  </si>
  <si>
    <t>Fiona</t>
  </si>
  <si>
    <t>Upholstered Dining Chair with Turned Wood Legs Set of 2</t>
  </si>
  <si>
    <t>11/21/2022</t>
  </si>
  <si>
    <t>CSNSTORES</t>
  </si>
  <si>
    <t>40538393-000-000</t>
  </si>
  <si>
    <t>7/26/2023</t>
  </si>
  <si>
    <t>MP160-0181</t>
  </si>
  <si>
    <t>DEC. MIRROR</t>
  </si>
  <si>
    <t>Mirrors</t>
  </si>
  <si>
    <t>Fiore</t>
  </si>
  <si>
    <t>Sunburst Wall Decor Mirror 29.5"D</t>
  </si>
  <si>
    <t>29.5" Dia</t>
  </si>
  <si>
    <t>2/17/2025</t>
  </si>
  <si>
    <t>AMAZON,AMAZONDS,AMERSIGNDS,ASHFURNDS,CSNSTORES,HDDS,HOUZZ,KOHLDSN,LAMPDS,OLLIIX,TGTDVS</t>
  </si>
  <si>
    <t>25582543-000-000</t>
  </si>
  <si>
    <t>1/5/2018</t>
  </si>
  <si>
    <t>1/16/2018</t>
  </si>
  <si>
    <t>ST54-0123</t>
  </si>
  <si>
    <t>Electric Throw</t>
  </si>
  <si>
    <t>Fleece to Sherpa</t>
  </si>
  <si>
    <t>Heated Throw</t>
  </si>
  <si>
    <t>Fleece</t>
  </si>
  <si>
    <t>6/28/2021</t>
  </si>
  <si>
    <t>BLK01,CSNSTORES,FINGERHUTDS,JCPENNEY01,KOHLDSN,MACY02,Zulily</t>
  </si>
  <si>
    <t>37390080-000-004</t>
  </si>
  <si>
    <t>7/28/2021</t>
  </si>
  <si>
    <t>10/25/2021</t>
  </si>
  <si>
    <t>II153-0150</t>
  </si>
  <si>
    <t>Flinn</t>
  </si>
  <si>
    <t>23" Resin Table Lamp with Faux Wood Texture</t>
  </si>
  <si>
    <t>Natural Whitewash</t>
  </si>
  <si>
    <t>12/28/2023</t>
  </si>
  <si>
    <t>KIRKLANDDS</t>
  </si>
  <si>
    <t>43356933-000-000</t>
  </si>
  <si>
    <t>4/8/2024</t>
  </si>
  <si>
    <t>MP95C-0041</t>
  </si>
  <si>
    <t>Forest Reflections</t>
  </si>
  <si>
    <t>Triptych 3-piece Canvas Wall Art Set</t>
  </si>
  <si>
    <t>PF001911</t>
  </si>
  <si>
    <t>AMAZON,AMAZONDS,AMERSIGNDS,ASHFURNDS,CSNSTORES,KIRKLANDDS,KOHLDSN,OLLIIX,TGTDVS</t>
  </si>
  <si>
    <t>18755595-000-000</t>
  </si>
  <si>
    <t>MT95C-0005</t>
  </si>
  <si>
    <t>French Herbarium</t>
  </si>
  <si>
    <t>2-piece Framed Canvas Wall Art Set</t>
  </si>
  <si>
    <t>AMAZON,ASHFURNDS,CSNSTORES,JCPENNEY01,KIRKLANDDS,KOHLDSN,OLLIIX,TGTDVS,ZOLA</t>
  </si>
  <si>
    <t>34135488-000-000</t>
  </si>
  <si>
    <t>8/27/2019</t>
  </si>
  <si>
    <t>4/15/2020</t>
  </si>
  <si>
    <t>BL51N-0853</t>
  </si>
  <si>
    <t>Freshspun Basketweave</t>
  </si>
  <si>
    <t>Cotton Blanket</t>
  </si>
  <si>
    <t>PF003481</t>
  </si>
  <si>
    <t>18986578-000-008</t>
  </si>
  <si>
    <t>7/25/2016</t>
  </si>
  <si>
    <t>MP51N-8382</t>
  </si>
  <si>
    <t>PP001933;PF006166</t>
  </si>
  <si>
    <t>2/14/2024</t>
  </si>
  <si>
    <t>18986578-000-026</t>
  </si>
  <si>
    <t>MP51N-8384</t>
  </si>
  <si>
    <t>CSNSTORES,KOHLDSN,MACY02,TGTDVS</t>
  </si>
  <si>
    <t>18986578-000-024</t>
  </si>
  <si>
    <t>BL51N-0860</t>
  </si>
  <si>
    <t>PF003483</t>
  </si>
  <si>
    <t>AMAZON,AMAZONDS,BEALLSDS,CSNSTORES,HSNDS,JCPENNEY01,KOHLDSN,MACY02,TGTDVS,WALMARTDS</t>
  </si>
  <si>
    <t>18986578-000-015</t>
  </si>
  <si>
    <t>BL51N-0850</t>
  </si>
  <si>
    <t>PF003479</t>
  </si>
  <si>
    <t>12/7/2024</t>
  </si>
  <si>
    <t>AMAZON,AMAZONDS,BEALLSDS,BLK01,CSNSTORES,JCPENNEY01,KOHLDSN,MACY02,TGTDVS,WALMARTDS</t>
  </si>
  <si>
    <t>18986578-000-005</t>
  </si>
  <si>
    <t>8/1/2016</t>
  </si>
  <si>
    <t>BL51N-0857</t>
  </si>
  <si>
    <t>PF003482</t>
  </si>
  <si>
    <t>AMAZON,AMAZONDS,BLK01,CSNSTORES,JCPENNEY01,KOHLDSN,MACY02,OLLIIX,TGTDVS,WALMARTDS</t>
  </si>
  <si>
    <t>18986578-000-012</t>
  </si>
  <si>
    <t>MP40-7871</t>
  </si>
  <si>
    <t>Galen</t>
  </si>
  <si>
    <t>Colm</t>
  </si>
  <si>
    <t>Paxton</t>
  </si>
  <si>
    <t>Basketweave Room Darkening Cordless Roman Shade</t>
  </si>
  <si>
    <t>29x64"</t>
  </si>
  <si>
    <t>PP001307;PF005661</t>
  </si>
  <si>
    <t>3/21/2022</t>
  </si>
  <si>
    <t>AMAZONDS,CSNSTORES,DESINC,HDDS,JCPENNEY01,KOHLDSN</t>
  </si>
  <si>
    <t>34381036-000-032</t>
  </si>
  <si>
    <t>4/7/2022</t>
  </si>
  <si>
    <t>MP40-7318</t>
  </si>
  <si>
    <t>1/5/2021</t>
  </si>
  <si>
    <t>34381036-000-016</t>
  </si>
  <si>
    <t>1/11/2021</t>
  </si>
  <si>
    <t>MP40-7319</t>
  </si>
  <si>
    <t>AMAZON,AMAZONDS,HDDS,HOUZZ,JCPENNEY01,KIRKLANDDS,KOHLDSN,TGTDVS</t>
  </si>
  <si>
    <t>34381036-000-015</t>
  </si>
  <si>
    <t>MP40-7321</t>
  </si>
  <si>
    <t>AMAZON,AMAZONDS,CSNSTORES,NRTPORT,TGTDVS</t>
  </si>
  <si>
    <t>34381036-000-020</t>
  </si>
  <si>
    <t>1/12/2021</t>
  </si>
  <si>
    <t>MP40-6551</t>
  </si>
  <si>
    <t>PP001307;PF004746</t>
  </si>
  <si>
    <t>9/16/2019</t>
  </si>
  <si>
    <t>AMAZON,AMAZONDS,CSNSTORES,DESINC,JCPENNEY01,KOHLDSN,TGTDVS</t>
  </si>
  <si>
    <t>34381036-000-002</t>
  </si>
  <si>
    <t>9/18/2019</t>
  </si>
  <si>
    <t>MP40-7750</t>
  </si>
  <si>
    <t>11/23/2021</t>
  </si>
  <si>
    <t>AMAZON,AMAZONDS,CSNSTORES,HDDS,JCPENNEY01,KOHLDSN</t>
  </si>
  <si>
    <t>34381036-000-025</t>
  </si>
  <si>
    <t>11/29/2021</t>
  </si>
  <si>
    <t>12/3/2021</t>
  </si>
  <si>
    <t>MP40-6552</t>
  </si>
  <si>
    <t>AMAZON,AMAZONDS,ASHFURNDS,CSNSTORES,HDDS,JCPENNEY01,KOHLDSN,TGTDVS</t>
  </si>
  <si>
    <t>34381036-000-003</t>
  </si>
  <si>
    <t>9/23/2019</t>
  </si>
  <si>
    <t>MP40-7751</t>
  </si>
  <si>
    <t>34x64"</t>
  </si>
  <si>
    <t>AMAZON,CSNSTORES,HDDS,JCPENNEY01</t>
  </si>
  <si>
    <t>34381036-000-026</t>
  </si>
  <si>
    <t>12/13/2021</t>
  </si>
  <si>
    <t>MP40-6548</t>
  </si>
  <si>
    <t>A++</t>
  </si>
  <si>
    <t>PP001307;PF004745</t>
  </si>
  <si>
    <t>AMAZON,AMAZONDS,ASHFURNDS,CSNSTORES,JCPENNEY01,KOHLDSN,TGTDVS</t>
  </si>
  <si>
    <t>34381036-000-005</t>
  </si>
  <si>
    <t>MP40-7868</t>
  </si>
  <si>
    <t>PP001307;PF005660</t>
  </si>
  <si>
    <t>AMAZONDS,CSNSTORES,HDDS,JCPENNEY01,KOHLDSN</t>
  </si>
  <si>
    <t>34381036-000-035</t>
  </si>
  <si>
    <t>4/12/2022</t>
  </si>
  <si>
    <t>MP40-7323</t>
  </si>
  <si>
    <t>AMAZON,CSNSTORES,HDDS,JCPENNEY01,KOHLDSN,TGTDVS,Zulily</t>
  </si>
  <si>
    <t>34381036-000-018</t>
  </si>
  <si>
    <t>1/14/2021</t>
  </si>
  <si>
    <t>MP40-7324</t>
  </si>
  <si>
    <t>AMAZON,AMAZONDS,CSNSTORES,HDDS,JCPENNEY01,KIRKLANDDS,KOHLDSN,OLLIIX,TGTDVS</t>
  </si>
  <si>
    <t>34381036-000-024</t>
  </si>
  <si>
    <t>2/2/2021</t>
  </si>
  <si>
    <t>MP40-7325</t>
  </si>
  <si>
    <t>AMAZON,AMAZONDS,CSNSTORES,HDDS,HOUZZ,JCPENNEY01,KIRKLANDDS,KOHLDSN,MACY02,NRTPORT,TGTDVS</t>
  </si>
  <si>
    <t>34381036-000-023</t>
  </si>
  <si>
    <t>MP40-7326</t>
  </si>
  <si>
    <t>AMAZON,AMAZONDS,CSNSTORES,HDDS,JCPENNEY01,KOHLDSN,TGTDVS,Zulily</t>
  </si>
  <si>
    <t>34381036-000-022</t>
  </si>
  <si>
    <t>1/6/2021</t>
  </si>
  <si>
    <t>2/1/2021</t>
  </si>
  <si>
    <t>MP40-7864</t>
  </si>
  <si>
    <t>23x64"</t>
  </si>
  <si>
    <t>PP001307;PF005195</t>
  </si>
  <si>
    <t>AMAZONDS,CSNSTORES,HDDS,JCPENNEY01,KOHLDSN,NRTPORT</t>
  </si>
  <si>
    <t>34381036-000-037</t>
  </si>
  <si>
    <t>MP40-7223</t>
  </si>
  <si>
    <t>9/2/2020</t>
  </si>
  <si>
    <t>AMAZON,AMAZONDS,CSNSTORES,HDDS,JCPENNEY01,KOHLDSN,OLLIIX,TGTDVS</t>
  </si>
  <si>
    <t>34381036-000-011</t>
  </si>
  <si>
    <t>9/1/2020</t>
  </si>
  <si>
    <t>MP40-7865</t>
  </si>
  <si>
    <t>34381036-000-038</t>
  </si>
  <si>
    <t>MP40-7225</t>
  </si>
  <si>
    <t>34381036-000-014</t>
  </si>
  <si>
    <t>9/8/2020</t>
  </si>
  <si>
    <t>CCL10-0015</t>
  </si>
  <si>
    <t>Galleria</t>
  </si>
  <si>
    <t>4 Piece Brown Comforter Set</t>
  </si>
  <si>
    <t>Patchwork</t>
  </si>
  <si>
    <t>10/25/2022</t>
  </si>
  <si>
    <t>AMAZON,CSNSTORES,JCPENNEY01,KOHLDSN,OLLIIX</t>
  </si>
  <si>
    <t>42181772-000-004</t>
  </si>
  <si>
    <t>4/7/2024</t>
  </si>
  <si>
    <t>CCL10-0012</t>
  </si>
  <si>
    <t>4 Piece Red Comforter Set</t>
  </si>
  <si>
    <t>42181772-000-005</t>
  </si>
  <si>
    <t>LCN51N-0028</t>
  </si>
  <si>
    <t>Clean Spaces</t>
  </si>
  <si>
    <t>Gauze</t>
  </si>
  <si>
    <t>100% Cotton Lightweight Blanket</t>
  </si>
  <si>
    <t>PP001581;PF005314</t>
  </si>
  <si>
    <t>1/15/2021</t>
  </si>
  <si>
    <t>AMAZONDS,BLK01,CSNSTORES,JCPENNEY01,KOHLDSN,MACY02,OLLIIX,TGTDVS,ZOLA</t>
  </si>
  <si>
    <t>37310914-000-004</t>
  </si>
  <si>
    <t>CSP51N-1531</t>
  </si>
  <si>
    <t>PP001581;PF006165</t>
  </si>
  <si>
    <t>2/13/2024</t>
  </si>
  <si>
    <t>37310914-000-009</t>
  </si>
  <si>
    <t>3/20/2024</t>
  </si>
  <si>
    <t>PET63PT6028</t>
  </si>
  <si>
    <t>Geo</t>
  </si>
  <si>
    <t>Pet Throw</t>
  </si>
  <si>
    <t>Navy/Grey</t>
  </si>
  <si>
    <t>4/14/2023</t>
  </si>
  <si>
    <t>43822302-000-000</t>
  </si>
  <si>
    <t>UH95C-0002</t>
  </si>
  <si>
    <t>Gilded Feathers</t>
  </si>
  <si>
    <t>Gold Foil 2-piece Canvas Wall Art Set</t>
  </si>
  <si>
    <t>PF001877</t>
  </si>
  <si>
    <t>Global Inspired</t>
  </si>
  <si>
    <t>AMAZON,DESINC,KIRKLANDDS,KOHLDSN,OLLIIX,TGTDVS</t>
  </si>
  <si>
    <t>19507335-000-000</t>
  </si>
  <si>
    <t>9/14/2016</t>
  </si>
  <si>
    <t>10/5/2016</t>
  </si>
  <si>
    <t>MT95G-0087</t>
  </si>
  <si>
    <t>Gilded Trio</t>
  </si>
  <si>
    <t>Gold Metallic Leaf Square Framed Graphic Wall Decor 3-Piece Set</t>
  </si>
  <si>
    <t>Black/Gold</t>
  </si>
  <si>
    <t>MT Lily Pond</t>
  </si>
  <si>
    <t>2/7/2024</t>
  </si>
  <si>
    <t>AMAZON,CSNSTORES,KIRKLANDDS,KOHLDSN</t>
  </si>
  <si>
    <t>43651870-000-000</t>
  </si>
  <si>
    <t>3/3/2024</t>
  </si>
  <si>
    <t>MT153-0051</t>
  </si>
  <si>
    <t>Glendale</t>
  </si>
  <si>
    <t>Ribbed Ceramic Table Lamp</t>
  </si>
  <si>
    <t>AMAZON,CSNSTORES,JCPENNEY01,KOHLDSN,OLLIIX,ROOMECOM,TGTDVS</t>
  </si>
  <si>
    <t>39048872-000-000</t>
  </si>
  <si>
    <t>MP95C-0173</t>
  </si>
  <si>
    <t>Glimmer</t>
  </si>
  <si>
    <t>Heavily Embellished 2-piece Canvas Wall Art Set</t>
  </si>
  <si>
    <t>2-Piece</t>
  </si>
  <si>
    <t>PP001036;PF004517</t>
  </si>
  <si>
    <t>Hotel|Modern/Contemporary</t>
  </si>
  <si>
    <t>11/5/2018</t>
  </si>
  <si>
    <t>AMAZON,AMERSIGNDS,CSNSTORES,KIRKLANDDS,KOHLDSN,LOWESDS,MACY02,OLLIIX,ROOMECOM,TGTDVS,Zulily</t>
  </si>
  <si>
    <t>30876297-000-000</t>
  </si>
  <si>
    <t>1/17/2019</t>
  </si>
  <si>
    <t>MP95C-0268</t>
  </si>
  <si>
    <t>PF005465</t>
  </si>
  <si>
    <t>4/23/2021</t>
  </si>
  <si>
    <t>AMAZON,AMAZONDS,AMERSIGNDS,BLK01,CSNSTORES,JCPENNEY01,KIRKLANDDS,KOHLDSN,LAMPDS,LOWESDS,MACY02,OLLIIX,ROOMECOM,TGTDVS,Zulily</t>
  </si>
  <si>
    <t>30876297-000-001</t>
  </si>
  <si>
    <t>4/28/2021</t>
  </si>
  <si>
    <t>5/5/2021</t>
  </si>
  <si>
    <t>5DS153-0030</t>
  </si>
  <si>
    <t>Gypsy</t>
  </si>
  <si>
    <t>Embossed Boho Table Lamp</t>
  </si>
  <si>
    <t>12/7/2018</t>
  </si>
  <si>
    <t>AMERSIGNDS,CSNSTORES,JCPENNEY01,KIRKLANDDS,KOHLDSN,MACY02,OLLIIX,ROOMECOM,TGTDVS,Zulily</t>
  </si>
  <si>
    <t>31694933-000-000</t>
  </si>
  <si>
    <t>1/11/2019</t>
  </si>
  <si>
    <t>1/29/2019</t>
  </si>
  <si>
    <t>TN50-0483</t>
  </si>
  <si>
    <t>Filled Blanket</t>
  </si>
  <si>
    <t>Hadly</t>
  </si>
  <si>
    <t>Wearable Multipurpose Throw</t>
  </si>
  <si>
    <t>62x68"</t>
  </si>
  <si>
    <t>PP001804;PF005796</t>
  </si>
  <si>
    <t>11/15/2022</t>
  </si>
  <si>
    <t>AMAZON,AMAZONDS,BLK01,CSNSTORES,KOHLDSN,MACY02,OLLIIX,TGTDVS,Zulily</t>
  </si>
  <si>
    <t>40804224-000-001</t>
  </si>
  <si>
    <t>11/30/2022</t>
  </si>
  <si>
    <t>1/23/2023</t>
  </si>
  <si>
    <t>TN50-0484</t>
  </si>
  <si>
    <t>PP001804;PF005797</t>
  </si>
  <si>
    <t>AMAZONDS,BLK01,KOHLDSN,MACY02,OLLIIX,Zulily</t>
  </si>
  <si>
    <t>40804224-000-000</t>
  </si>
  <si>
    <t>HH10-1683</t>
  </si>
  <si>
    <t>Hallie</t>
  </si>
  <si>
    <t>6 Piece Cotton Comforter Set</t>
  </si>
  <si>
    <t>PF004246</t>
  </si>
  <si>
    <t>Damask</t>
  </si>
  <si>
    <t>12/14/2017</t>
  </si>
  <si>
    <t>26568495-000-003</t>
  </si>
  <si>
    <t>4/2/2018</t>
  </si>
  <si>
    <t>7/31/2018</t>
  </si>
  <si>
    <t>NS12-3251</t>
  </si>
  <si>
    <t>Hanae</t>
  </si>
  <si>
    <t>Cotton Blend Yarn Dyed 3 Piece Duvet Cover Set</t>
  </si>
  <si>
    <t>PP000991;PF004456</t>
  </si>
  <si>
    <t>9/30/2018</t>
  </si>
  <si>
    <t>ASHFURNDS,BLK01,MACY02</t>
  </si>
  <si>
    <t>29058248-000-003</t>
  </si>
  <si>
    <t>10/1/2018</t>
  </si>
  <si>
    <t>NS30-3254</t>
  </si>
  <si>
    <t>Embroidered Cotton Oblong Decorative Pillow</t>
  </si>
  <si>
    <t>PP000991</t>
  </si>
  <si>
    <t>AMAZONDS,CSNSTORES,HSNDS,KOHLDSN,MACY02,OLLIIX</t>
  </si>
  <si>
    <t>29058473-000-000</t>
  </si>
  <si>
    <t>5/28/2019</t>
  </si>
  <si>
    <t>FPF18-0468</t>
  </si>
  <si>
    <t>Hancock</t>
  </si>
  <si>
    <t>Irvine</t>
  </si>
  <si>
    <t>Silloth</t>
  </si>
  <si>
    <t>Button Tufted Back Accent Chair</t>
  </si>
  <si>
    <t>PF000722;PP000169</t>
  </si>
  <si>
    <t>CSNSTORES,KIRKLANDDS,MACY02F,OLLIIX</t>
  </si>
  <si>
    <t>18344591-000-000</t>
  </si>
  <si>
    <t>2/23/2016</t>
  </si>
  <si>
    <t>FPF18-0401</t>
  </si>
  <si>
    <t>Isa</t>
  </si>
  <si>
    <t>Lilith</t>
  </si>
  <si>
    <t>Button Tufted Wing Chair</t>
  </si>
  <si>
    <t>PF000692;PP000170</t>
  </si>
  <si>
    <t>AMERSIGNDS,CASTLEGATE,CSNSTORES,KOHLDSN,MACY02F,OLLIIX</t>
  </si>
  <si>
    <t>18800683-000-001</t>
  </si>
  <si>
    <t>12/6/2018</t>
  </si>
  <si>
    <t>4/23/2019</t>
  </si>
  <si>
    <t>MP40-4525</t>
  </si>
  <si>
    <t>Harper</t>
  </si>
  <si>
    <t>Kaylee</t>
  </si>
  <si>
    <t>Avery</t>
  </si>
  <si>
    <t>Solid Crushed Curtain Panel Pair</t>
  </si>
  <si>
    <t>PF003909</t>
  </si>
  <si>
    <t>7/14/2017</t>
  </si>
  <si>
    <t>AMAZON,CSNSTORES,DESINC,JCPENNEY01,KOHLDSN,OLLIIX,TGTDVS,WALMARTDS</t>
  </si>
  <si>
    <t>23304113-000-021</t>
  </si>
  <si>
    <t>7/28/2017</t>
  </si>
  <si>
    <t>10/3/2017</t>
  </si>
  <si>
    <t>MP40-4486</t>
  </si>
  <si>
    <t>PF003910</t>
  </si>
  <si>
    <t>JCPENNEY01,KOHLDSN,TGTDVS</t>
  </si>
  <si>
    <t>23304113-000-002</t>
  </si>
  <si>
    <t>9/7/2017</t>
  </si>
  <si>
    <t>MP40-4501</t>
  </si>
  <si>
    <t>PF003912</t>
  </si>
  <si>
    <t>AMAZON,AMAZONDS,CSNSTORES,JCPENNEY01,KOHLDSN,OLLIIX,TGTDVS,WALMARTDS</t>
  </si>
  <si>
    <t>23304113-000-017</t>
  </si>
  <si>
    <t>MP40-4502</t>
  </si>
  <si>
    <t>AMAZON,JCPENNEY01,KOHLDSN,OLLIIX,TGTDVS</t>
  </si>
  <si>
    <t>23304113-000-018</t>
  </si>
  <si>
    <t>9/4/2018</t>
  </si>
  <si>
    <t>MP40-4498</t>
  </si>
  <si>
    <t>PF003913</t>
  </si>
  <si>
    <t>CSNSTORES,JCPENNEY01,KOHLDSN,OLLIIX,TGTDVS,WALMARTDS</t>
  </si>
  <si>
    <t>23304113-000-014</t>
  </si>
  <si>
    <t>MT153-0072</t>
  </si>
  <si>
    <t>Hawley</t>
  </si>
  <si>
    <t>Faux Leather Table Lamp</t>
  </si>
  <si>
    <t>Gold/Brown</t>
  </si>
  <si>
    <t>AMAZON,AMAZONDS,CSNSTORES,JCPENNEY01,KOHLDSN,OLLIIX</t>
  </si>
  <si>
    <t>43060812-000-000</t>
  </si>
  <si>
    <t>11/21/2023</t>
  </si>
  <si>
    <t>11/30/2023</t>
  </si>
  <si>
    <t>BR54-0388</t>
  </si>
  <si>
    <t>Heated Microlight to Berber</t>
  </si>
  <si>
    <t>Chocolate</t>
  </si>
  <si>
    <t>PF003603</t>
  </si>
  <si>
    <t>Berber</t>
  </si>
  <si>
    <t>10/11/2017</t>
  </si>
  <si>
    <t>AMAZON,AMAZONDS,BLK01,BLOOM02,CSNSTORES,FINGERHUTDS,HDDS,KOHLDSN,MACY02,WALMARTDS</t>
  </si>
  <si>
    <t>16659779-000-011</t>
  </si>
  <si>
    <t>12/31/2015</t>
  </si>
  <si>
    <t>7/20/2015</t>
  </si>
  <si>
    <t>BR54-0381</t>
  </si>
  <si>
    <t>PF003602</t>
  </si>
  <si>
    <t>AMAZON,AMAZONDS,BLK01,BLOOM02,KOHLDSN,OLLIIX,TGTDVS,WALMARTDS</t>
  </si>
  <si>
    <t>16659779-000-004</t>
  </si>
  <si>
    <t>BR54-0907</t>
  </si>
  <si>
    <t>Heated Plush</t>
  </si>
  <si>
    <t>PF004402</t>
  </si>
  <si>
    <t>11/6/2018</t>
  </si>
  <si>
    <t>AMAZON,AMAZONDS,BLK01,CSNSTORES,HDDS,KOHLDSN,MACY02,WALMARTDS</t>
  </si>
  <si>
    <t>17632904-000-027</t>
  </si>
  <si>
    <t>11/20/2018</t>
  </si>
  <si>
    <t>2/12/2019</t>
  </si>
  <si>
    <t>TN10-0539</t>
  </si>
  <si>
    <t>Down Comforter Filler</t>
  </si>
  <si>
    <t>Heavy Warmth</t>
  </si>
  <si>
    <t>Goose Feather and Down Oversize Comforter</t>
  </si>
  <si>
    <t>PP001803;PF006107</t>
  </si>
  <si>
    <t>40804196-000-004</t>
  </si>
  <si>
    <t>11/27/2023</t>
  </si>
  <si>
    <t>12/4/2023</t>
  </si>
  <si>
    <t>TN10-0540</t>
  </si>
  <si>
    <t>40804196-000-008</t>
  </si>
  <si>
    <t>TN10-0536</t>
  </si>
  <si>
    <t>PP001803;PF006106</t>
  </si>
  <si>
    <t>40804196-000-005</t>
  </si>
  <si>
    <t>12/1/2023</t>
  </si>
  <si>
    <t>TN10-0537</t>
  </si>
  <si>
    <t>40804196-000-006</t>
  </si>
  <si>
    <t>12/3/2023</t>
  </si>
  <si>
    <t>TN10-0538</t>
  </si>
  <si>
    <t>40804196-000-003</t>
  </si>
  <si>
    <t>12/27/2023</t>
  </si>
  <si>
    <t>MP10-6141</t>
  </si>
  <si>
    <t>Heritage</t>
  </si>
  <si>
    <t>Lexington</t>
  </si>
  <si>
    <t>Lawrence</t>
  </si>
  <si>
    <t>8 Piece Comforter and Quilt Set Collection</t>
  </si>
  <si>
    <t>PP001055;PF004550</t>
  </si>
  <si>
    <t>8</t>
  </si>
  <si>
    <t>Border</t>
  </si>
  <si>
    <t>Modern/Contemporary|Casual</t>
  </si>
  <si>
    <t>AMAZON,AMAZONDS,BLK01,CSNSTORES,HSNDS,JCPENNEY01,KOHLDSN,MACY02,NRTPORT,OLLIIX,ZOLA</t>
  </si>
  <si>
    <t>31473979-000-000</t>
  </si>
  <si>
    <t>3/6/2019</t>
  </si>
  <si>
    <t>MP100-0617</t>
  </si>
  <si>
    <t>Heston</t>
  </si>
  <si>
    <t>Lea</t>
  </si>
  <si>
    <t>Kileen</t>
  </si>
  <si>
    <t>1/17/2018</t>
  </si>
  <si>
    <t>ASHFURNDS,CSNSTORES,HDDS,MACY02F,OLLIIX</t>
  </si>
  <si>
    <t>26113868-000-000</t>
  </si>
  <si>
    <t>6/22/2018</t>
  </si>
  <si>
    <t>BASI16-0237</t>
  </si>
  <si>
    <t>Mattress Pad</t>
  </si>
  <si>
    <t>Highline</t>
  </si>
  <si>
    <t>Montview</t>
  </si>
  <si>
    <t>3M Microfiber Mattress Pad</t>
  </si>
  <si>
    <t>PF002082</t>
  </si>
  <si>
    <t>BIGLOTSDS,CSNSTORES,JCPENNEY01,KOHLDSN,MACY02,OLLIIX,TGTDVS,WALMARTDS</t>
  </si>
  <si>
    <t>16347369-000-001</t>
  </si>
  <si>
    <t>FPF18-0053</t>
  </si>
  <si>
    <t>Hilton</t>
  </si>
  <si>
    <t>Sheldon</t>
  </si>
  <si>
    <t>Bally</t>
  </si>
  <si>
    <t>Armless Accent Chair</t>
  </si>
  <si>
    <t>PF000592;PP000176</t>
  </si>
  <si>
    <t>AMERSIGNDS,ASHFURNDS,CASTLEGATE,CSNSTORES,HDDS,KOHLDSN,MACY02F,OLLIIX</t>
  </si>
  <si>
    <t>17879871-000-000</t>
  </si>
  <si>
    <t>12/2/2015</t>
  </si>
  <si>
    <t>MP10-8277</t>
  </si>
  <si>
    <t>Honeycomb Textured</t>
  </si>
  <si>
    <t>PP001896;PF006053</t>
  </si>
  <si>
    <t>9/8/2023</t>
  </si>
  <si>
    <t>CSNSTORES,HDDS,KOHLDSN,MACY02,OLLIIX</t>
  </si>
  <si>
    <t>42617993-000-000</t>
  </si>
  <si>
    <t>9/12/2023</t>
  </si>
  <si>
    <t>MP10-8337</t>
  </si>
  <si>
    <t>Ibiza</t>
  </si>
  <si>
    <t>Alba</t>
  </si>
  <si>
    <t>Triana</t>
  </si>
  <si>
    <t>4 Piece Printed Comforter Set with Throw Pillow</t>
  </si>
  <si>
    <t>Black/Ivory</t>
  </si>
  <si>
    <t>PP001913;PF006112</t>
  </si>
  <si>
    <t>Boho</t>
  </si>
  <si>
    <t>43626571-000-000</t>
  </si>
  <si>
    <t>MP12-8339</t>
  </si>
  <si>
    <t>4 Piece Printed Duvet Cover Set with Throw Pillow</t>
  </si>
  <si>
    <t>43642761-000-000</t>
  </si>
  <si>
    <t>4/15/2024</t>
  </si>
  <si>
    <t>MP12-8340</t>
  </si>
  <si>
    <t>43642761-000-001</t>
  </si>
  <si>
    <t>4/9/2024</t>
  </si>
  <si>
    <t>LAF04-0017</t>
  </si>
  <si>
    <t>APL</t>
  </si>
  <si>
    <t>ROBE</t>
  </si>
  <si>
    <t>Robe</t>
  </si>
  <si>
    <t>II000133</t>
  </si>
  <si>
    <t>Cotton Solid Terry Robe</t>
  </si>
  <si>
    <t>S/M</t>
  </si>
  <si>
    <t>AMAZONDS,JCPENNEY01,MACY02</t>
  </si>
  <si>
    <t>37254726-000-001</t>
  </si>
  <si>
    <t>12/16/2020</t>
  </si>
  <si>
    <t>12/28/2020</t>
  </si>
  <si>
    <t>LAF04-0018</t>
  </si>
  <si>
    <t>L/XL</t>
  </si>
  <si>
    <t>AMAZONDS,BLK01,JCPENNEY01,MACY02</t>
  </si>
  <si>
    <t>37254726-000-000</t>
  </si>
  <si>
    <t>3/8/2021</t>
  </si>
  <si>
    <t>II04-3015</t>
  </si>
  <si>
    <t>Cotton Terry Solid Robe</t>
  </si>
  <si>
    <t>Mint</t>
  </si>
  <si>
    <t>CSNSTORES,JCPENNEY01,MACY02</t>
  </si>
  <si>
    <t>43658574-000-000</t>
  </si>
  <si>
    <t>6/3/2024</t>
  </si>
  <si>
    <t>II04-3016</t>
  </si>
  <si>
    <t>AMAZON,BLK01,JCPENNEY01,MACY02</t>
  </si>
  <si>
    <t>43658574-000-001</t>
  </si>
  <si>
    <t>9/18/2024</t>
  </si>
  <si>
    <t>LAF04-0019</t>
  </si>
  <si>
    <t>BLK01,JCPENNEY01,MACY02</t>
  </si>
  <si>
    <t>37254725-000-001</t>
  </si>
  <si>
    <t>2/17/2021</t>
  </si>
  <si>
    <t>3/5/2021</t>
  </si>
  <si>
    <t>LAF04-0020</t>
  </si>
  <si>
    <t>37254725-000-000</t>
  </si>
  <si>
    <t>II04-1585</t>
  </si>
  <si>
    <t>II317125</t>
  </si>
  <si>
    <t>L/S Paisley Print Lite Micro 42" Robe</t>
  </si>
  <si>
    <t>Bedouin blue 447</t>
  </si>
  <si>
    <t>11/6/2017</t>
  </si>
  <si>
    <t>MACY02</t>
  </si>
  <si>
    <t>43663099-000-003</t>
  </si>
  <si>
    <t>II04-1586</t>
  </si>
  <si>
    <t>AMAZONDS,BLK01,MACY02</t>
  </si>
  <si>
    <t>43663099-000-002</t>
  </si>
  <si>
    <t>II04-1587</t>
  </si>
  <si>
    <t>Bedouin gray 057</t>
  </si>
  <si>
    <t>AMAZON,AMAZONDS,MACY02</t>
  </si>
  <si>
    <t>43663099-000-000</t>
  </si>
  <si>
    <t>3/7/2024</t>
  </si>
  <si>
    <t>5/1/2024</t>
  </si>
  <si>
    <t>II04-1588</t>
  </si>
  <si>
    <t>43663099-000-001</t>
  </si>
  <si>
    <t>3/13/2024</t>
  </si>
  <si>
    <t>II04-8099</t>
  </si>
  <si>
    <t>II422156</t>
  </si>
  <si>
    <t>Women's Zip front plush robe</t>
  </si>
  <si>
    <t>XS</t>
  </si>
  <si>
    <t>Chalky Rose</t>
  </si>
  <si>
    <t>5/2/2022</t>
  </si>
  <si>
    <t>AMAZONDS,MACY02</t>
  </si>
  <si>
    <t>43639017-000-006</t>
  </si>
  <si>
    <t>3/1/2024</t>
  </si>
  <si>
    <t>7/22/2024</t>
  </si>
  <si>
    <t>II04-8100</t>
  </si>
  <si>
    <t>S</t>
  </si>
  <si>
    <t>43639017-000-002</t>
  </si>
  <si>
    <t>8/29/2024</t>
  </si>
  <si>
    <t>II04-8102</t>
  </si>
  <si>
    <t>L</t>
  </si>
  <si>
    <t>43639017-000-005</t>
  </si>
  <si>
    <t>9/10/2024</t>
  </si>
  <si>
    <t>II04-8104</t>
  </si>
  <si>
    <t>XXL</t>
  </si>
  <si>
    <t>43639017-000-013</t>
  </si>
  <si>
    <t>II04-8093</t>
  </si>
  <si>
    <t>Quiet Gray</t>
  </si>
  <si>
    <t>43639017-000-000</t>
  </si>
  <si>
    <t>II04-8094</t>
  </si>
  <si>
    <t>AMAZONDS,CSNSTORES,MACY02</t>
  </si>
  <si>
    <t>43639017-000-009</t>
  </si>
  <si>
    <t>II04-8096</t>
  </si>
  <si>
    <t>CSNSTORES,MACY02</t>
  </si>
  <si>
    <t>43639017-000-014</t>
  </si>
  <si>
    <t>II04-8097</t>
  </si>
  <si>
    <t>43639017-000-010</t>
  </si>
  <si>
    <t>II04-8098</t>
  </si>
  <si>
    <t>43639017-000-011</t>
  </si>
  <si>
    <t>II04-8105</t>
  </si>
  <si>
    <t>Rich Concord</t>
  </si>
  <si>
    <t>43639017-000-008</t>
  </si>
  <si>
    <t>II04-8106</t>
  </si>
  <si>
    <t>43639017-000-012</t>
  </si>
  <si>
    <t>II04-8108</t>
  </si>
  <si>
    <t>43639017-000-001</t>
  </si>
  <si>
    <t>II04-9609</t>
  </si>
  <si>
    <t>IM222101</t>
  </si>
  <si>
    <t>XS/S IM222101 Robe</t>
  </si>
  <si>
    <t>XS/S</t>
  </si>
  <si>
    <t>Black 001</t>
  </si>
  <si>
    <t>JCPENNEY01,MACY02</t>
  </si>
  <si>
    <t>43663098-000-013</t>
  </si>
  <si>
    <t>II04-9610</t>
  </si>
  <si>
    <t>M/L IM222101 Robe</t>
  </si>
  <si>
    <t>M/L</t>
  </si>
  <si>
    <t>43663098-000-006</t>
  </si>
  <si>
    <t>4/5/2024</t>
  </si>
  <si>
    <t>II04-9611</t>
  </si>
  <si>
    <t>XL/XXL IM222101 Robe</t>
  </si>
  <si>
    <t>XL/XXL</t>
  </si>
  <si>
    <t>43663098-000-002</t>
  </si>
  <si>
    <t>II04-8419</t>
  </si>
  <si>
    <t>Men cotton robe</t>
  </si>
  <si>
    <t>Claret 657</t>
  </si>
  <si>
    <t>11/4/2022</t>
  </si>
  <si>
    <t>43663098-000-001</t>
  </si>
  <si>
    <t>II04-8420</t>
  </si>
  <si>
    <t>43663098-000-011</t>
  </si>
  <si>
    <t>4/1/2024</t>
  </si>
  <si>
    <t>II04-8421</t>
  </si>
  <si>
    <t>43663098-000-014</t>
  </si>
  <si>
    <t>3/11/2024</t>
  </si>
  <si>
    <t>II04-8416</t>
  </si>
  <si>
    <t>Denim 459</t>
  </si>
  <si>
    <t>43663098-000-010</t>
  </si>
  <si>
    <t>II04-8417</t>
  </si>
  <si>
    <t>43663098-000-003</t>
  </si>
  <si>
    <t>II04-8418</t>
  </si>
  <si>
    <t>43663098-000-017</t>
  </si>
  <si>
    <t>8/23/2024</t>
  </si>
  <si>
    <t>II04-8410</t>
  </si>
  <si>
    <t>Med Navy 411</t>
  </si>
  <si>
    <t>43663098-000-004</t>
  </si>
  <si>
    <t>II04-8411</t>
  </si>
  <si>
    <t>43663098-000-007</t>
  </si>
  <si>
    <t>II04-8412</t>
  </si>
  <si>
    <t>43663098-000-009</t>
  </si>
  <si>
    <t>II04-8413</t>
  </si>
  <si>
    <t>Steel 030</t>
  </si>
  <si>
    <t>43663098-000-016</t>
  </si>
  <si>
    <t>II04-8414</t>
  </si>
  <si>
    <t>43663098-000-008</t>
  </si>
  <si>
    <t>3/19/2024</t>
  </si>
  <si>
    <t>II04-8415</t>
  </si>
  <si>
    <t>43663098-000-000</t>
  </si>
  <si>
    <t>4/4/2024</t>
  </si>
  <si>
    <t>II04-8407</t>
  </si>
  <si>
    <t>White 100</t>
  </si>
  <si>
    <t>43663098-000-012</t>
  </si>
  <si>
    <t>5/29/2024</t>
  </si>
  <si>
    <t>II04-8408</t>
  </si>
  <si>
    <t>AMAZONDS,BLK01,CSNSTORES,JCPENNEY01,MACY02</t>
  </si>
  <si>
    <t>43663098-000-015</t>
  </si>
  <si>
    <t>II04-8409</t>
  </si>
  <si>
    <t>43663098-000-005</t>
  </si>
  <si>
    <t>8/6/2024</t>
  </si>
  <si>
    <t>MP40-1066</t>
  </si>
  <si>
    <t>Irina</t>
  </si>
  <si>
    <t>Iris</t>
  </si>
  <si>
    <t>Clarissa</t>
  </si>
  <si>
    <t>Diamond Sheer Window Curtain Panel</t>
  </si>
  <si>
    <t>PF004007</t>
  </si>
  <si>
    <t>AMAZON,CSNSTORES,HDDS,JCPENNEY01,KOHLDSN,OLLIIX</t>
  </si>
  <si>
    <t>16620318-000-002</t>
  </si>
  <si>
    <t>MP40-4942</t>
  </si>
  <si>
    <t>Window Scarf</t>
  </si>
  <si>
    <t>Diamond Sheer Embroidered Window Scarf</t>
  </si>
  <si>
    <t>50x144"</t>
  </si>
  <si>
    <t>8/22/2017</t>
  </si>
  <si>
    <t>AMAZON,BLK01,CSNSTORES,JCPENNEY01,KOHLDSN,TGTDVS,WALMARTDS</t>
  </si>
  <si>
    <t>23864061-000-004</t>
  </si>
  <si>
    <t>10/22/2017</t>
  </si>
  <si>
    <t>MP41-4941</t>
  </si>
  <si>
    <t>Diamond Sheer Embroidered Waterfall Valance</t>
  </si>
  <si>
    <t>38x46"</t>
  </si>
  <si>
    <t>23864062-000-002</t>
  </si>
  <si>
    <t>MP40-2333</t>
  </si>
  <si>
    <t>PF004006</t>
  </si>
  <si>
    <t>AMAZON,JCPENNEY01,TGTDVS</t>
  </si>
  <si>
    <t>16620318-000-004</t>
  </si>
  <si>
    <t>2/26/2017</t>
  </si>
  <si>
    <t>MP40-4938</t>
  </si>
  <si>
    <t>AMAZON,BLK01,CSNSTORES,DESINC,JCPENNEY01,KOHLDSN,TGTDVS</t>
  </si>
  <si>
    <t>23864061-000-002</t>
  </si>
  <si>
    <t>10/20/2017</t>
  </si>
  <si>
    <t>MP41-4937</t>
  </si>
  <si>
    <t>AMAZON,BIGLOTSDS,CSNSTORES,JCPENNEY01,KOHLDSN,TGTDVS,WALMARTDS</t>
  </si>
  <si>
    <t>23864062-000-001</t>
  </si>
  <si>
    <t>MP40-4939</t>
  </si>
  <si>
    <t>50x216"</t>
  </si>
  <si>
    <t>23864061-000-003</t>
  </si>
  <si>
    <t>MP40-1064</t>
  </si>
  <si>
    <t>PF004005</t>
  </si>
  <si>
    <t>AMAZON,ASHFURNDS,CSNSTORES,HDDS,JCPENNEY01,KOHLDSN,TGTDVS</t>
  </si>
  <si>
    <t>16620318-000-000</t>
  </si>
  <si>
    <t>MP40-4935</t>
  </si>
  <si>
    <t>AMAZON,BLK01,CSNSTORES,KOHLDSN,OLLIIX</t>
  </si>
  <si>
    <t>23864061-000-001</t>
  </si>
  <si>
    <t>9/6/2017</t>
  </si>
  <si>
    <t>MP40-2331</t>
  </si>
  <si>
    <t>White/Grey</t>
  </si>
  <si>
    <t>PF004008</t>
  </si>
  <si>
    <t>AMAZON,AMAZONDS,ASHFURNDS,KOHLDSN</t>
  </si>
  <si>
    <t>16620318-000-007</t>
  </si>
  <si>
    <t>8/4/2016</t>
  </si>
  <si>
    <t>II115-0555</t>
  </si>
  <si>
    <t>BED</t>
  </si>
  <si>
    <t>Bed</t>
  </si>
  <si>
    <t>Jameson</t>
  </si>
  <si>
    <t>Woven Faux Leather Bed Queen</t>
  </si>
  <si>
    <t>12/21/2023</t>
  </si>
  <si>
    <t>43333363-000-000</t>
  </si>
  <si>
    <t>7/1/2024</t>
  </si>
  <si>
    <t>II136-0554</t>
  </si>
  <si>
    <t>NIGHTSTAND</t>
  </si>
  <si>
    <t>Nightstand</t>
  </si>
  <si>
    <t>Modern One Drawer Waterfall Nightstand</t>
  </si>
  <si>
    <t>12/29/2023</t>
  </si>
  <si>
    <t>CSNSTORES,HDDS,MACY02F,OLLIIX,TGTDVS</t>
  </si>
  <si>
    <t>43333441-000-000</t>
  </si>
  <si>
    <t>MT100-0123</t>
  </si>
  <si>
    <t>Jayco</t>
  </si>
  <si>
    <t>AMAZONDS,ASHFURNDS,CSNSTORES,HOUZZ,JCPENNEY01,MACY02F,OLLIIX,ROOMECOM,ZOLA</t>
  </si>
  <si>
    <t>37399235-000-000</t>
  </si>
  <si>
    <t>2/23/2021</t>
  </si>
  <si>
    <t>MT100-0177</t>
  </si>
  <si>
    <t>10/3/2023</t>
  </si>
  <si>
    <t>AMAZONDS,OLLIIX</t>
  </si>
  <si>
    <t>37399235-000-001</t>
  </si>
  <si>
    <t>MP10-8321</t>
  </si>
  <si>
    <t>Jenson</t>
  </si>
  <si>
    <t>Denver</t>
  </si>
  <si>
    <t>Clement</t>
  </si>
  <si>
    <t>7 Piece Color Block Stripe Comforter Set with Throw Pillows</t>
  </si>
  <si>
    <t>PP001911;PF006094</t>
  </si>
  <si>
    <t>1/27/2024</t>
  </si>
  <si>
    <t>43474584-000-003</t>
  </si>
  <si>
    <t>1/29/2024</t>
  </si>
  <si>
    <t>2/23/2024</t>
  </si>
  <si>
    <t>MP10-8324</t>
  </si>
  <si>
    <t>Spice</t>
  </si>
  <si>
    <t>PP001911;PF006095</t>
  </si>
  <si>
    <t>1/26/2024</t>
  </si>
  <si>
    <t>OLLIIX</t>
  </si>
  <si>
    <t>43474584-000-002</t>
  </si>
  <si>
    <t>1/30/2024</t>
  </si>
  <si>
    <t>ID13-1100</t>
  </si>
  <si>
    <t>Coverlet &amp; Bedspread</t>
  </si>
  <si>
    <t>Joni</t>
  </si>
  <si>
    <t>Adley</t>
  </si>
  <si>
    <t>Callie</t>
  </si>
  <si>
    <t>Reversible Quilt Set with Throw Pillows</t>
  </si>
  <si>
    <t>PF001714</t>
  </si>
  <si>
    <t>Global Inspired|Modern/Contemporary</t>
  </si>
  <si>
    <t>AMAZON,CSNSTORES,JCPENNEY01,KIRKLANDDS,KOHLDSN,MACY02,TGTDVS</t>
  </si>
  <si>
    <t>20668191-000-000</t>
  </si>
  <si>
    <t>1/10/2017</t>
  </si>
  <si>
    <t>MP103-0246</t>
  </si>
  <si>
    <t>Manual Recliner</t>
  </si>
  <si>
    <t>Julian</t>
  </si>
  <si>
    <t>Evanston</t>
  </si>
  <si>
    <t>Lenox</t>
  </si>
  <si>
    <t>Push Back Recliner</t>
  </si>
  <si>
    <t>Sand</t>
  </si>
  <si>
    <t>PF001106</t>
  </si>
  <si>
    <t>6/11/2017</t>
  </si>
  <si>
    <t>ASHFURNDS,CSNSTORES,JCPENNEY01,KIRKLANDDS,KOHLDSN,MACY02F,OLLIIX,ROOMECOM</t>
  </si>
  <si>
    <t>22858581-000-000</t>
  </si>
  <si>
    <t>6/22/2017</t>
  </si>
  <si>
    <t>SS40-0025</t>
  </si>
  <si>
    <t>Julie</t>
  </si>
  <si>
    <t>Lila</t>
  </si>
  <si>
    <t>Printed Botanical Blackout Curtain Panel</t>
  </si>
  <si>
    <t>PF003952</t>
  </si>
  <si>
    <t>9/19/2017</t>
  </si>
  <si>
    <t>23998106-000-003</t>
  </si>
  <si>
    <t>9/17/2017</t>
  </si>
  <si>
    <t>11/1/2017</t>
  </si>
  <si>
    <t>MP103-0937</t>
  </si>
  <si>
    <t>Justin</t>
  </si>
  <si>
    <t>Benton</t>
  </si>
  <si>
    <t>Felton</t>
  </si>
  <si>
    <t>1/9/2020</t>
  </si>
  <si>
    <t>ASHFURNDS,CSNSTORES,HDDS,KIRKLANDDS,KOHLDSN,LAMPDS,OLLIIX,TGTDVS</t>
  </si>
  <si>
    <t>35504205-000-000</t>
  </si>
  <si>
    <t>1/13/2020</t>
  </si>
  <si>
    <t>3/5/2020</t>
  </si>
  <si>
    <t>MP103-1215</t>
  </si>
  <si>
    <t>Kaley</t>
  </si>
  <si>
    <t>Paloma</t>
  </si>
  <si>
    <t>Adobe</t>
  </si>
  <si>
    <t>1/9/2023</t>
  </si>
  <si>
    <t>AMERSIGNDS,KOHLDSN,MACY02F,OLLIIX</t>
  </si>
  <si>
    <t>40968752-000-000</t>
  </si>
  <si>
    <t>5/23/2023</t>
  </si>
  <si>
    <t>MP13-628</t>
  </si>
  <si>
    <t>Coverlet Mini Set</t>
  </si>
  <si>
    <t>Keaton</t>
  </si>
  <si>
    <t>Jaxson</t>
  </si>
  <si>
    <t>Mitchell</t>
  </si>
  <si>
    <t>2 Piece Quilt Set</t>
  </si>
  <si>
    <t>PF003410</t>
  </si>
  <si>
    <t>CSNSTORES,KOHLDSN,MACY02,OLLIIX,TGTDVS</t>
  </si>
  <si>
    <t>18384336-000-000</t>
  </si>
  <si>
    <t>II108-0508</t>
  </si>
  <si>
    <t>Armless Dining Chair Set of 2</t>
  </si>
  <si>
    <t>2/16/2025</t>
  </si>
  <si>
    <t>CSNSTORES,HDDS,KIRKLANDDS,KOHLDSN,MACY02F,OLLIIX</t>
  </si>
  <si>
    <t>28089483-000-001</t>
  </si>
  <si>
    <t>1/10/2023</t>
  </si>
  <si>
    <t>MT136-1207</t>
  </si>
  <si>
    <t>Kenna</t>
  </si>
  <si>
    <t>Dark Coffee</t>
  </si>
  <si>
    <t>AMAZONDS,CSNSTORES,OLLIIX</t>
  </si>
  <si>
    <t>43804838-000-000</t>
  </si>
  <si>
    <t>6/10/2024</t>
  </si>
  <si>
    <t>MP104-0556</t>
  </si>
  <si>
    <t>Kobe</t>
  </si>
  <si>
    <t>Heyes</t>
  </si>
  <si>
    <t>Bryant</t>
  </si>
  <si>
    <t>Counter Stool with Swivel Seat</t>
  </si>
  <si>
    <t>PP000670</t>
  </si>
  <si>
    <t>1/13/2018</t>
  </si>
  <si>
    <t>CSNSTORES,KOHLDSN,MACY02F,OLLIIX,TGTDVS</t>
  </si>
  <si>
    <t>26758927-000-000</t>
  </si>
  <si>
    <t>MP40-7978</t>
  </si>
  <si>
    <t>Kyler</t>
  </si>
  <si>
    <t>Suvi</t>
  </si>
  <si>
    <t>Juno</t>
  </si>
  <si>
    <t>Linen Blend Light Filtering Cordless Roman Shade</t>
  </si>
  <si>
    <t>PP001787;PF005750</t>
  </si>
  <si>
    <t>8/30/2022</t>
  </si>
  <si>
    <t>1/8/2025</t>
  </si>
  <si>
    <t>AMAZONDS,CSNSTORES,HDDS,JCPENNEY01,KOHLDSN,MACY02,OLLIIX</t>
  </si>
  <si>
    <t>40368620-000-000</t>
  </si>
  <si>
    <t>9/6/2022</t>
  </si>
  <si>
    <t>10/18/2022</t>
  </si>
  <si>
    <t>MP40-7982</t>
  </si>
  <si>
    <t>AMAZON,AMAZONDS,CSNSTORES,KOHLDSN,OLLIIX</t>
  </si>
  <si>
    <t>40368620-000-006</t>
  </si>
  <si>
    <t>MP40-7983</t>
  </si>
  <si>
    <t>Linen Blend Light Filtering Curtain Panel Pair</t>
  </si>
  <si>
    <t>2-PK 52x84"</t>
  </si>
  <si>
    <t>PP001787;PF005748</t>
  </si>
  <si>
    <t>8/12/2022</t>
  </si>
  <si>
    <t>AMAZON,ASHFURNDS,JCPENNEY01,KIRKLANDDS,KOHLDSN,OLLIIX</t>
  </si>
  <si>
    <t>40279134-000-001</t>
  </si>
  <si>
    <t>4/24/2024</t>
  </si>
  <si>
    <t>MP40-7969</t>
  </si>
  <si>
    <t>AMAZONDS,CSNSTORES</t>
  </si>
  <si>
    <t>40368620-000-005</t>
  </si>
  <si>
    <t>10/12/2022</t>
  </si>
  <si>
    <t>MP40-7972</t>
  </si>
  <si>
    <t>AMAZON,AMAZONDS,CSNSTORES,HDDS,KOHLDSN</t>
  </si>
  <si>
    <t>40368620-000-002</t>
  </si>
  <si>
    <t>9/22/2022</t>
  </si>
  <si>
    <t>MP10-8346</t>
  </si>
  <si>
    <t>Lacey</t>
  </si>
  <si>
    <t>Marla</t>
  </si>
  <si>
    <t>Arliss</t>
  </si>
  <si>
    <t>7 Piece Lace Trim Comforter Set with Throw Pillows</t>
  </si>
  <si>
    <t>PP001915;PF006121</t>
  </si>
  <si>
    <t>1/13/2024</t>
  </si>
  <si>
    <t>1/10/2025</t>
  </si>
  <si>
    <t>43424540-000-002</t>
  </si>
  <si>
    <t>Tier 4</t>
  </si>
  <si>
    <t>1/14/2024</t>
  </si>
  <si>
    <t>II155-0145</t>
  </si>
  <si>
    <t>LGT-SCONCES</t>
  </si>
  <si>
    <t>Sconces</t>
  </si>
  <si>
    <t>Laguna</t>
  </si>
  <si>
    <t>Rattan Weave Shade Wall Sconce</t>
  </si>
  <si>
    <t>6/9/2023</t>
  </si>
  <si>
    <t>CSNSTORES,HDDS,OLLIIX,TGTDVS</t>
  </si>
  <si>
    <t>41727995-000-000</t>
  </si>
  <si>
    <t>6/11/2023</t>
  </si>
  <si>
    <t>6/18/2023</t>
  </si>
  <si>
    <t>BASI10-0281</t>
  </si>
  <si>
    <t>Larkspur</t>
  </si>
  <si>
    <t>Windsor</t>
  </si>
  <si>
    <t>3M Scotchgard Diamond Quilting Reversible Down Alternative Comforter Set</t>
  </si>
  <si>
    <t>Black/Black</t>
  </si>
  <si>
    <t>PF002062</t>
  </si>
  <si>
    <t>BLK01,FINGERHUTDS,JCPENNEY01,KOHLDSN,MACY02,TGTDVS</t>
  </si>
  <si>
    <t>15646449-000-012</t>
  </si>
  <si>
    <t>7/21/2015</t>
  </si>
  <si>
    <t>BASI10-0201</t>
  </si>
  <si>
    <t>Black/Grey</t>
  </si>
  <si>
    <t>PF002061</t>
  </si>
  <si>
    <t>BLK01,FINGERHUTDS,JCPENNEY01,KOHLDSN,MACY02,OLLIIX,TGTDVS,WALMARTDS,Zulily</t>
  </si>
  <si>
    <t>15646449-000-006</t>
  </si>
  <si>
    <t>BASI10-0198</t>
  </si>
  <si>
    <t>Navy/Light Blue</t>
  </si>
  <si>
    <t>PF002060</t>
  </si>
  <si>
    <t>ASHFURNDS,BLK01,CSNSTORES,FINGERHUTDS,JCPENNEY01,KOHLDSN,MACY02,OLLIIX,TGTDVS,Zulily</t>
  </si>
  <si>
    <t>15646449-000-003</t>
  </si>
  <si>
    <t>BASI10-0199</t>
  </si>
  <si>
    <t>ASHFURNDS,BLK01,CSNSTORES,FINGERHUTDS,JCPENNEY01,KOHLDSN,MACY02,NRTPORT,OLLIIX,TGTDVS,Zulily</t>
  </si>
  <si>
    <t>15646449-000-004</t>
  </si>
  <si>
    <t>4/1/2015</t>
  </si>
  <si>
    <t>BASI10-0200</t>
  </si>
  <si>
    <t>BLK01,CSNSTORES,FINGERHUTDS,JCPENNEY01,KOHLDSN,MACY02,TGTDVS</t>
  </si>
  <si>
    <t>15646449-000-005</t>
  </si>
  <si>
    <t>MP72-5829</t>
  </si>
  <si>
    <t>Lasso</t>
  </si>
  <si>
    <t>Copula</t>
  </si>
  <si>
    <t>Braide</t>
  </si>
  <si>
    <t>100% Cotton Chenille Chain Stitch Rug</t>
  </si>
  <si>
    <t>17x24"</t>
  </si>
  <si>
    <t>PP000880;PF004257</t>
  </si>
  <si>
    <t>AMAZON,AMAZONDS,CSNSTORES,HDDS,JCPENNEY01,KOHLDSN,MACY02,OLLIIX,TGTDVS</t>
  </si>
  <si>
    <t>27404669-000-010</t>
  </si>
  <si>
    <t>5/24/2018</t>
  </si>
  <si>
    <t>MP72-5830</t>
  </si>
  <si>
    <t>24x44"</t>
  </si>
  <si>
    <t>AMAZON,CSNSTORES,HDDS,JCPENNEY01,KIRKLANDDS,KOHLDSN,MACY02,OLLIIX,TGTDVS</t>
  </si>
  <si>
    <t>27404669-000-000</t>
  </si>
  <si>
    <t>MP72-5831</t>
  </si>
  <si>
    <t>24x40"</t>
  </si>
  <si>
    <t>AMAZON,AMAZONDS,CSNSTORES,HDDS,HOUZZ,JCPENNEY01,KIRKLANDDS,KOHLDSN,MACY02,OLLIIX,TGTDVS</t>
  </si>
  <si>
    <t>27404669-000-002</t>
  </si>
  <si>
    <t>MP10-5116</t>
  </si>
  <si>
    <t>Laurel</t>
  </si>
  <si>
    <t>Vivian</t>
  </si>
  <si>
    <t>Piedmont</t>
  </si>
  <si>
    <t>7 Piece Tufted Comforter Set</t>
  </si>
  <si>
    <t>PF002423;PP000440</t>
  </si>
  <si>
    <t>AMAZON,BLK01,CSNSTORES,KOHLDSN,MACY02,NRTPORT,OLLIIX,TGTDVS</t>
  </si>
  <si>
    <t>39620303-000-022</t>
  </si>
  <si>
    <t>9/4/2017</t>
  </si>
  <si>
    <t>10/5/2017</t>
  </si>
  <si>
    <t>MP95B-0273</t>
  </si>
  <si>
    <t>Leah</t>
  </si>
  <si>
    <t xml:space="preserve">Leah </t>
  </si>
  <si>
    <t>Round Two-tone Medallion Wall Decor</t>
  </si>
  <si>
    <t>Natural/White</t>
  </si>
  <si>
    <t>PP001633</t>
  </si>
  <si>
    <t>Medallion</t>
  </si>
  <si>
    <t>9/18/2021</t>
  </si>
  <si>
    <t>AMAZON,AMAZONDS,CSNSTORES,DESINC,JCPENNEY01,KIRKLANDDS,KOHLDSN,MACY02,OLLIIX,TGTDVS</t>
  </si>
  <si>
    <t>38900782-000-000</t>
  </si>
  <si>
    <t>9/28/2021</t>
  </si>
  <si>
    <t>2/14/2022</t>
  </si>
  <si>
    <t>MP95B-0244</t>
  </si>
  <si>
    <t>Legion</t>
  </si>
  <si>
    <t>Multi-colored Geometric Metal Discs Wall Decor</t>
  </si>
  <si>
    <t>PP001427;PF004979</t>
  </si>
  <si>
    <t>11/4/2019</t>
  </si>
  <si>
    <t>AMAZON,ASHFURNDS,CSNSTORES,JCPENNEY01,KIRKLANDDS,KOHLDSN,LAMPDS,OLLIIX,ROOMECOM,TGTDVS</t>
  </si>
  <si>
    <t>35137229-000-000</t>
  </si>
  <si>
    <t>2/12/2020</t>
  </si>
  <si>
    <t>MP121-1223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</si>
  <si>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</si>
  <si>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</si>
  <si>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</si>
  <si>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</si>
  <si>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</si>
  <si>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</si>
  <si>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</si>
  <si>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Reclaimed Walnut</t>
  </si>
  <si>
    <t>CSNSTORES,KOHLDSN,OLLIIX</t>
  </si>
  <si>
    <t>32188515-000-001</t>
  </si>
  <si>
    <t>1/27/2023</t>
  </si>
  <si>
    <t>2/14/2023</t>
  </si>
  <si>
    <t>MP95C-0037</t>
  </si>
  <si>
    <t>Linen Botanicals</t>
  </si>
  <si>
    <t>Illustration 3-piece Canvas Wall Art Set</t>
  </si>
  <si>
    <t>PF001908</t>
  </si>
  <si>
    <t>BLK01,KIRKLANDDS,KOHLDSN,MACY02,OLLIIX,TGTDVS</t>
  </si>
  <si>
    <t>18755591-000-000</t>
  </si>
  <si>
    <t>5DS153-0049</t>
  </si>
  <si>
    <t>Liora</t>
  </si>
  <si>
    <t>2-Tone Ceramic Table Lamp Set of 2</t>
  </si>
  <si>
    <t>43453100-000-001</t>
  </si>
  <si>
    <t>5DS153-0047</t>
  </si>
  <si>
    <t>Sage Green/Gold</t>
  </si>
  <si>
    <t>CSNSTORES,OLLIIX,ROOMECOM</t>
  </si>
  <si>
    <t>43453100-000-000</t>
  </si>
  <si>
    <t>5DS153-0048</t>
  </si>
  <si>
    <t>White/Silver</t>
  </si>
  <si>
    <t>43453100-000-002</t>
  </si>
  <si>
    <t>BL51N-0610</t>
  </si>
  <si>
    <t>Liquid Cotton</t>
  </si>
  <si>
    <t>PF003447</t>
  </si>
  <si>
    <t>AMAZON,BLK01,CSNSTORES,JCPENNEY01,KOHLDSN,MACY02,OLLIIX,TGTDVS,WALMARTDS</t>
  </si>
  <si>
    <t>14944585-000-005</t>
  </si>
  <si>
    <t>BL51N-0732</t>
  </si>
  <si>
    <t>PF003491</t>
  </si>
  <si>
    <t>14944585-000-015</t>
  </si>
  <si>
    <t>BL51N-0735</t>
  </si>
  <si>
    <t>PF003502</t>
  </si>
  <si>
    <t>AMAZON,AMAZONDS,BLK01,CSNSTORES,JCPENNEY01,KOHLDSN,MACY02,OLLIIX,TGTDVS,WALMARTDS,Zulily</t>
  </si>
  <si>
    <t>14944585-000-018</t>
  </si>
  <si>
    <t>6/22/2015</t>
  </si>
  <si>
    <t>BL51N-0737</t>
  </si>
  <si>
    <t>AMAZON,BEALLSDS,BLK01,CSNSTORES,DESINC,JCPENNEY01,KOHLDSN,MACY02,OLLIIX,TGTDVS,WALMARTDS</t>
  </si>
  <si>
    <t>14944585-000-020</t>
  </si>
  <si>
    <t>6/8/2015</t>
  </si>
  <si>
    <t>MP10-6833</t>
  </si>
  <si>
    <t>Lola</t>
  </si>
  <si>
    <t>Brianna</t>
  </si>
  <si>
    <t>Victoria</t>
  </si>
  <si>
    <t>Printed Cotton Sateen Comforter Set</t>
  </si>
  <si>
    <t>PF002455;PP000448</t>
  </si>
  <si>
    <t>Farm House|Casual</t>
  </si>
  <si>
    <t>11/26/2019</t>
  </si>
  <si>
    <t>AMAZON,AMAZONDS,CSNSTORES,JCPENNEY01,KOHLDSN,MACY02,NRTPORT,TGTDVS</t>
  </si>
  <si>
    <t>18523707-000-003</t>
  </si>
  <si>
    <t>12/20/2019</t>
  </si>
  <si>
    <t>MP70-5669</t>
  </si>
  <si>
    <t>Jane</t>
  </si>
  <si>
    <t xml:space="preserve">100% Cotton  Floral Printed Shower Curtain</t>
  </si>
  <si>
    <t>Grey/Peach</t>
  </si>
  <si>
    <t>PP000448;PF004226</t>
  </si>
  <si>
    <t>2/28/2018</t>
  </si>
  <si>
    <t>AMAZON,AMAZONDS,CSNSTORES,HDDS,JCPENNEY01,KOHLDSN,MACY02,OLLIIX,TGTDVS,WALMARTDS,Zulily</t>
  </si>
  <si>
    <t>14708559-000-003</t>
  </si>
  <si>
    <t>2/21/2018</t>
  </si>
  <si>
    <t>4/16/2018</t>
  </si>
  <si>
    <t>UHK10-0098</t>
  </si>
  <si>
    <t>Urban Habitat Kids</t>
  </si>
  <si>
    <t>Ella</t>
  </si>
  <si>
    <t>Laila</t>
  </si>
  <si>
    <t>Unicorn Cotton Comforter Set</t>
  </si>
  <si>
    <t>PP000904;PF004525</t>
  </si>
  <si>
    <t>AMAZON,BLK01,CSNSTORES,JCPENNEY01,KOHLDSN,MACY02,OLLIIX,ROOMECOM,TGTDVS</t>
  </si>
  <si>
    <t>23228922-000-002</t>
  </si>
  <si>
    <t>1/13/2019</t>
  </si>
  <si>
    <t>ID31-2035</t>
  </si>
  <si>
    <t>CUSHION/POUF</t>
  </si>
  <si>
    <t>Cube/Cylinder</t>
  </si>
  <si>
    <t>Loretta</t>
  </si>
  <si>
    <t>Lara</t>
  </si>
  <si>
    <t>Lorissa</t>
  </si>
  <si>
    <t>Poly Chenille Round Floor Pillow Cushion</t>
  </si>
  <si>
    <t>Dia 22"x6"</t>
  </si>
  <si>
    <t>PF004187;PP000936</t>
  </si>
  <si>
    <t>5/8/2021</t>
  </si>
  <si>
    <t>AMAZON,AMAZONDS,CSNSTORES,JCPENNEY01,KOHLDSN,MACY02,OLLIIX,TGTDVS,Zulily</t>
  </si>
  <si>
    <t>38241495-000-001</t>
  </si>
  <si>
    <t>6/14/2021</t>
  </si>
  <si>
    <t>ID31-2033</t>
  </si>
  <si>
    <t>PF004347;PP000936</t>
  </si>
  <si>
    <t>AMAZONDS,CSNSTORES,JCPENNEY01,KOHLDSN,MACY02,OLLIIX,TGTDVS,Zulily</t>
  </si>
  <si>
    <t>38241495-000-003</t>
  </si>
  <si>
    <t>8/3/2021</t>
  </si>
  <si>
    <t>ID10-2375</t>
  </si>
  <si>
    <t>Lucy</t>
  </si>
  <si>
    <t>Vera</t>
  </si>
  <si>
    <t>Elise</t>
  </si>
  <si>
    <t>Clip Jacquard Comforter Set</t>
  </si>
  <si>
    <t>PP001813;PF006255</t>
  </si>
  <si>
    <t>6/1/2024</t>
  </si>
  <si>
    <t>40850769-000-017</t>
  </si>
  <si>
    <t>6/5/2024</t>
  </si>
  <si>
    <t>6/23/2024</t>
  </si>
  <si>
    <t>ID10-2282</t>
  </si>
  <si>
    <t>PP001813;PF006085</t>
  </si>
  <si>
    <t>CSNSTORES,KOHLDSN,MACY02,NRTPORT,TGTDVS</t>
  </si>
  <si>
    <t>40850769-000-014</t>
  </si>
  <si>
    <t>3/14/2024</t>
  </si>
  <si>
    <t>ID12-2285</t>
  </si>
  <si>
    <t>Clip Jacquard Duvet Cover Set</t>
  </si>
  <si>
    <t>40850749-000-006</t>
  </si>
  <si>
    <t>7/19/2024</t>
  </si>
  <si>
    <t>ID12-2286</t>
  </si>
  <si>
    <t>10/19/2023</t>
  </si>
  <si>
    <t>40850749-000-007</t>
  </si>
  <si>
    <t>ID10-2284</t>
  </si>
  <si>
    <t>40850769-000-011</t>
  </si>
  <si>
    <t>ID12-2190</t>
  </si>
  <si>
    <t>PP001813;PF005818</t>
  </si>
  <si>
    <t>12/1/2022</t>
  </si>
  <si>
    <t>CSNSTORES,JCPENNEY01,KOHLDSN,MACY02,OLLIIX,TGTDVS</t>
  </si>
  <si>
    <t>40850749-000-003</t>
  </si>
  <si>
    <t>12/5/2022</t>
  </si>
  <si>
    <t>7/14/2023</t>
  </si>
  <si>
    <t>ID12-2280</t>
  </si>
  <si>
    <t>PP001813;PF006084</t>
  </si>
  <si>
    <t>AMAZON,KOHLDSN,OLLIIX</t>
  </si>
  <si>
    <t>40850749-000-004</t>
  </si>
  <si>
    <t>ID10-2287</t>
  </si>
  <si>
    <t>PP001813;PF005819</t>
  </si>
  <si>
    <t>CSNSTORES,JCPENNEY01,KOHLDSN,MACY02,NRTPORT,TGTDVS</t>
  </si>
  <si>
    <t>40850769-000-008</t>
  </si>
  <si>
    <t>ID12-2275</t>
  </si>
  <si>
    <t>PP001813;PF006083</t>
  </si>
  <si>
    <t>MACY02,TGTDVS</t>
  </si>
  <si>
    <t>40850749-000-008</t>
  </si>
  <si>
    <t>5/15/2024</t>
  </si>
  <si>
    <t>ID10-2273</t>
  </si>
  <si>
    <t>AMAZON,CSNSTORES,HDDS,JCPENNEY01,KOHLDSN,MACY02,NRTPORT,OLLIIX,TGTDVS</t>
  </si>
  <si>
    <t>40850769-000-010</t>
  </si>
  <si>
    <t>UHK12-0233</t>
  </si>
  <si>
    <t>Lulu</t>
  </si>
  <si>
    <t>Thea</t>
  </si>
  <si>
    <t>Maisie</t>
  </si>
  <si>
    <t>Floral Reversible Cotton Duvet Cover Set with Throw Pillow</t>
  </si>
  <si>
    <t>PF006170</t>
  </si>
  <si>
    <t>43844635-000-000</t>
  </si>
  <si>
    <t>4/17/2024</t>
  </si>
  <si>
    <t>4/22/2024</t>
  </si>
  <si>
    <t>MP95C-0155</t>
  </si>
  <si>
    <t>Luminous</t>
  </si>
  <si>
    <t>Heavily Embellished 3-piece Canvas Wall Art Set</t>
  </si>
  <si>
    <t>PF004270</t>
  </si>
  <si>
    <t>3/18/2018</t>
  </si>
  <si>
    <t>AMAZON,AMERSIGNDS,CSNSTORES,KIRKLANDDS,KOHLDSN,OLLIIX,ROOMECOM</t>
  </si>
  <si>
    <t>26922711-000-000</t>
  </si>
  <si>
    <t>4/16/2019</t>
  </si>
  <si>
    <t>MP95C-0269</t>
  </si>
  <si>
    <t>AMAZON,AMAZONDS,CSNSTORES,JCPENNEY01,KIRKLANDDS,KOHLDSN,NEBFUR01,ROOMECOM,TGTDVS</t>
  </si>
  <si>
    <t>26922711-000-001</t>
  </si>
  <si>
    <t>MP95C-0208</t>
  </si>
  <si>
    <t>Luminous Bloom</t>
  </si>
  <si>
    <t>Gold Foil and Hand Embellished Floral Canvas Wall Art</t>
  </si>
  <si>
    <t>AMAZON,AMERSIGNDS,CSNSTORES,KIRKLANDDS,KOHLDSN,MACY02,NEBFUR01,OLLIIX,Zulily</t>
  </si>
  <si>
    <t>33246977-000-000</t>
  </si>
  <si>
    <t>5/6/2019</t>
  </si>
  <si>
    <t>2/3/2020</t>
  </si>
  <si>
    <t>FB153-1180</t>
  </si>
  <si>
    <t>Luxuria</t>
  </si>
  <si>
    <t>Textured Glass and Acrylic Base Table Lamp</t>
  </si>
  <si>
    <t>Antique Silver</t>
  </si>
  <si>
    <t>43446596-000-001</t>
  </si>
  <si>
    <t>CCS20-015</t>
  </si>
  <si>
    <t>Croscill</t>
  </si>
  <si>
    <t>Luxury Egyptian</t>
  </si>
  <si>
    <t>500TC Cotton Pillowcases</t>
  </si>
  <si>
    <t>12/20/2022</t>
  </si>
  <si>
    <t>42024797-000-000</t>
  </si>
  <si>
    <t>7/25/2023</t>
  </si>
  <si>
    <t>11/26/2023</t>
  </si>
  <si>
    <t>CCS20-014</t>
  </si>
  <si>
    <t>Standard</t>
  </si>
  <si>
    <t>AMAZON,BLK01,JCPENNEY01,KOHLDSN,MACY02</t>
  </si>
  <si>
    <t>42024797-000-003</t>
  </si>
  <si>
    <t>CCS20-037</t>
  </si>
  <si>
    <t>500TC Cotton Sheet Set</t>
  </si>
  <si>
    <t>AMAZON,CSNSTORES,DLCROSCILL,JCPENNEY01,KOHLDSN</t>
  </si>
  <si>
    <t>42025513-000-000</t>
  </si>
  <si>
    <t>CCS20-003</t>
  </si>
  <si>
    <t>AMAZON,BLK01,CSNSTORES,DLCROSCILL,JCPENNEY01,MACY02,NEBFUR01</t>
  </si>
  <si>
    <t>42025513-000-002</t>
  </si>
  <si>
    <t>8/23/2023</t>
  </si>
  <si>
    <t>CCS20-005</t>
  </si>
  <si>
    <t>42024797-000-005</t>
  </si>
  <si>
    <t>4/29/2024</t>
  </si>
  <si>
    <t>CCS20-036</t>
  </si>
  <si>
    <t>BLK01,CSNSTORES,JCPENNEY01,MACY02</t>
  </si>
  <si>
    <t>42025513-000-004</t>
  </si>
  <si>
    <t>II100-0291</t>
  </si>
  <si>
    <t>Madden</t>
  </si>
  <si>
    <t>1/27/2018</t>
  </si>
  <si>
    <t>ASHFURNDS,CSNSTORES,HOUZZ,OLLIIX</t>
  </si>
  <si>
    <t>26106887-000-000</t>
  </si>
  <si>
    <t>5/23/2018</t>
  </si>
  <si>
    <t>TN54-0507</t>
  </si>
  <si>
    <t>Marbled Sherpa</t>
  </si>
  <si>
    <t>PP001894;PF006042</t>
  </si>
  <si>
    <t>9/9/2023</t>
  </si>
  <si>
    <t>HDDS,JCPENNEY01,KOHLDSN,MACY02</t>
  </si>
  <si>
    <t>42618276-000-000</t>
  </si>
  <si>
    <t>11/17/2023</t>
  </si>
  <si>
    <t>MP104-1127</t>
  </si>
  <si>
    <t>Marian</t>
  </si>
  <si>
    <t>Misha</t>
  </si>
  <si>
    <t>Khloe</t>
  </si>
  <si>
    <t>Tufted Counter Stool</t>
  </si>
  <si>
    <t>3/17/2022</t>
  </si>
  <si>
    <t>21851040-000-001</t>
  </si>
  <si>
    <t>3/19/2022</t>
  </si>
  <si>
    <t>2/21/2023</t>
  </si>
  <si>
    <t>FPF20-0395</t>
  </si>
  <si>
    <t>PF000048;PP000205</t>
  </si>
  <si>
    <t>3/3/2025</t>
  </si>
  <si>
    <t>AMERSIGNDS,CSNSTORES,DESINC,HOUZZ,KIRKLANDDS,OLLIIX,ROOMECOM,TGTDVS</t>
  </si>
  <si>
    <t>18078886-000-000</t>
  </si>
  <si>
    <t>1/27/2016</t>
  </si>
  <si>
    <t>MP10-7942</t>
  </si>
  <si>
    <t>Marina</t>
  </si>
  <si>
    <t>Anchorage</t>
  </si>
  <si>
    <t>Fairbanks</t>
  </si>
  <si>
    <t>8 Piece Printed Seersucker Comforter and Quilt Set Collection</t>
  </si>
  <si>
    <t>PP001782;PF005730</t>
  </si>
  <si>
    <t>8/16/2022</t>
  </si>
  <si>
    <t>AMAZONDS,CSNSTORES,KOHLDSN,MACY02,NEBFUR01,OLLIIX,TGTDVS</t>
  </si>
  <si>
    <t>32192434-000-003</t>
  </si>
  <si>
    <t>8/29/2022</t>
  </si>
  <si>
    <t>10/9/2022</t>
  </si>
  <si>
    <t>MP13-7944</t>
  </si>
  <si>
    <t>6 Piece Printed Quilt Set with Throw Pillows</t>
  </si>
  <si>
    <t>PP001782;PF005732</t>
  </si>
  <si>
    <t>8/19/2022</t>
  </si>
  <si>
    <t>AMAZONDS,CSNSTORES,JCPENNEY01,KOHLDSN,OLLIIX,TGTDVS</t>
  </si>
  <si>
    <t>18146410-000-004</t>
  </si>
  <si>
    <t>9/13/2022</t>
  </si>
  <si>
    <t>MPS160-279</t>
  </si>
  <si>
    <t>Marlowe</t>
  </si>
  <si>
    <t>36" Large Decorative Round Wall Mirror with Beaded Metal Frame</t>
  </si>
  <si>
    <t>36" Dia</t>
  </si>
  <si>
    <t>PP001618</t>
  </si>
  <si>
    <t>AMAZON,AMAZONDS,AMERSIGNDS,ASHFURNDS,CSNSTORES,HDDS,LAMPDS,OLLIIX,TGTDVS</t>
  </si>
  <si>
    <t>24185324-000-000</t>
  </si>
  <si>
    <t>Tier S</t>
  </si>
  <si>
    <t>9/30/2017</t>
  </si>
  <si>
    <t>10/2/2017</t>
  </si>
  <si>
    <t>MPS95F-0035</t>
  </si>
  <si>
    <t>27" Medium Decorative Round Wall Mirror with Beaded Metal Frame</t>
  </si>
  <si>
    <t>27" Dia</t>
  </si>
  <si>
    <t>9/5/2020</t>
  </si>
  <si>
    <t>AMAZON,CSNSTORES,JCPENNEY01,KIRKLANDDS,KOHLDSN,LAMPDS,OLLIIX,TGTDVS</t>
  </si>
  <si>
    <t>24185324-000-003</t>
  </si>
  <si>
    <t>10/10/2020</t>
  </si>
  <si>
    <t>10/22/2020</t>
  </si>
  <si>
    <t>MP104-0944</t>
  </si>
  <si>
    <t>Mateo</t>
  </si>
  <si>
    <t>Quarry</t>
  </si>
  <si>
    <t>Powell</t>
  </si>
  <si>
    <t>Beige Multi</t>
  </si>
  <si>
    <t>CSNSTORES,HDDS,HOUZZ,KOHLDSN,MACY02F,OLLIIX,ROOMECOM,TGTDVS</t>
  </si>
  <si>
    <t>35542320-000-000</t>
  </si>
  <si>
    <t>2/17/2020</t>
  </si>
  <si>
    <t>FPF18-0435</t>
  </si>
  <si>
    <t>Maxwell</t>
  </si>
  <si>
    <t>Roan</t>
  </si>
  <si>
    <t>Lyle</t>
  </si>
  <si>
    <t>Linen</t>
  </si>
  <si>
    <t>PF000714;PP000209</t>
  </si>
  <si>
    <t>ASHFURNDS,CSNSTORES,HDDS,JCPENNEY01,KOHLDSN,LAMPDS</t>
  </si>
  <si>
    <t>19746214-000-000</t>
  </si>
  <si>
    <t>10/14/2016</t>
  </si>
  <si>
    <t>10/21/2016</t>
  </si>
  <si>
    <t>SS40-0036</t>
  </si>
  <si>
    <t>Maya</t>
  </si>
  <si>
    <t>Arlie</t>
  </si>
  <si>
    <t>Rune</t>
  </si>
  <si>
    <t>Printed Heathered Blackout Grommet Top Curtain Panel</t>
  </si>
  <si>
    <t>Dusty Seafoam</t>
  </si>
  <si>
    <t>PF003954</t>
  </si>
  <si>
    <t>AMAZON,AMAZONDS,ASHFURNDS,CSNSTORES,JCPENNEY01,KOHLDSN,OLLIIX,TGTDVS</t>
  </si>
  <si>
    <t>23998010-000-010</t>
  </si>
  <si>
    <t>10/16/2017</t>
  </si>
  <si>
    <t>SS40-0034</t>
  </si>
  <si>
    <t>50x54"</t>
  </si>
  <si>
    <t>AMAZON,AMAZONDS,CSNSTORES,DESINC,JCPENNEY01,KOHLDSN,NEBFUR01,OLLIIX,TGTDVS</t>
  </si>
  <si>
    <t>23998010-000-008</t>
  </si>
  <si>
    <t>SS40-0026</t>
  </si>
  <si>
    <t>PF003955</t>
  </si>
  <si>
    <t>ASHFURNDS,CSNSTORES,JCPENNEY01,KOHLDSN,OLLIIX,TGTDVS</t>
  </si>
  <si>
    <t>23998010-000-000</t>
  </si>
  <si>
    <t>10/4/2017</t>
  </si>
  <si>
    <t>SS40-0030</t>
  </si>
  <si>
    <t>PF003956</t>
  </si>
  <si>
    <t>23998010-000-004</t>
  </si>
  <si>
    <t>11/14/2017</t>
  </si>
  <si>
    <t>HH10-1222</t>
  </si>
  <si>
    <t>Maya Bay</t>
  </si>
  <si>
    <t>PF003324</t>
  </si>
  <si>
    <t>AMAZON,AMAZONDS,CSNSTORES,JCPENNEY01,MACY02,OLLIIX</t>
  </si>
  <si>
    <t>16648925-000-000</t>
  </si>
  <si>
    <t>2/10/2015</t>
  </si>
  <si>
    <t>HH12-1227</t>
  </si>
  <si>
    <t>AMAZON,AMAZONDS,BLK01,CSNSTORES,JCPENNEY01,KOHLDSN,MACY02,OLLIIX</t>
  </si>
  <si>
    <t>16643555-000-001</t>
  </si>
  <si>
    <t>IIF17-0082</t>
  </si>
  <si>
    <t>ACCENT TABLE</t>
  </si>
  <si>
    <t>Side Table</t>
  </si>
  <si>
    <t>Mercer</t>
  </si>
  <si>
    <t>30" Pedestal</t>
  </si>
  <si>
    <t>PP000039</t>
  </si>
  <si>
    <t>1/3/2025</t>
  </si>
  <si>
    <t>CSNSTORES,HOUZZ,KOHLDSN,LAMPDS,MACY02F,OLLIIX</t>
  </si>
  <si>
    <t>20421977-000-000</t>
  </si>
  <si>
    <t>12/6/2016</t>
  </si>
  <si>
    <t>UH13-2321</t>
  </si>
  <si>
    <t>Camden</t>
  </si>
  <si>
    <t>Ronan</t>
  </si>
  <si>
    <t>3 Piece Cotton Quilt Set with Chenille Trims</t>
  </si>
  <si>
    <t>PP001460;PF005049</t>
  </si>
  <si>
    <t>Casual|Transitional</t>
  </si>
  <si>
    <t>4/24/2020</t>
  </si>
  <si>
    <t>CSNSTORES,MACY02,OLLIIX,TGTDVS</t>
  </si>
  <si>
    <t>35761410-000-002</t>
  </si>
  <si>
    <t>5/26/2020</t>
  </si>
  <si>
    <t>UH13-2322</t>
  </si>
  <si>
    <t>ASHFURNDS,BLK01,CSNSTORES,JCPENNEY01,KOHLDSN,OLLIIX</t>
  </si>
  <si>
    <t>35761410-000-000</t>
  </si>
  <si>
    <t>5/27/2020</t>
  </si>
  <si>
    <t>ID20-1474</t>
  </si>
  <si>
    <t>Metallic Dot</t>
  </si>
  <si>
    <t>Blush/Gold</t>
  </si>
  <si>
    <t>PP000922</t>
  </si>
  <si>
    <t>Polka Dots</t>
  </si>
  <si>
    <t>5/25/2018</t>
  </si>
  <si>
    <t>AMAZON,AMAZONDS,TGTDVS,WALMARTDS</t>
  </si>
  <si>
    <t>27266912-000-002</t>
  </si>
  <si>
    <t>5/17/2018</t>
  </si>
  <si>
    <t>6/7/2018</t>
  </si>
  <si>
    <t>ID20-1475</t>
  </si>
  <si>
    <t>27266912-000-005</t>
  </si>
  <si>
    <t>ID20-1471</t>
  </si>
  <si>
    <t>White/Gold</t>
  </si>
  <si>
    <t>AMAZON,BLK01,CSNSTORES,KOHLDSN,MACY02,TGTDVS,WALMARTDS,Zulily</t>
  </si>
  <si>
    <t>27266912-000-006</t>
  </si>
  <si>
    <t>6/1/2018</t>
  </si>
  <si>
    <t>MP95F-0327</t>
  </si>
  <si>
    <t>Decor Mirror</t>
  </si>
  <si>
    <t>Mia</t>
  </si>
  <si>
    <t>Gold Metal Arch Wall Mirror</t>
  </si>
  <si>
    <t>43921713-000-000</t>
  </si>
  <si>
    <t>TN20-0460</t>
  </si>
  <si>
    <t>Micro Fleece</t>
  </si>
  <si>
    <t>PP001622;PF005448</t>
  </si>
  <si>
    <t>5/27/2021</t>
  </si>
  <si>
    <t>13709532-000-130</t>
  </si>
  <si>
    <t>5/26/2021</t>
  </si>
  <si>
    <t>4/5/2023</t>
  </si>
  <si>
    <t>TN20-0461</t>
  </si>
  <si>
    <t>13709532-000-132</t>
  </si>
  <si>
    <t>TN20-0465</t>
  </si>
  <si>
    <t>AMAZON,CSNSTORES,FINGERHUTDS,JCPENNEY01,KOHLDSN,MACY02</t>
  </si>
  <si>
    <t>13709532-000-135</t>
  </si>
  <si>
    <t>5/24/2021</t>
  </si>
  <si>
    <t>11/15/2021</t>
  </si>
  <si>
    <t>SHET20-745</t>
  </si>
  <si>
    <t>PF001563</t>
  </si>
  <si>
    <t>AMAZON,AMAZONDS,CSNSTORES,JCPENNEY01,KOHLDSN,MACY02,WALMARTDS</t>
  </si>
  <si>
    <t>13709532-000-051</t>
  </si>
  <si>
    <t>3/23/2016</t>
  </si>
  <si>
    <t>TN20-0522</t>
  </si>
  <si>
    <t>PP001622;PF006086</t>
  </si>
  <si>
    <t>10/26/2023</t>
  </si>
  <si>
    <t>13709532-000-145</t>
  </si>
  <si>
    <t>TN20-0527</t>
  </si>
  <si>
    <t>13709532-000-148</t>
  </si>
  <si>
    <t>SHET20-737</t>
  </si>
  <si>
    <t>PF001775</t>
  </si>
  <si>
    <t>AMAZON,AMAZONDS,JCPENNEY01,KOHLDSN,MACY02</t>
  </si>
  <si>
    <t>13709532-000-043</t>
  </si>
  <si>
    <t>1/25/2016</t>
  </si>
  <si>
    <t>SHET20-738</t>
  </si>
  <si>
    <t>13709532-000-044</t>
  </si>
  <si>
    <t>11/9/2016</t>
  </si>
  <si>
    <t>SHET20-743</t>
  </si>
  <si>
    <t>PF001735</t>
  </si>
  <si>
    <t>AMAZON,JCPENNEY01,KOHLDSN,MACY02,TGTDVS,WALMARTDS</t>
  </si>
  <si>
    <t>13709532-000-049</t>
  </si>
  <si>
    <t>PC20-006</t>
  </si>
  <si>
    <t>13709532-000-006</t>
  </si>
  <si>
    <t>SHET20-744</t>
  </si>
  <si>
    <t>AMAZON,CSNSTORES,DESINC,JCPENNEY01,KOHLDSN,MACY02</t>
  </si>
  <si>
    <t>13709532-000-050</t>
  </si>
  <si>
    <t>1/22/2016</t>
  </si>
  <si>
    <t>TN20-0528</t>
  </si>
  <si>
    <t>PP001622;PF006087</t>
  </si>
  <si>
    <t>13709532-000-137</t>
  </si>
  <si>
    <t>TN20-0529</t>
  </si>
  <si>
    <t>AMAZON,JCPENNEY01,KOHLDSN</t>
  </si>
  <si>
    <t>13709532-000-136</t>
  </si>
  <si>
    <t>TN20-0531</t>
  </si>
  <si>
    <t>13709532-000-140</t>
  </si>
  <si>
    <t>11/22/2023</t>
  </si>
  <si>
    <t>TN20-0532</t>
  </si>
  <si>
    <t>Grey Snowflake</t>
  </si>
  <si>
    <t>PP001622;PF006088</t>
  </si>
  <si>
    <t>13709532-000-139</t>
  </si>
  <si>
    <t>TN20-0533</t>
  </si>
  <si>
    <t>AMAZON,AMAZONDS,CSNSTORES,KOHLDSN</t>
  </si>
  <si>
    <t>13709532-000-142</t>
  </si>
  <si>
    <t>PC20-124</t>
  </si>
  <si>
    <t>PF001746</t>
  </si>
  <si>
    <t>AMAZON,AMAZONDS,CSNSTORES,KOHLDSN,MACY02,WALMARTDS</t>
  </si>
  <si>
    <t>13709532-000-012</t>
  </si>
  <si>
    <t>1/23/2015</t>
  </si>
  <si>
    <t>PC20-001</t>
  </si>
  <si>
    <t>PF001674</t>
  </si>
  <si>
    <t>AMAZON,AMAZONDS,FINGERHUTDS,JCPENNEY01,KOHLDSN,MACY02</t>
  </si>
  <si>
    <t>13709532-000-000</t>
  </si>
  <si>
    <t>8/30/2015</t>
  </si>
  <si>
    <t>SHET20-741</t>
  </si>
  <si>
    <t>AMAZON,AMAZONDS,KOHLDSN,MACY02</t>
  </si>
  <si>
    <t>13709532-000-047</t>
  </si>
  <si>
    <t>1/20/2016</t>
  </si>
  <si>
    <t>PC20-002</t>
  </si>
  <si>
    <t>AMAZON,AMAZONDS,BLK01,CSNSTORES,FINGERHUTDS,JCPENNEY01,KOHLDSN,MACY02,WALMARTDS</t>
  </si>
  <si>
    <t>13709532-000-003</t>
  </si>
  <si>
    <t>4/29/2015</t>
  </si>
  <si>
    <t>SHET20-797</t>
  </si>
  <si>
    <t>PF001777</t>
  </si>
  <si>
    <t>13709532-000-055</t>
  </si>
  <si>
    <t>12/13/2016</t>
  </si>
  <si>
    <t>TN20-0450</t>
  </si>
  <si>
    <t>PP001622;PF005446</t>
  </si>
  <si>
    <t>5/28/2021</t>
  </si>
  <si>
    <t>13709532-000-121</t>
  </si>
  <si>
    <t>5/29/2021</t>
  </si>
  <si>
    <t>10/14/2021</t>
  </si>
  <si>
    <t>TN20-0453</t>
  </si>
  <si>
    <t>13709532-000-122</t>
  </si>
  <si>
    <t>SHET20-739</t>
  </si>
  <si>
    <t>PF001776</t>
  </si>
  <si>
    <t>AMAZON,CSNSTORES,JCPENNEY01,KOHLDSN,MACY02</t>
  </si>
  <si>
    <t>13709532-000-045</t>
  </si>
  <si>
    <t>4/18/2016</t>
  </si>
  <si>
    <t>SHET20-535</t>
  </si>
  <si>
    <t>AMAZON,BLK01,CSNSTORES,JCPENNEY01,KOHLDSN,MACY02,OLLIIX</t>
  </si>
  <si>
    <t>13709532-000-025</t>
  </si>
  <si>
    <t>ID20-2209</t>
  </si>
  <si>
    <t>All Season Soft Touch Sheet Set</t>
  </si>
  <si>
    <t>PP001853;PF005933</t>
  </si>
  <si>
    <t>6/23/2023</t>
  </si>
  <si>
    <t>16342274-000-045</t>
  </si>
  <si>
    <t>ID20-2210</t>
  </si>
  <si>
    <t>16342274-000-055</t>
  </si>
  <si>
    <t>8/21/2023</t>
  </si>
  <si>
    <t>ID20-2211</t>
  </si>
  <si>
    <t>AMAZON,BEALLSDS,JCPENNEY01,KOHLDSN,MACY02</t>
  </si>
  <si>
    <t>16342274-000-052</t>
  </si>
  <si>
    <t>9/20/2023</t>
  </si>
  <si>
    <t>ID20-2212</t>
  </si>
  <si>
    <t>AMAZON,KOHLDSN,Zulily</t>
  </si>
  <si>
    <t>16342274-000-051</t>
  </si>
  <si>
    <t>ID20-2204</t>
  </si>
  <si>
    <t>PP001853;PF005932</t>
  </si>
  <si>
    <t>16342274-000-048</t>
  </si>
  <si>
    <t>ID20-2206</t>
  </si>
  <si>
    <t>AMAZON,JCPENNEY01,KOHLDSN,NRTPORT,OLLIIX,TGTDVS,Zulily</t>
  </si>
  <si>
    <t>16342274-000-050</t>
  </si>
  <si>
    <t>11/3/2023</t>
  </si>
  <si>
    <t>ID20-2207</t>
  </si>
  <si>
    <t>KOHLDSN,MACY02,OLLIIX,TGTDVS</t>
  </si>
  <si>
    <t>16342274-000-049</t>
  </si>
  <si>
    <t>ID20-1074</t>
  </si>
  <si>
    <t>PF001772</t>
  </si>
  <si>
    <t>AMAZONDS,HSNDS,KOHLDSN,MACY02,OLLIIX,TGTDVS</t>
  </si>
  <si>
    <t>16342274-000-033</t>
  </si>
  <si>
    <t>12/8/2016</t>
  </si>
  <si>
    <t>1/20/2017</t>
  </si>
  <si>
    <t>ID20-1914</t>
  </si>
  <si>
    <t>Sheet Set with Side Storage Pockets</t>
  </si>
  <si>
    <t>5/13/2020</t>
  </si>
  <si>
    <t>AMAZONDS,HDDS,JCPENNEY01,KOHLDSN,MACY02,TGTDVS</t>
  </si>
  <si>
    <t>27441431-000-021</t>
  </si>
  <si>
    <t>5/14/2020</t>
  </si>
  <si>
    <t>ID20-1915</t>
  </si>
  <si>
    <t>AMAZONDS,JCPENNEY01,KOHLDSN,MACY02,TGTDVS,WALMARTDS</t>
  </si>
  <si>
    <t>27441431-000-017</t>
  </si>
  <si>
    <t>5/25/2020</t>
  </si>
  <si>
    <t>ID20-1917</t>
  </si>
  <si>
    <t>AMAZONDS,HDDS,JCPENNEY01,KOHLDSN,MACY02,OLLIIX,TGTDVS</t>
  </si>
  <si>
    <t>27441431-000-018</t>
  </si>
  <si>
    <t>6/2/2020</t>
  </si>
  <si>
    <t>ID20-1078</t>
  </si>
  <si>
    <t>AMAZON,BEALLSDS,BLK01,FINGERHUTDS,HSNDS,KOHLDSN,MACY02,OLLIIX,TGTDVS,WALMARTDS</t>
  </si>
  <si>
    <t>16342274-000-037</t>
  </si>
  <si>
    <t>3/28/2017</t>
  </si>
  <si>
    <t>ID20-132</t>
  </si>
  <si>
    <t>PF001767</t>
  </si>
  <si>
    <t>AMAZONDS,BEALLSDS,KOHLDSN,MACY02,OLLIIX,TGTDVS,WALMARTDS</t>
  </si>
  <si>
    <t>16342274-000-010</t>
  </si>
  <si>
    <t>ID20-133</t>
  </si>
  <si>
    <t>FINGERHUTDS,HSNDS,JCPENNEY01,KOHLDSN,MACY02,TGTDVS,WALMARTDS</t>
  </si>
  <si>
    <t>16342274-000-011</t>
  </si>
  <si>
    <t>ID20-134</t>
  </si>
  <si>
    <t>AMAZONDS,BLK01,HSNDS,KOHLDSN,MACY02,OLLIIX,WALMARTDS</t>
  </si>
  <si>
    <t>16342274-000-012</t>
  </si>
  <si>
    <t>2/9/2015</t>
  </si>
  <si>
    <t>ID20-135</t>
  </si>
  <si>
    <t>AMAZONDS,FINGERHUTDS,HSNDS,JCPENNEY01,KOHLDSN,MACY02,OLLIIX,TGTDVS,WALMARTDS</t>
  </si>
  <si>
    <t>16342274-000-013</t>
  </si>
  <si>
    <t>ID20-136</t>
  </si>
  <si>
    <t>AMAZON,AMAZONDS,FINGERHUTDS,HSNDS,KOHLDSN,MACY02,OLLIIX,TGTDVS</t>
  </si>
  <si>
    <t>16342274-000-014</t>
  </si>
  <si>
    <t>2/4/2015</t>
  </si>
  <si>
    <t>ID20-2214</t>
  </si>
  <si>
    <t>PP001853;PF005934</t>
  </si>
  <si>
    <t>16342274-000-053</t>
  </si>
  <si>
    <t>ID20-2215</t>
  </si>
  <si>
    <t>16342274-000-057</t>
  </si>
  <si>
    <t>9/11/2023</t>
  </si>
  <si>
    <t>ID20-2216</t>
  </si>
  <si>
    <t>JCPENNEY01,KOHLDSN,OLLIIX,TGTDVS,Zulily</t>
  </si>
  <si>
    <t>16342274-000-056</t>
  </si>
  <si>
    <t>9/3/2023</t>
  </si>
  <si>
    <t>ID20-2217</t>
  </si>
  <si>
    <t>16342274-000-058</t>
  </si>
  <si>
    <t>ID20-138</t>
  </si>
  <si>
    <t>PF001769</t>
  </si>
  <si>
    <t>16342274-000-016</t>
  </si>
  <si>
    <t>2/20/2015</t>
  </si>
  <si>
    <t>ID20-139</t>
  </si>
  <si>
    <t>HSNDS,JCPENNEY01,MACY02,TGTDVS,WALMARTDS</t>
  </si>
  <si>
    <t>16342274-000-017</t>
  </si>
  <si>
    <t>1/30/2015</t>
  </si>
  <si>
    <t>ID20-141</t>
  </si>
  <si>
    <t>BLK01,FINGERHUTDS,HSNDS,JCPENNEY01,KOHLDSN,MACY02,TGTDVS,WALMARTDS</t>
  </si>
  <si>
    <t>16342274-000-019</t>
  </si>
  <si>
    <t>ID20-1081</t>
  </si>
  <si>
    <t>PF001773</t>
  </si>
  <si>
    <t>AMAZON,AMAZONDS,FINGERHUTDS,HSNDS,JCPENNEY01,KOHLDSN,MACY02,OLLIIX,TGTDVS,WALMARTDS</t>
  </si>
  <si>
    <t>16342274-000-040</t>
  </si>
  <si>
    <t>1/3/2017</t>
  </si>
  <si>
    <t>ID20-1084</t>
  </si>
  <si>
    <t>AMAZON,BLK01,FINGERHUTDS,HSNDS,JCPENNEY01,KOHLDSN,MACY02,TGTDVS,WALMARTDS,Zulily</t>
  </si>
  <si>
    <t>16342274-000-043</t>
  </si>
  <si>
    <t>1/12/2017</t>
  </si>
  <si>
    <t>ID20-143</t>
  </si>
  <si>
    <t>PF001770</t>
  </si>
  <si>
    <t>FINGERHUTDS,KOHLDSN,MACY02,OLLIIX,TGTDVS</t>
  </si>
  <si>
    <t>16342274-000-021</t>
  </si>
  <si>
    <t>1/13/2015</t>
  </si>
  <si>
    <t>ID20-1911</t>
  </si>
  <si>
    <t>AMAZONDS,JCPENNEY01,KOHLDSN,MACY02,OLLIIX,TGTDVS</t>
  </si>
  <si>
    <t>27441431-000-020</t>
  </si>
  <si>
    <t>ID20-144</t>
  </si>
  <si>
    <t>16342274-000-022</t>
  </si>
  <si>
    <t>ID20-146</t>
  </si>
  <si>
    <t>AMAZON,AMAZONDS,BLK01,FINGERHUTDS,HSNDS,KOHLDSN,MACY02,OLLIIX,TGTDVS</t>
  </si>
  <si>
    <t>16342274-000-024</t>
  </si>
  <si>
    <t>BASI10-0581</t>
  </si>
  <si>
    <t>Microfiber with HeiQ Smart Temp</t>
  </si>
  <si>
    <t>Oversized Down Alt Comforter with HeiQ Smart Temp Treatment</t>
  </si>
  <si>
    <t>PP001785;PF005746</t>
  </si>
  <si>
    <t>10/31/2022</t>
  </si>
  <si>
    <t>AMAZONDS,CSNSTORES,JCPENNEY01,KOHLDSN,MACY02,OLLIIX,TGTDVS</t>
  </si>
  <si>
    <t>40710765-000-001</t>
  </si>
  <si>
    <t>11/11/2022</t>
  </si>
  <si>
    <t>2/1/2023</t>
  </si>
  <si>
    <t>ID51-1087</t>
  </si>
  <si>
    <t>Microlight Plush</t>
  </si>
  <si>
    <t>Oversized Blanket</t>
  </si>
  <si>
    <t>PF003476</t>
  </si>
  <si>
    <t>AMAZON,BEALLSDS,BLK01,CSNSTORES,FINGERHUTDS,JCPENNEY01,KOHLDSN,MACY02,NRTPORT,OLLIIX,TGTDVS,WALMARTDS,Zulily</t>
  </si>
  <si>
    <t>18631076-000-013</t>
  </si>
  <si>
    <t>3/27/2017</t>
  </si>
  <si>
    <t>ID10-2266</t>
  </si>
  <si>
    <t>Mira</t>
  </si>
  <si>
    <t>Gemma</t>
  </si>
  <si>
    <t>Arabella</t>
  </si>
  <si>
    <t>Crushed Velvet Sherpa Reversible Comforter Set</t>
  </si>
  <si>
    <t>PP001907;PF006081</t>
  </si>
  <si>
    <t>42733819-000-003</t>
  </si>
  <si>
    <t>12/15/2023</t>
  </si>
  <si>
    <t>ID10-2268</t>
  </si>
  <si>
    <t>BLK01,CSNSTORES,JCPENNEY01,KOHLDSN,MACY02,NRTPORT,TGTDVS</t>
  </si>
  <si>
    <t>42733819-000-002</t>
  </si>
  <si>
    <t>ID10-2270</t>
  </si>
  <si>
    <t>PP001907;PF006082</t>
  </si>
  <si>
    <t>42733819-000-000</t>
  </si>
  <si>
    <t>ID10-2263</t>
  </si>
  <si>
    <t>PP001907;PF006080</t>
  </si>
  <si>
    <t>42733819-000-005</t>
  </si>
  <si>
    <t>1/10/2024</t>
  </si>
  <si>
    <t>SS40-0013</t>
  </si>
  <si>
    <t>Mirage</t>
  </si>
  <si>
    <t>Elysia</t>
  </si>
  <si>
    <t>Azalea</t>
  </si>
  <si>
    <t>Knitted Jacquard Damask Total Blackout Grommet Top Curtain Panel</t>
  </si>
  <si>
    <t>AMAZON,AMAZONDS,CSNSTORES,HDDS,JCPENNEY01,KOHLDSN,NEBFUR01,TGTDVS</t>
  </si>
  <si>
    <t>23909103-000-000</t>
  </si>
  <si>
    <t>10/30/2017</t>
  </si>
  <si>
    <t>SS40-0015</t>
  </si>
  <si>
    <t>AMAZON,ASHFURNDS,CSNSTORES,DESINC,HDDS,JCPENNEY01,NEBFUR01,OLLIIX,TGTDVS</t>
  </si>
  <si>
    <t>23909103-000-002</t>
  </si>
  <si>
    <t>SS40-0019</t>
  </si>
  <si>
    <t>Luxury</t>
  </si>
  <si>
    <t>AMAZON,AMAZONDS,CSNSTORES,HDDS,JCPENNEY01,KOHLDSN,NEBFUR01,OLLIIX,TGTDVS</t>
  </si>
  <si>
    <t>23909103-000-006</t>
  </si>
  <si>
    <t>12/11/2017</t>
  </si>
  <si>
    <t>SS40-0020</t>
  </si>
  <si>
    <t>AMAZON,CSNSTORES,DESINC,HDDS,JCPENNEY01,KOHLDSN,NEBFUR01,TGTDVS</t>
  </si>
  <si>
    <t>23909103-000-007</t>
  </si>
  <si>
    <t>SS40-0017</t>
  </si>
  <si>
    <t>AMAZON,AMAZONDS,ASHFURNDS,CSNSTORES,HDDS,JCPENNEY01,OLLIIX,TGTDVS</t>
  </si>
  <si>
    <t>23909103-000-004</t>
  </si>
  <si>
    <t>II100-0543</t>
  </si>
  <si>
    <t>SECTIONAL SOFA</t>
  </si>
  <si>
    <t>Sectional Sofa</t>
  </si>
  <si>
    <t>Molly</t>
  </si>
  <si>
    <t>Modular Corner Chair</t>
  </si>
  <si>
    <t>Corner Chair</t>
  </si>
  <si>
    <t>1/4/2024</t>
  </si>
  <si>
    <t>41053312-000-003</t>
  </si>
  <si>
    <t>II101-0545</t>
  </si>
  <si>
    <t>Modular Ottoman</t>
  </si>
  <si>
    <t>Ottoman</t>
  </si>
  <si>
    <t>41053312-000-005</t>
  </si>
  <si>
    <t>II100-0506</t>
  </si>
  <si>
    <t>Modular Armless Chair</t>
  </si>
  <si>
    <t>Silver Grey</t>
  </si>
  <si>
    <t>1/31/2023</t>
  </si>
  <si>
    <t>41053312-000-002</t>
  </si>
  <si>
    <t>II100-0505</t>
  </si>
  <si>
    <t>41053312-000-000</t>
  </si>
  <si>
    <t>4/12/2023</t>
  </si>
  <si>
    <t>II101-0507</t>
  </si>
  <si>
    <t>41053312-000-001</t>
  </si>
  <si>
    <t>8/14/2023</t>
  </si>
  <si>
    <t>MP100-0808</t>
  </si>
  <si>
    <t>Monroe</t>
  </si>
  <si>
    <t>Sophie</t>
  </si>
  <si>
    <t>Camel Back Exposed Wood Chair</t>
  </si>
  <si>
    <t>PP000216</t>
  </si>
  <si>
    <t>5/13/2019</t>
  </si>
  <si>
    <t>AMAZONDS,AMERSIGNDS,CSNSTORES,HDDS,HOUZZ,KIRKLANDDS,KOHLDSN,MACY02F,OLLIIX,ROOMECOM,TGTDVS</t>
  </si>
  <si>
    <t>32844002-000-000</t>
  </si>
  <si>
    <t>5/30/2019</t>
  </si>
  <si>
    <t>MP95C-0325</t>
  </si>
  <si>
    <t>Moody Coast</t>
  </si>
  <si>
    <t>Hand Embellished Landscape Framed Canvas Wall Art</t>
  </si>
  <si>
    <t>Blue/Pink</t>
  </si>
  <si>
    <t>10/21/2023</t>
  </si>
  <si>
    <t>42794029-000-000</t>
  </si>
  <si>
    <t>MT100-1203</t>
  </si>
  <si>
    <t>Morgan</t>
  </si>
  <si>
    <t>Cane Accent Chair with Removable Back Cushion</t>
  </si>
  <si>
    <t>Reclaimed Natural</t>
  </si>
  <si>
    <t>43804499-000-000</t>
  </si>
  <si>
    <t>HH12-1828</t>
  </si>
  <si>
    <t>5 Piece Cotton Jaquard Duvet Set</t>
  </si>
  <si>
    <t>PF005694;PP001753</t>
  </si>
  <si>
    <t>Farm House|Lodge/Cabin</t>
  </si>
  <si>
    <t>12/6/2022</t>
  </si>
  <si>
    <t>40856409-000-001</t>
  </si>
  <si>
    <t>12/8/2022</t>
  </si>
  <si>
    <t>1/15/2023</t>
  </si>
  <si>
    <t>MP95C-0284</t>
  </si>
  <si>
    <t>Moving Midas</t>
  </si>
  <si>
    <t>Gold Foil Abstract 2-piece Framed Canvas Wall Art Set</t>
  </si>
  <si>
    <t>PP001663</t>
  </si>
  <si>
    <t>AMAZON,AMERSIGNDS,JCPENNEY01,KIRKLANDDS,KOHLDSN,LAMPDS,OLLIIX,ROOMECOM,TGTDVS</t>
  </si>
  <si>
    <t>38513310-000-000</t>
  </si>
  <si>
    <t>8/22/2021</t>
  </si>
  <si>
    <t>ID91-524</t>
  </si>
  <si>
    <t>FASHION TOWEL</t>
  </si>
  <si>
    <t>Nadia</t>
  </si>
  <si>
    <t>Darcy</t>
  </si>
  <si>
    <t>Cotton Jacquard Bath Towel 6 Piece Set</t>
  </si>
  <si>
    <t>PF001470;PP000465</t>
  </si>
  <si>
    <t>Chevron</t>
  </si>
  <si>
    <t>AMAZON,AMAZONDS,BLK01,CSNSTORES,HOUZZ,JCPENNEY01,KOHLDSN,MACY02,TGTDVS</t>
  </si>
  <si>
    <t>18156920-000-000</t>
  </si>
  <si>
    <t>2/1/2016</t>
  </si>
  <si>
    <t>PET63HM6012</t>
  </si>
  <si>
    <t>Nala</t>
  </si>
  <si>
    <t>Hide Mat SM</t>
  </si>
  <si>
    <t>43826956-000-000</t>
  </si>
  <si>
    <t>6/19/2024</t>
  </si>
  <si>
    <t>PET63HM6013</t>
  </si>
  <si>
    <t>Hide Mat LG</t>
  </si>
  <si>
    <t>30x40"</t>
  </si>
  <si>
    <t>43826956-000-001</t>
  </si>
  <si>
    <t>II12-1132</t>
  </si>
  <si>
    <t>Nea</t>
  </si>
  <si>
    <t>Cotton Printed Duvet Cover Set with Trims</t>
  </si>
  <si>
    <t>PP001095;PF005261</t>
  </si>
  <si>
    <t>12/17/2020</t>
  </si>
  <si>
    <t>32118220-000-003</t>
  </si>
  <si>
    <t>12/30/2020</t>
  </si>
  <si>
    <t>II110-0391</t>
  </si>
  <si>
    <t>Newport</t>
  </si>
  <si>
    <t>Newport Wide Mid-Century Modern Lounge Chair</t>
  </si>
  <si>
    <t>10/7/2019</t>
  </si>
  <si>
    <t>CASTLEGATE,CSNSTORES,KOHLDSN,MACY02F,OLLIIX,ROOMECOM,TGTDVS,ZOLA</t>
  </si>
  <si>
    <t>20675185-000-002</t>
  </si>
  <si>
    <t>11/25/2019</t>
  </si>
  <si>
    <t>IIF18-0015</t>
  </si>
  <si>
    <t>Pale Green</t>
  </si>
  <si>
    <t>PF000954;PP000045</t>
  </si>
  <si>
    <t>CASTLEGATE,CSNSTORES,HDDS,KOHLDSN,OLLIIX</t>
  </si>
  <si>
    <t>19889542-000-000</t>
  </si>
  <si>
    <t>11/28/2016</t>
  </si>
  <si>
    <t>II100-0468</t>
  </si>
  <si>
    <t>AMAZONDS,ASHFURNDS,CASTLEGATE,CSNSTORES,HDDS,KIRKLANDDS,KOHLDSN,LAMPDS,MACY02F,OLLIIX</t>
  </si>
  <si>
    <t>20675185-000-005</t>
  </si>
  <si>
    <t>1/13/2022</t>
  </si>
  <si>
    <t>5DS153-0037</t>
  </si>
  <si>
    <t>Nicolo</t>
  </si>
  <si>
    <t>Textured Ceramic Table Lamp</t>
  </si>
  <si>
    <t>AMERSIGNDS,CSNSTORES,JCPENNEY01,KOHLDSN,OLLIIX,ROOMECOM,TGTDVS,Zulily</t>
  </si>
  <si>
    <t>39467327-000-000</t>
  </si>
  <si>
    <t>5DS153-0036</t>
  </si>
  <si>
    <t>AMAZONDS,AMERSIGNDS,CSNSTORES,HDDS,JCPENNEY01,KOHLDSN,NEBFUR01,OLLIIX,ROOMECOM,TGTDVS</t>
  </si>
  <si>
    <t>39467327-000-001</t>
  </si>
  <si>
    <t>5/17/2022</t>
  </si>
  <si>
    <t>II103-0355</t>
  </si>
  <si>
    <t>Nina</t>
  </si>
  <si>
    <t>Swivel Lounge Chair, Star Based Swivel</t>
  </si>
  <si>
    <t>Brown Multi</t>
  </si>
  <si>
    <t>27498950-000-000</t>
  </si>
  <si>
    <t>5/30/2018</t>
  </si>
  <si>
    <t>6/26/2018</t>
  </si>
  <si>
    <t>II100-0357</t>
  </si>
  <si>
    <t>Noe</t>
  </si>
  <si>
    <t>ASHFURNDS,CSNSTORES,HDDS,LAMPDS,MACY02F,OLLIIX,ZOLA</t>
  </si>
  <si>
    <t>27457674-000-000</t>
  </si>
  <si>
    <t>6/12/2018</t>
  </si>
  <si>
    <t>PET63CM6018</t>
  </si>
  <si>
    <t>Nova</t>
  </si>
  <si>
    <t>Back Printed Microberber Bumper Crate Mat</t>
  </si>
  <si>
    <t>43827513-000-000</t>
  </si>
  <si>
    <t>PET63CM6019</t>
  </si>
  <si>
    <t>43827513-000-001</t>
  </si>
  <si>
    <t>PET63CM6020</t>
  </si>
  <si>
    <t>43827513-000-003</t>
  </si>
  <si>
    <t>PET63CM6021</t>
  </si>
  <si>
    <t>43827513-000-002</t>
  </si>
  <si>
    <t>PET63CM6014</t>
  </si>
  <si>
    <t>Oxford Bumper Crate Mat</t>
  </si>
  <si>
    <t>Olive Green</t>
  </si>
  <si>
    <t>4/11/2023</t>
  </si>
  <si>
    <t>43827514-000-003</t>
  </si>
  <si>
    <t>PET63CM6015</t>
  </si>
  <si>
    <t>43827514-000-000</t>
  </si>
  <si>
    <t>PET63CM6016</t>
  </si>
  <si>
    <t>43827514-000-002</t>
  </si>
  <si>
    <t>PET63CM6017</t>
  </si>
  <si>
    <t>43827514-000-001</t>
  </si>
  <si>
    <t>II100-0435</t>
  </si>
  <si>
    <t>Novak</t>
  </si>
  <si>
    <t>Novak Mid-Century Modern Accent Armchair</t>
  </si>
  <si>
    <t>12/1/2020</t>
  </si>
  <si>
    <t>CASTLEGATE,CSNSTORES,HOUZZ,MACY02F,NEBFUR01,OLLIIX</t>
  </si>
  <si>
    <t>20226921-000-002</t>
  </si>
  <si>
    <t>12/7/2020</t>
  </si>
  <si>
    <t>II100-0487</t>
  </si>
  <si>
    <t>2/8/2023</t>
  </si>
  <si>
    <t>CSNSTORES,KIRKLANDDS,LAMPDS,OLLIIX</t>
  </si>
  <si>
    <t>20226921-000-004</t>
  </si>
  <si>
    <t>10/17/2024</t>
  </si>
  <si>
    <t>IIF18-0049</t>
  </si>
  <si>
    <t>PF000206</t>
  </si>
  <si>
    <t>12/4/2024</t>
  </si>
  <si>
    <t>AAFESDS,ASHFURNDS,CASTLEGATE,CSNSTORES,HDDS,HOUZZ,KIRKLANDDS,KOHLDSN,LAMPDS,MACY02F,OLLIIX,ROOMECOM,TGTDVS,Zulily</t>
  </si>
  <si>
    <t>20226921-000-000</t>
  </si>
  <si>
    <t>11/24/2016</t>
  </si>
  <si>
    <t>II100-0434</t>
  </si>
  <si>
    <t>AMERSIGNDS,CASTLEGATE,CSNSTORES,HOUZZ,JCPENNEY01,KOHLDSN,LAMPDS,MACY02F,NEBFUR01,OLLIIX,TGTDVS</t>
  </si>
  <si>
    <t>20226921-000-003</t>
  </si>
  <si>
    <t>12/10/2020</t>
  </si>
  <si>
    <t>ID20-1439</t>
  </si>
  <si>
    <t>Print Sheet Set</t>
  </si>
  <si>
    <t>TXL</t>
  </si>
  <si>
    <t>Aqua Dogs</t>
  </si>
  <si>
    <t>PP000909;PF004369</t>
  </si>
  <si>
    <t>AMAZON,CSNSTORES,KOHLDSN,MACY02,WALMARTDS</t>
  </si>
  <si>
    <t>26991463-000-002</t>
  </si>
  <si>
    <t>4/29/2018</t>
  </si>
  <si>
    <t>ID20-1441</t>
  </si>
  <si>
    <t>AMAZON,BLK01,CSNSTORES,KOHLDSN,MACY02,Zulily</t>
  </si>
  <si>
    <t>26991463-000-015</t>
  </si>
  <si>
    <t>5/21/2018</t>
  </si>
  <si>
    <t>ID20-1428</t>
  </si>
  <si>
    <t>Grey/Blue Road Trip</t>
  </si>
  <si>
    <t>PP000909;PF004366</t>
  </si>
  <si>
    <t>26991463-000-012</t>
  </si>
  <si>
    <t>6/11/2018</t>
  </si>
  <si>
    <t>ID20-1429</t>
  </si>
  <si>
    <t>2/25/2025</t>
  </si>
  <si>
    <t>26991463-000-021</t>
  </si>
  <si>
    <t>ID20-1431</t>
  </si>
  <si>
    <t>Pink Cats</t>
  </si>
  <si>
    <t>PP000909;PF004367</t>
  </si>
  <si>
    <t>BLK01,CSNSTORES,KOHLDSN,MACY02</t>
  </si>
  <si>
    <t>26991463-000-019</t>
  </si>
  <si>
    <t>BR73-3754</t>
  </si>
  <si>
    <t>Nuage</t>
  </si>
  <si>
    <t>Cotton Tencel Blend Antimicrobial 6 Piece Towel Set</t>
  </si>
  <si>
    <t>PP001792;PF005773</t>
  </si>
  <si>
    <t>11/22/2022</t>
  </si>
  <si>
    <t>1/31/2025</t>
  </si>
  <si>
    <t>CSNSTORES,HDDS,JCPENNEY01,KOHLDSN,MACY02,TGTDVS,ZOLA</t>
  </si>
  <si>
    <t>40822610-000-003</t>
  </si>
  <si>
    <t>11/28/2022</t>
  </si>
  <si>
    <t>4/10/2023</t>
  </si>
  <si>
    <t>LCN73-0131</t>
  </si>
  <si>
    <t>Nurture</t>
  </si>
  <si>
    <t>Sustainable Antimicrobial Bath Towel 6 Piece Set</t>
  </si>
  <si>
    <t>PP001624;PF005452</t>
  </si>
  <si>
    <t>9/6/2021</t>
  </si>
  <si>
    <t>JCPENNEY01,KOHLDSN,MACY02,TGTDVS,ZOLA</t>
  </si>
  <si>
    <t>38820878-000-003</t>
  </si>
  <si>
    <t>9/14/2021</t>
  </si>
  <si>
    <t>5DS13-0290</t>
  </si>
  <si>
    <t>Bedspread</t>
  </si>
  <si>
    <t>Oakley</t>
  </si>
  <si>
    <t>Hayley</t>
  </si>
  <si>
    <t>Glen</t>
  </si>
  <si>
    <t>3 Piece Reversible Bedspread Set</t>
  </si>
  <si>
    <t>PP000972;PF006115</t>
  </si>
  <si>
    <t>2/6/2024</t>
  </si>
  <si>
    <t>28324813-000-006</t>
  </si>
  <si>
    <t>2/22/2024</t>
  </si>
  <si>
    <t>5DS13-0291</t>
  </si>
  <si>
    <t>AMAZON,BLK01,CSNSTORES,HDDS,JCPENNEY01,KOHLDSN,MACY02,TGTDVS</t>
  </si>
  <si>
    <t>28324813-000-007</t>
  </si>
  <si>
    <t>3/12/2024</t>
  </si>
  <si>
    <t>MP95C-0062</t>
  </si>
  <si>
    <t>Ocean Seashells</t>
  </si>
  <si>
    <t>4-piece Framed Canvas Wall Art Set</t>
  </si>
  <si>
    <t>PF001950</t>
  </si>
  <si>
    <t>AMAZON,AMERSIGNDS,BLK01,KIRKLANDDS,KOHLDSN,OLLIIX,Zulily</t>
  </si>
  <si>
    <t>19308172-000-000</t>
  </si>
  <si>
    <t>8/27/2016</t>
  </si>
  <si>
    <t>MP50-1729</t>
  </si>
  <si>
    <t>Ogee</t>
  </si>
  <si>
    <t>Oversized Throw</t>
  </si>
  <si>
    <t>60x70"</t>
  </si>
  <si>
    <t>PF003630;PP000475</t>
  </si>
  <si>
    <t>AMAZON,CSNSTORES,FINGERHUTDS,JCPENNEY01,KOHLDSN,MACY02,OLLIIX,TGTDVS</t>
  </si>
  <si>
    <t>17690739-000-001</t>
  </si>
  <si>
    <t>11/4/2015</t>
  </si>
  <si>
    <t>MP50-3509</t>
  </si>
  <si>
    <t>PF003637;PP000475</t>
  </si>
  <si>
    <t>AMAZON,AMAZONDS,ASHFURNDS,CSNSTORES,FINGERHUTDS,HSNDS,JCPENNEY01,KOHLDSN,MACY02,OLLIIX,TGTDVS</t>
  </si>
  <si>
    <t>17690739-000-006</t>
  </si>
  <si>
    <t>MP50-1731</t>
  </si>
  <si>
    <t>PF003634;PP000475</t>
  </si>
  <si>
    <t>1/14/2025</t>
  </si>
  <si>
    <t>AMAZON,AMAZONDS,ASHFURNDS,FINGERHUTDS,HSNDS,JCPENNEY01,KOHLDSN,MACY02,OLLIIX,TGTDVS</t>
  </si>
  <si>
    <t>17690739-000-003</t>
  </si>
  <si>
    <t>11/8/2015</t>
  </si>
  <si>
    <t>ID10-2322</t>
  </si>
  <si>
    <t>Oliena</t>
  </si>
  <si>
    <t>Elodie</t>
  </si>
  <si>
    <t>Floral Paisley Comforter Set</t>
  </si>
  <si>
    <t>PF006200</t>
  </si>
  <si>
    <t>43792213-000-000</t>
  </si>
  <si>
    <t>5/9/2024</t>
  </si>
  <si>
    <t>ID12-2324</t>
  </si>
  <si>
    <t>Floral Paisley Duvet Cover Set</t>
  </si>
  <si>
    <t>43794458-000-000</t>
  </si>
  <si>
    <t>BR20-4174</t>
  </si>
  <si>
    <t>Oversized Cotton Flannel</t>
  </si>
  <si>
    <t>4 Piece Sheet Set</t>
  </si>
  <si>
    <t>Beige/White Stripes</t>
  </si>
  <si>
    <t>PP001510;PF006052</t>
  </si>
  <si>
    <t>12/3/2024</t>
  </si>
  <si>
    <t>AMAZON,CSNSTORES,HDDS,JCPENNEY01,KOHLDSN,MACY02,TGTDVS</t>
  </si>
  <si>
    <t>36614943-000-027</t>
  </si>
  <si>
    <t>BR20-1861</t>
  </si>
  <si>
    <t>Grey Petals</t>
  </si>
  <si>
    <t>PP001510;PF005127</t>
  </si>
  <si>
    <t>AMAZONDS,BLK01,CSNSTORES,FINGERHUTDS,HDDS,JCPENNEY01,KOHLDSN,MACY02,NORDSTRACKDS,TGTDVS,Zulily</t>
  </si>
  <si>
    <t>36614943-000-017</t>
  </si>
  <si>
    <t>9/30/2020</t>
  </si>
  <si>
    <t>BR20-1862</t>
  </si>
  <si>
    <t>AMAZONDS,BLK01,CSNSTORES,HDDS,JCPENNEY01,KOHLDSN,MACY02,TGTDVS</t>
  </si>
  <si>
    <t>36614943-000-014</t>
  </si>
  <si>
    <t>11/11/2020</t>
  </si>
  <si>
    <t>BR20-1851</t>
  </si>
  <si>
    <t>Ivory Solid</t>
  </si>
  <si>
    <t>PP001510;PF005126</t>
  </si>
  <si>
    <t>AMAZONDS,CSNSTORES,DESINC,HDDS,JCPENNEY01,KOHLDSN,MACY02,TGTDVS</t>
  </si>
  <si>
    <t>36614943-000-002</t>
  </si>
  <si>
    <t>1/18/2021</t>
  </si>
  <si>
    <t>BR20-1846</t>
  </si>
  <si>
    <t>Seafoam Solid</t>
  </si>
  <si>
    <t>PP001510;PF005124</t>
  </si>
  <si>
    <t>AMAZONDS,BLK01,CSNSTORES,HDDS,JCPENNEY01,KOHLDSN,MACY02,NORDSTRACKDS,TGTDVS</t>
  </si>
  <si>
    <t>36614943-000-007</t>
  </si>
  <si>
    <t>BR20-1847</t>
  </si>
  <si>
    <t>AMAZONDS,BLK01,HDDS,JCPENNEY01,KOHLDSN,MACY02,TGTDVS,Zulily</t>
  </si>
  <si>
    <t>36614943-000-021</t>
  </si>
  <si>
    <t>12/11/2020</t>
  </si>
  <si>
    <t>BR20-4167</t>
  </si>
  <si>
    <t>White Tossed Botanical</t>
  </si>
  <si>
    <t>PP001510;PF006051</t>
  </si>
  <si>
    <t>36614943-000-031</t>
  </si>
  <si>
    <t>FPF18-0219</t>
  </si>
  <si>
    <t>Oxford</t>
  </si>
  <si>
    <t>Nathan</t>
  </si>
  <si>
    <t>Mid-Century Accent Chair</t>
  </si>
  <si>
    <t>Burnt Orange</t>
  </si>
  <si>
    <t>PF000651;PP000226</t>
  </si>
  <si>
    <t>AMERSIGNDS,ASHFURNDS,CSNSTORES,KOHLDSN,MACY02F,OLLIIX,ROOMECOM</t>
  </si>
  <si>
    <t>16977709-000-002</t>
  </si>
  <si>
    <t>3/11/2015</t>
  </si>
  <si>
    <t>FPF18-0217</t>
  </si>
  <si>
    <t>PF000649;PP000226</t>
  </si>
  <si>
    <t>CASTLEGATE,CSNSTORES,OLLIIX,ROOMECOM</t>
  </si>
  <si>
    <t>16977709-000-000</t>
  </si>
  <si>
    <t>FPF18-0218</t>
  </si>
  <si>
    <t>PF000650;PP000226</t>
  </si>
  <si>
    <t>ASHFURNDS,CASTLEGATE,CSNSTORES,HDDS,KOHLDSN,OLLIIX</t>
  </si>
  <si>
    <t>16977709-000-001</t>
  </si>
  <si>
    <t>2/3/2015</t>
  </si>
  <si>
    <t>II150-0077</t>
  </si>
  <si>
    <t>Paige</t>
  </si>
  <si>
    <t>12-Light Chandelier with Oversized Globe Bulbs</t>
  </si>
  <si>
    <t>PF002785</t>
  </si>
  <si>
    <t>1/20/2018</t>
  </si>
  <si>
    <t>AMERSIGNDS,CASTLEGATE,CSNSTORES,HOUZZ,LAMPDS,OLLIIX</t>
  </si>
  <si>
    <t>19071072-000-001</t>
  </si>
  <si>
    <t>3/5/2018</t>
  </si>
  <si>
    <t>3/25/2018</t>
  </si>
  <si>
    <t>MP10-1318</t>
  </si>
  <si>
    <t>Palisades</t>
  </si>
  <si>
    <t>Hanover</t>
  </si>
  <si>
    <t>Overland</t>
  </si>
  <si>
    <t>7 Piece Faux Suede Comforter Set</t>
  </si>
  <si>
    <t>PF002695;PP000481</t>
  </si>
  <si>
    <t>Traditional|Casual</t>
  </si>
  <si>
    <t>16662802-000-002</t>
  </si>
  <si>
    <t>BASI50-0427</t>
  </si>
  <si>
    <t>Parker</t>
  </si>
  <si>
    <t>Williams</t>
  </si>
  <si>
    <t>Oversized Plush Down Alternative Filled Throw</t>
  </si>
  <si>
    <t>PF002130;PP000483</t>
  </si>
  <si>
    <t>ASHFURNDS,BLK01,CSNSTORES,JCPENNEY01,KOHLDSN,MACY02,OLLIIX,TGTDVS,WALMARTDS</t>
  </si>
  <si>
    <t>19195715-000-001</t>
  </si>
  <si>
    <t>8/9/2016</t>
  </si>
  <si>
    <t>8/26/2016</t>
  </si>
  <si>
    <t>BASI50-0426</t>
  </si>
  <si>
    <t>PF002129;PP000483</t>
  </si>
  <si>
    <t>BLK01,CSNSTORES,JCPENNEY01,KOHLDSN,MACY02,OLLIIX,TGTDVS,WALMARTDS,Zulily</t>
  </si>
  <si>
    <t>19195715-000-000</t>
  </si>
  <si>
    <t>11/8/2016</t>
  </si>
  <si>
    <t>BASI50-0428</t>
  </si>
  <si>
    <t>PF002131;PP000483</t>
  </si>
  <si>
    <t>BEALLSDS,CSNSTORES,HOUZZ,JCPENNEY01,KOHLDSN,MACY02,OLLIIX,TGTDVS,WALMARTDS</t>
  </si>
  <si>
    <t>19195715-000-002</t>
  </si>
  <si>
    <t>MP120-1129</t>
  </si>
  <si>
    <t>Avalon</t>
  </si>
  <si>
    <t>Avenu</t>
  </si>
  <si>
    <t>Off-White/Black</t>
  </si>
  <si>
    <t>2/4/2022</t>
  </si>
  <si>
    <t>AMAZONDS,AMERSIGNDS,ASHFURNDS,CSNSTORES,OLLIIX,ZOLA</t>
  </si>
  <si>
    <t>31023957-000-002</t>
  </si>
  <si>
    <t>2/9/2022</t>
  </si>
  <si>
    <t>2/10/2022</t>
  </si>
  <si>
    <t>MPE10-824</t>
  </si>
  <si>
    <t>Parkston</t>
  </si>
  <si>
    <t>Hartford</t>
  </si>
  <si>
    <t>3M Scotchgard Down Alternative All Season Comforter Set</t>
  </si>
  <si>
    <t>PF004814;PP001340</t>
  </si>
  <si>
    <t>8/26/2019</t>
  </si>
  <si>
    <t>AMAZON,AMAZONDS,ASHFURNDS,BLK01,CSNSTORES,JCPENNEY01,KOHLDSN,MACY02,OLLIIX,TGTDVS</t>
  </si>
  <si>
    <t>16339273-000-003</t>
  </si>
  <si>
    <t>MPE10-948</t>
  </si>
  <si>
    <t>PP001340;PF005481</t>
  </si>
  <si>
    <t>16339273-000-010</t>
  </si>
  <si>
    <t>MPE10-950</t>
  </si>
  <si>
    <t>16339273-000-006</t>
  </si>
  <si>
    <t>8/5/2021</t>
  </si>
  <si>
    <t>MPE10-947</t>
  </si>
  <si>
    <t>PP001340;PF005480</t>
  </si>
  <si>
    <t>AMAZON,CSNSTORES,DESINC,JCPENNEY01,KOHLDSN,MACY02,TGTDVS</t>
  </si>
  <si>
    <t>16339273-000-009</t>
  </si>
  <si>
    <t>II95B-0159</t>
  </si>
  <si>
    <t>Paths Collide</t>
  </si>
  <si>
    <t>Textured Framed Carved Resin Dimensional Wall Décor</t>
  </si>
  <si>
    <t>Off-White</t>
  </si>
  <si>
    <t>MACY02,OLLIIX,TGTDVS</t>
  </si>
  <si>
    <t>43051392-000-000</t>
  </si>
  <si>
    <t>MP20-5411</t>
  </si>
  <si>
    <t>Peached Percale</t>
  </si>
  <si>
    <t>200 Thread Count Relaxed Cotton Percale Sheet Set</t>
  </si>
  <si>
    <t>PF004094</t>
  </si>
  <si>
    <t>26575275-000-028</t>
  </si>
  <si>
    <t>4/9/2018</t>
  </si>
  <si>
    <t>MP20-5413</t>
  </si>
  <si>
    <t>BLK01,HDDS,JCPENNEY01,KOHLDSN,MACY02,OLLIIX</t>
  </si>
  <si>
    <t>26575275-000-024</t>
  </si>
  <si>
    <t>4/11/2018</t>
  </si>
  <si>
    <t>MP20-5415</t>
  </si>
  <si>
    <t>BLK01,CSNSTORES,HDDS,JCPENNEY01,KOHLDSN,MACY02,OLLIIX,TGTDVS</t>
  </si>
  <si>
    <t>26575275-000-010</t>
  </si>
  <si>
    <t>MP20-5416</t>
  </si>
  <si>
    <t>26575275-000-021</t>
  </si>
  <si>
    <t>MP20-5387</t>
  </si>
  <si>
    <t>PF004090</t>
  </si>
  <si>
    <t>JCPENNEY01,KOHLDSN,MACY02,TGTDVS</t>
  </si>
  <si>
    <t>26575275-000-018</t>
  </si>
  <si>
    <t>6/4/2018</t>
  </si>
  <si>
    <t>MP20-5381</t>
  </si>
  <si>
    <t>PF004088</t>
  </si>
  <si>
    <t>BLK01,CSNSTORES,HDDS,JCPENNEY01,KOHLDSN,MACY02,TGTDVS</t>
  </si>
  <si>
    <t>26575275-000-032</t>
  </si>
  <si>
    <t>12/2/2018</t>
  </si>
  <si>
    <t>MP20-5398</t>
  </si>
  <si>
    <t>PF004091</t>
  </si>
  <si>
    <t>26575275-000-003</t>
  </si>
  <si>
    <t>MP20-5382</t>
  </si>
  <si>
    <t>PF004089</t>
  </si>
  <si>
    <t>HDDS,JCPENNEY01,KOHLDSN,MACY02,OLLIIX,TGTDVS</t>
  </si>
  <si>
    <t>26575275-000-005</t>
  </si>
  <si>
    <t>MP20-5383</t>
  </si>
  <si>
    <t>BLK01,HDDS,JCPENNEY01,KOHLDSN,MACY02,TGTDVS,Zulily</t>
  </si>
  <si>
    <t>26575275-000-023</t>
  </si>
  <si>
    <t>5/22/2018</t>
  </si>
  <si>
    <t>MP20-5385</t>
  </si>
  <si>
    <t>BEALLSDS,BLK01,CSNSTORES,JCPENNEY01,KOHLDSN,MACY02,OLLIIX,TGTDVS,WALMARTDS,Zulily</t>
  </si>
  <si>
    <t>26575275-000-025</t>
  </si>
  <si>
    <t>MP20-5399</t>
  </si>
  <si>
    <t>PF004092</t>
  </si>
  <si>
    <t>BLK01,JCPENNEY01,KOHLDSN,MACY02,NEBFUR01,OLLIIX</t>
  </si>
  <si>
    <t>26575275-000-022</t>
  </si>
  <si>
    <t>MP104-1146</t>
  </si>
  <si>
    <t>Pearce</t>
  </si>
  <si>
    <t>Walsh</t>
  </si>
  <si>
    <t>Howard</t>
  </si>
  <si>
    <t>Pearce Swivel Upholstered Counter Stool with Solid Wood Legs &amp; Metal Footrest</t>
  </si>
  <si>
    <t>1/28/2022</t>
  </si>
  <si>
    <t>CSNSTORES,KOHLDSN,MACY02F,OLLIIX</t>
  </si>
  <si>
    <t>26360394-000-002</t>
  </si>
  <si>
    <t>2/17/2022</t>
  </si>
  <si>
    <t>3/3/2022</t>
  </si>
  <si>
    <t>MP104-1147</t>
  </si>
  <si>
    <t>2/15/2022</t>
  </si>
  <si>
    <t>26360394-000-003</t>
  </si>
  <si>
    <t>5/10/2022</t>
  </si>
  <si>
    <t>6/14/2022</t>
  </si>
  <si>
    <t>MP104-0988</t>
  </si>
  <si>
    <t>CASTLEGATE,CSNSTORES,HOUZZ,KOHLDSN,LAMPDS,MACY02F,NEBFUR01,OLLIIX,TGTDVS</t>
  </si>
  <si>
    <t>26360394-000-001</t>
  </si>
  <si>
    <t>6/29/2020</t>
  </si>
  <si>
    <t>7/20/2020</t>
  </si>
  <si>
    <t>ID95C-0041</t>
  </si>
  <si>
    <t>Pet Portrait</t>
  </si>
  <si>
    <t>Bohemian Cat In Forest Framed Canvas Wall Art</t>
  </si>
  <si>
    <t>Bohemian Cat</t>
  </si>
  <si>
    <t>OLLIIX,TGTDVS</t>
  </si>
  <si>
    <t>42721568-000-001</t>
  </si>
  <si>
    <t>ID95C-0043</t>
  </si>
  <si>
    <t>Rosie the Feline Framed Canvas Wall Art</t>
  </si>
  <si>
    <t>Rosie Feline</t>
  </si>
  <si>
    <t>AMAZON,AMAZONDS,DESINC,JCPENNEY01,OLLIIX,TGTDVS</t>
  </si>
  <si>
    <t>42721568-000-004</t>
  </si>
  <si>
    <t>CSP10-1485</t>
  </si>
  <si>
    <t>Pike</t>
  </si>
  <si>
    <t>Carter</t>
  </si>
  <si>
    <t>Plaid Reversible Comforter Set</t>
  </si>
  <si>
    <t>White/Gray</t>
  </si>
  <si>
    <t>PF005618</t>
  </si>
  <si>
    <t>6/9/2021</t>
  </si>
  <si>
    <t>AMAZON,CSNSTORES,DESINC,JCPENNEY01,KIRKLANDDS,KOHLDSN,MACY02,NEBFUR01,ROOMECOM,TGTDVS</t>
  </si>
  <si>
    <t>39297866-000-000</t>
  </si>
  <si>
    <t>11/30/2021</t>
  </si>
  <si>
    <t>3/14/2022</t>
  </si>
  <si>
    <t>BR73-2440</t>
  </si>
  <si>
    <t>Plume</t>
  </si>
  <si>
    <t>100% Cotton Feather Touch Antimicrobial Towel 6 Piece Set</t>
  </si>
  <si>
    <t>PP001590;PF005341</t>
  </si>
  <si>
    <t>AMAZON,JCPENNEY01,KOHLDSN,MACY02,OLLIIX,TGTDVS,ZOLA,Zulily</t>
  </si>
  <si>
    <t>37965788-000-000</t>
  </si>
  <si>
    <t>BR73-2439</t>
  </si>
  <si>
    <t>PP001590;PF005340</t>
  </si>
  <si>
    <t>AMAZON,CSNSTORES,JCPENNEY01,KOHLDSN,MACY02,NORDSTRACKDS,TGTDVS,ZOLA</t>
  </si>
  <si>
    <t>37965788-000-004</t>
  </si>
  <si>
    <t>BR73-4070</t>
  </si>
  <si>
    <t>PP001590;PF005957</t>
  </si>
  <si>
    <t>6/27/2023</t>
  </si>
  <si>
    <t>KOHLDSN,MACY02,OLLIIX,TGTDVS,ZOLA</t>
  </si>
  <si>
    <t>Unproductive</t>
  </si>
  <si>
    <t>II13-1201</t>
  </si>
  <si>
    <t>Pomona</t>
  </si>
  <si>
    <t>3 Piece Embroidered Cotton Quilt Set</t>
  </si>
  <si>
    <t>PP000486;PF005524</t>
  </si>
  <si>
    <t>9/1/2021</t>
  </si>
  <si>
    <t>17488499-000-006</t>
  </si>
  <si>
    <t>9/2/2021</t>
  </si>
  <si>
    <t>9/13/2021</t>
  </si>
  <si>
    <t>MP10-699</t>
  </si>
  <si>
    <t>Princeton</t>
  </si>
  <si>
    <t>Dartmouth</t>
  </si>
  <si>
    <t>Cambridge</t>
  </si>
  <si>
    <t>7 Piece Comforter Set</t>
  </si>
  <si>
    <t>PF003392;PP000487</t>
  </si>
  <si>
    <t>Transitional|Glam/Luxury</t>
  </si>
  <si>
    <t>AMAZON,AMAZONDS,BLK01,CSNSTORES,JCPENNEY01,KOHLDSN,MACY02,NRTPORT</t>
  </si>
  <si>
    <t>18381999-000-002</t>
  </si>
  <si>
    <t>1/19/2015</t>
  </si>
  <si>
    <t>ID20-2218</t>
  </si>
  <si>
    <t>Printed Microfiber</t>
  </si>
  <si>
    <t>Black Floral</t>
  </si>
  <si>
    <t>PP001852;PF005930</t>
  </si>
  <si>
    <t>3/2/2023</t>
  </si>
  <si>
    <t>AMAZON,AMAZONDS,JCPENNEY01,KOHLDSN,MACY02,OLLIIX,TGTDVS</t>
  </si>
  <si>
    <t>42128527-000-006</t>
  </si>
  <si>
    <t>ID20-2219</t>
  </si>
  <si>
    <t>AMAZON,AMAZONDS,KOHLDSN,MACY02,TGTDVS</t>
  </si>
  <si>
    <t>42128527-000-005</t>
  </si>
  <si>
    <t>ID20-2221</t>
  </si>
  <si>
    <t>AMAZON,CSNSTORES,KOHLDSN,MACY02,OLLIIX,TGTDVS</t>
  </si>
  <si>
    <t>42128527-000-003</t>
  </si>
  <si>
    <t>8/14/2024</t>
  </si>
  <si>
    <t>ID20-2224</t>
  </si>
  <si>
    <t>Blue Chevron</t>
  </si>
  <si>
    <t>PP001852;PF005931</t>
  </si>
  <si>
    <t>AMAZONDS,DESINC,JCPENNEY01,KOHLDSN,MACY02,NEBFUR01,TGTDVS</t>
  </si>
  <si>
    <t>42128527-000-007</t>
  </si>
  <si>
    <t>4/30/2024</t>
  </si>
  <si>
    <t>ID20-2225</t>
  </si>
  <si>
    <t>AMAZONDS,CSNSTORES,KOHLDSN,MACY02,TGTDVS</t>
  </si>
  <si>
    <t>42128527-000-001</t>
  </si>
  <si>
    <t>MPE20-1026</t>
  </si>
  <si>
    <t>Printed Satin</t>
  </si>
  <si>
    <t>Blue Marble</t>
  </si>
  <si>
    <t>PP001851;PF006096</t>
  </si>
  <si>
    <t>Satin</t>
  </si>
  <si>
    <t>42672831-000-009</t>
  </si>
  <si>
    <t>11/24/2023</t>
  </si>
  <si>
    <t>MPE20-1028</t>
  </si>
  <si>
    <t>42672831-000-011</t>
  </si>
  <si>
    <t>MPE20-999</t>
  </si>
  <si>
    <t>Gray Leopard</t>
  </si>
  <si>
    <t>PP001851;PF005928</t>
  </si>
  <si>
    <t>3/1/2023</t>
  </si>
  <si>
    <t>42672831-000-004</t>
  </si>
  <si>
    <t>9/26/2023</t>
  </si>
  <si>
    <t>MPE20-1000</t>
  </si>
  <si>
    <t>42672831-000-006</t>
  </si>
  <si>
    <t>11/14/2023</t>
  </si>
  <si>
    <t>MPE20-992</t>
  </si>
  <si>
    <t>Taupe Leopard</t>
  </si>
  <si>
    <t>PP001851;PF005927</t>
  </si>
  <si>
    <t>42672831-000-002</t>
  </si>
  <si>
    <t>MPE20-993</t>
  </si>
  <si>
    <t>42672831-000-000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</si>
  <si>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</si>
  <si>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</si>
  <si>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</si>
  <si>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</si>
  <si>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</si>
  <si>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</si>
  <si>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</si>
  <si>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</si>
  <si>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AMAZON,AMERSIGNDS,CSNSTORES,KIRKLANDDS,NEBFUR01,OLLIIX,ROOMECOM</t>
  </si>
  <si>
    <t>22661256-000-000</t>
  </si>
  <si>
    <t>6/9/2017</t>
  </si>
  <si>
    <t>9/12/2017</t>
  </si>
  <si>
    <t>MP13-367</t>
  </si>
  <si>
    <t>Quebec</t>
  </si>
  <si>
    <t>Mansfield</t>
  </si>
  <si>
    <t>Vancouver</t>
  </si>
  <si>
    <t>Reversible Quilt Set</t>
  </si>
  <si>
    <t>PF002475;PP000488</t>
  </si>
  <si>
    <t>AMAZON,BLK01,CSNSTORES,HDDS,JCPENNEY01,KOHLDSN,MACY02,OLLIIX,TGTDVS</t>
  </si>
  <si>
    <t>13673545-000-011</t>
  </si>
  <si>
    <t>MP13-2581</t>
  </si>
  <si>
    <t>PF002400</t>
  </si>
  <si>
    <t>13673545-000-023</t>
  </si>
  <si>
    <t>6/10/2016</t>
  </si>
  <si>
    <t>MP13-1687</t>
  </si>
  <si>
    <t>PF002402</t>
  </si>
  <si>
    <t>AMAZON,AMAZONDS,BEALLSDS,BLK01,CSNSTORES,HDDS,HSNDS,JCPENNEY01,KOHLDSN,MACY02,OLLIIX,TGTDVS,Zulily</t>
  </si>
  <si>
    <t>13673545-000-022</t>
  </si>
  <si>
    <t>7/27/2015</t>
  </si>
  <si>
    <t>MP13-482</t>
  </si>
  <si>
    <t>PF002464;PP000488</t>
  </si>
  <si>
    <t>13673545-000-013</t>
  </si>
  <si>
    <t>MP13-153</t>
  </si>
  <si>
    <t>AMAZON,AMAZONDS,BLK01,CSNSTORES,HDDS,JCPENNEY01,KOHLDSN,MACY02,OLLIIX,TGTDVS,Zulily</t>
  </si>
  <si>
    <t>13673545-000-002</t>
  </si>
  <si>
    <t>MP13-1387</t>
  </si>
  <si>
    <t>PF002486;PP000488</t>
  </si>
  <si>
    <t>AMAZONDS,BLK01,CSNSTORES,JCPENNEY01,MACY02,TGTDVS</t>
  </si>
  <si>
    <t>13673545-000-024</t>
  </si>
  <si>
    <t>6/21/2016</t>
  </si>
  <si>
    <t>FPF18-0513</t>
  </si>
  <si>
    <t>Qwen</t>
  </si>
  <si>
    <t>Elle</t>
  </si>
  <si>
    <t>Cassie</t>
  </si>
  <si>
    <t>Button Tufted Accent Chair</t>
  </si>
  <si>
    <t>PF000757;PP000233</t>
  </si>
  <si>
    <t>ASHFURNDS,CSNSTORES,KOHLDSN,MACY02F,OLLIIX,ROOMECOM,TGTDVS</t>
  </si>
  <si>
    <t>18677251-000-005</t>
  </si>
  <si>
    <t>6/14/2016</t>
  </si>
  <si>
    <t>MP100-1054</t>
  </si>
  <si>
    <t>10/29/2020</t>
  </si>
  <si>
    <t>ASHFURNDS,CSNSTORES,JCPENNEY01,KOHLDSN,MACY02F,OLLIIX</t>
  </si>
  <si>
    <t>18677251-000-002</t>
  </si>
  <si>
    <t>11/16/2020</t>
  </si>
  <si>
    <t>MP95B-0319</t>
  </si>
  <si>
    <t>Awd</t>
  </si>
  <si>
    <t>Radiant</t>
  </si>
  <si>
    <t>Half-moon 2-piece Metal Wall Decor Set</t>
  </si>
  <si>
    <t>10/31/2023</t>
  </si>
  <si>
    <t>42877457-000-000</t>
  </si>
  <si>
    <t>MP95C-0205</t>
  </si>
  <si>
    <t>Radiant Flatland</t>
  </si>
  <si>
    <t>Hand Embellished Glitter 2-piece Canvas Wall Art Set</t>
  </si>
  <si>
    <t>AMAZON,ASHFURNDS,CSNSTORES,KIRKLANDDS,KOHLDSN,MACY02,OLLIIX</t>
  </si>
  <si>
    <t>33497360-000-000</t>
  </si>
  <si>
    <t>6/8/2019</t>
  </si>
  <si>
    <t>9/10/2019</t>
  </si>
  <si>
    <t>ID40-1407</t>
  </si>
  <si>
    <t>Raina</t>
  </si>
  <si>
    <t>Arielle</t>
  </si>
  <si>
    <t>Total Blackout Metallic Print Grommet Top Curtain Panel</t>
  </si>
  <si>
    <t>Aqua/Silver</t>
  </si>
  <si>
    <t>PF001694;PP000896</t>
  </si>
  <si>
    <t>1/3/2018</t>
  </si>
  <si>
    <t>AMAZON,AMAZONDS,BEALLSDS,BLK01,CSNSTORES,DESINC,JCPENNEY01,KOHLDSN,TGTDVS</t>
  </si>
  <si>
    <t>26317608-000-002</t>
  </si>
  <si>
    <t>3/1/2018</t>
  </si>
  <si>
    <t>ID10-1246</t>
  </si>
  <si>
    <t>Metallic Printed Comforter Set</t>
  </si>
  <si>
    <t>PF001696</t>
  </si>
  <si>
    <t>AMAZON,AMAZONDS,CASTLEGATE,CSNSTORES,FINGERHUTDS,HDDS,JCPENNEY01,KOHLDSN,MACY02,NRTPORT,ROOMECOM,TGTDVS</t>
  </si>
  <si>
    <t>22972351-000-013</t>
  </si>
  <si>
    <t>ID40-1616</t>
  </si>
  <si>
    <t>50x63"</t>
  </si>
  <si>
    <t>PF001696;PP000896</t>
  </si>
  <si>
    <t>12/20/2018</t>
  </si>
  <si>
    <t>26317608-000-004</t>
  </si>
  <si>
    <t>12/26/2018</t>
  </si>
  <si>
    <t>1/2/2019</t>
  </si>
  <si>
    <t>ID12-1393</t>
  </si>
  <si>
    <t>Metallic Printed Duvet Cover Set</t>
  </si>
  <si>
    <t>PF004172</t>
  </si>
  <si>
    <t>AMAZON,CSNSTORES,HDDS,JCPENNEY01,MACY02</t>
  </si>
  <si>
    <t>26059446-000-012</t>
  </si>
  <si>
    <t>2/13/2018</t>
  </si>
  <si>
    <t>3/2/2018</t>
  </si>
  <si>
    <t>ID40-1618</t>
  </si>
  <si>
    <t>PF001695;PP000896</t>
  </si>
  <si>
    <t>AMAZON,CSNSTORES,JCPENNEY01,KOHLDSN,NEBFUR01,NRTPORT</t>
  </si>
  <si>
    <t>26317608-000-005</t>
  </si>
  <si>
    <t>ID12-1512</t>
  </si>
  <si>
    <t>Ivory/Gold</t>
  </si>
  <si>
    <t>PP000896;PF004343</t>
  </si>
  <si>
    <t>26059446-000-005</t>
  </si>
  <si>
    <t>7/13/2018</t>
  </si>
  <si>
    <t>ID10-1817</t>
  </si>
  <si>
    <t>PP000896;PF004928</t>
  </si>
  <si>
    <t>10/19/2019</t>
  </si>
  <si>
    <t>22972351-000-010</t>
  </si>
  <si>
    <t>10/22/2019</t>
  </si>
  <si>
    <t>5DS153-0023</t>
  </si>
  <si>
    <t>Ranier</t>
  </si>
  <si>
    <t>Iridescent Glass Table Lamp</t>
  </si>
  <si>
    <t>Iridescent</t>
  </si>
  <si>
    <t>11/8/2018</t>
  </si>
  <si>
    <t>AMAZONDS,AMERSIGNDS,CSNSTORES,DESINC,HOUZZ,KOHLDSN,OLLIIX</t>
  </si>
  <si>
    <t>30781769-000-000</t>
  </si>
  <si>
    <t>11/26/2018</t>
  </si>
  <si>
    <t>BASI30-0526</t>
  </si>
  <si>
    <t>Pillow Insert</t>
  </si>
  <si>
    <t>Rayon from Bamboo</t>
  </si>
  <si>
    <t>Shredded Memory Foam Pillow with Rayon from Bamboo Blend Cover</t>
  </si>
  <si>
    <t>Body Pillow</t>
  </si>
  <si>
    <t>PP000941</t>
  </si>
  <si>
    <t>Classic</t>
  </si>
  <si>
    <t>4/13/2018</t>
  </si>
  <si>
    <t>BLK01,CSNSTORES,DESINC,HOUZZ,JCPENNEY01,KOHLDSN,MACY02,NEBFUR01,NRTPORT,OLLIIX,TGTDVS</t>
  </si>
  <si>
    <t>26942078-000-000</t>
  </si>
  <si>
    <t>3/26/2019</t>
  </si>
  <si>
    <t>II121-0039</t>
  </si>
  <si>
    <t>Renu</t>
  </si>
  <si>
    <t>Round Bar Table</t>
  </si>
  <si>
    <t>Light Brown</t>
  </si>
  <si>
    <t>PF000887;PP000048</t>
  </si>
  <si>
    <t>CASTLEGATE,KOHLDSN,MACY02F,OLLIIX</t>
  </si>
  <si>
    <t>20665657-000-000</t>
  </si>
  <si>
    <t>2/13/2017</t>
  </si>
  <si>
    <t>MP13-8388</t>
  </si>
  <si>
    <t>Daybed Cover</t>
  </si>
  <si>
    <t>Ridge</t>
  </si>
  <si>
    <t>Pioneer</t>
  </si>
  <si>
    <t>Warren</t>
  </si>
  <si>
    <t>6 Piece Reversible Plaid Daybed Cover Set</t>
  </si>
  <si>
    <t>Daybed</t>
  </si>
  <si>
    <t>PP001537;PF006171</t>
  </si>
  <si>
    <t>AMAZON,CSNSTORES,HDDS,KOHLDSN</t>
  </si>
  <si>
    <t>34496498-000-002</t>
  </si>
  <si>
    <t>MZ10-223</t>
  </si>
  <si>
    <t>Riley</t>
  </si>
  <si>
    <t>Sadie</t>
  </si>
  <si>
    <t>Angela</t>
  </si>
  <si>
    <t>PF000201</t>
  </si>
  <si>
    <t>AMAZON,BLK01,CSNSTORES,FINGERHUTDS,HDDS,KOHLDSN,TGTDVS,Zulily</t>
  </si>
  <si>
    <t>16344322-000-000</t>
  </si>
  <si>
    <t>ID10-2431</t>
  </si>
  <si>
    <t>Robbie</t>
  </si>
  <si>
    <t>Roger</t>
  </si>
  <si>
    <t>Rick</t>
  </si>
  <si>
    <t>Plaid Comforter Set with Bed Sheets</t>
  </si>
  <si>
    <t>Teal/Black</t>
  </si>
  <si>
    <t>PP001972;PF006282</t>
  </si>
  <si>
    <t>22967950-000-006</t>
  </si>
  <si>
    <t>ID10-2432</t>
  </si>
  <si>
    <t>9</t>
  </si>
  <si>
    <t>22967950-000-005</t>
  </si>
  <si>
    <t>8/19/2024</t>
  </si>
  <si>
    <t>II100-0166</t>
  </si>
  <si>
    <t>Rocket</t>
  </si>
  <si>
    <t>Lounge Chair</t>
  </si>
  <si>
    <t>PF000128;PP000049</t>
  </si>
  <si>
    <t>CSNSTORES,KOHLDSN,MACY02F,OLLIIX,ZOLA</t>
  </si>
  <si>
    <t>24890804-000-000</t>
  </si>
  <si>
    <t>II95C-0061</t>
  </si>
  <si>
    <t>Rolling Waves</t>
  </si>
  <si>
    <t>PF001917</t>
  </si>
  <si>
    <t>AMERSIGNDS,ASHFURNDS,HDDS,HOUZZ,KIRKLANDDS,KOHLDSN,OLLIIX,ROOMECOM,TGTDVS</t>
  </si>
  <si>
    <t>18800513-000-000</t>
  </si>
  <si>
    <t>MZ10-0652</t>
  </si>
  <si>
    <t>Rosalie</t>
  </si>
  <si>
    <t>Jenna</t>
  </si>
  <si>
    <t>Audrey</t>
  </si>
  <si>
    <t>Metallic Printed Plush Comforter Set with Throw Pillow</t>
  </si>
  <si>
    <t>PP000980;PF006273</t>
  </si>
  <si>
    <t>28695320-000-009</t>
  </si>
  <si>
    <t>7/13/2024</t>
  </si>
  <si>
    <t>MZ10-0650</t>
  </si>
  <si>
    <t>PP000980;PF006272</t>
  </si>
  <si>
    <t>7/2/2024</t>
  </si>
  <si>
    <t>28695320-000-007</t>
  </si>
  <si>
    <t>MP40-5647</t>
  </si>
  <si>
    <t>Rosette</t>
  </si>
  <si>
    <t>Florah</t>
  </si>
  <si>
    <t>Bloom</t>
  </si>
  <si>
    <t>Floral Embellished Cuff Tab Top Solid Curtain Panel</t>
  </si>
  <si>
    <t>PP000857;PF004200</t>
  </si>
  <si>
    <t>26441688-000-003</t>
  </si>
  <si>
    <t>MP40-5648</t>
  </si>
  <si>
    <t>AMAZON,AMAZONDS,ASHFURNDS,BLK01,CSNSTORES,DESINC,HDDS,JCPENNEY01,KIRKLANDDS,KOHLDSN,MACY02,OLLIIX,WALMARTDS</t>
  </si>
  <si>
    <t>26441688-000-004</t>
  </si>
  <si>
    <t>MP40-5649</t>
  </si>
  <si>
    <t>AMAZON,AMAZONDS,CSNSTORES,JCPENNEY01,KOHLDSN</t>
  </si>
  <si>
    <t>26441688-000-005</t>
  </si>
  <si>
    <t>MP40-6829</t>
  </si>
  <si>
    <t>PP000857;PF004966</t>
  </si>
  <si>
    <t>AMAZON,AMAZONDS,CSNSTORES,JCPENNEY01,KIRKLANDDS,KOHLDSN</t>
  </si>
  <si>
    <t>26441688-000-009</t>
  </si>
  <si>
    <t>11/29/2019</t>
  </si>
  <si>
    <t>12/10/2019</t>
  </si>
  <si>
    <t>MP40-5644</t>
  </si>
  <si>
    <t>PP000857;PF004199</t>
  </si>
  <si>
    <t>26441688-000-000</t>
  </si>
  <si>
    <t>MP50-8269</t>
  </si>
  <si>
    <t>Rowan</t>
  </si>
  <si>
    <t>Eden</t>
  </si>
  <si>
    <t>Waffle Knit Chenille Throw</t>
  </si>
  <si>
    <t>Navy Blue</t>
  </si>
  <si>
    <t>PP001876;PF005984</t>
  </si>
  <si>
    <t>9/13/2023</t>
  </si>
  <si>
    <t>BLK01,KOHLDSN,MACY02,TGTDVS</t>
  </si>
  <si>
    <t>42657468-000-001</t>
  </si>
  <si>
    <t>9/18/2023</t>
  </si>
  <si>
    <t>MP50-8270</t>
  </si>
  <si>
    <t>PP001876;PF005985</t>
  </si>
  <si>
    <t>BLK01,CSNSTORES,DESINC,KOHLDSN,OLLIIX,TGTDVS</t>
  </si>
  <si>
    <t>42657468-000-003</t>
  </si>
  <si>
    <t>MP40-3597</t>
  </si>
  <si>
    <t>Saratoga</t>
  </si>
  <si>
    <t>Westmont</t>
  </si>
  <si>
    <t>Sereno</t>
  </si>
  <si>
    <t>Fretwork Print Grommet Top Window Curtain Panel</t>
  </si>
  <si>
    <t>Beige/Gold</t>
  </si>
  <si>
    <t>PF004004;PP000501</t>
  </si>
  <si>
    <t>JCPENNEY01,KOHLDSN,OLLIIX,TGTDVS</t>
  </si>
  <si>
    <t>16667967-000-032</t>
  </si>
  <si>
    <t>10/7/2016</t>
  </si>
  <si>
    <t>MP40-3599</t>
  </si>
  <si>
    <t>AMAZON,AMAZONDS,BIGLOTSDS,BLK01,CSNSTORES,JCPENNEY01,KOHLDSN</t>
  </si>
  <si>
    <t>16667967-000-034</t>
  </si>
  <si>
    <t>MP41-3601</t>
  </si>
  <si>
    <t>Fretwork Print Grommet Top Window Valance</t>
  </si>
  <si>
    <t>17651639-000-008</t>
  </si>
  <si>
    <t>10/31/2016</t>
  </si>
  <si>
    <t>MP40-1279</t>
  </si>
  <si>
    <t>Beige/Grey</t>
  </si>
  <si>
    <t>PF003996;PP000501</t>
  </si>
  <si>
    <t>CSNSTORES,DESINC,JCPENNEY01,KOHLDSN,TGTDVS</t>
  </si>
  <si>
    <t>16667967-000-003</t>
  </si>
  <si>
    <t>MP40-1281</t>
  </si>
  <si>
    <t>BIGLOTSDS,CSNSTORES,HSNDS,JCPENNEY01,KOHLDSN,OLLIIX,TGTDVS</t>
  </si>
  <si>
    <t>16667967-000-004</t>
  </si>
  <si>
    <t>1/26/2015</t>
  </si>
  <si>
    <t>MP40-2019</t>
  </si>
  <si>
    <t>CSNSTORES,JCPENNEY01,KOHLDSN,TGTDVS</t>
  </si>
  <si>
    <t>16667967-000-007</t>
  </si>
  <si>
    <t>7/21/2016</t>
  </si>
  <si>
    <t>MP40-2018</t>
  </si>
  <si>
    <t>Grey/White</t>
  </si>
  <si>
    <t>PF003997;PP000501</t>
  </si>
  <si>
    <t>CSNSTORES,DESINC,JCPENNEY01,KOHLDSN,TGTDVS,WALMARTDS</t>
  </si>
  <si>
    <t>16667967-000-006</t>
  </si>
  <si>
    <t>MP40-2401</t>
  </si>
  <si>
    <t>Seafoam/White</t>
  </si>
  <si>
    <t>PF004002;PP000501</t>
  </si>
  <si>
    <t>16667967-000-024</t>
  </si>
  <si>
    <t>7/13/2016</t>
  </si>
  <si>
    <t>MP40-2402</t>
  </si>
  <si>
    <t>16667967-000-025</t>
  </si>
  <si>
    <t>7/7/2016</t>
  </si>
  <si>
    <t>MP40-2403</t>
  </si>
  <si>
    <t>16667967-000-026</t>
  </si>
  <si>
    <t>7/4/2016</t>
  </si>
  <si>
    <t>MP41-2405</t>
  </si>
  <si>
    <t>17651639-000-003</t>
  </si>
  <si>
    <t>II167-905</t>
  </si>
  <si>
    <t>Savoy</t>
  </si>
  <si>
    <t>Distressed Black Metal Wall Decor</t>
  </si>
  <si>
    <t>PF003045</t>
  </si>
  <si>
    <t>AMAZON,AMAZONDS,AMERSIGNDS,ASHFURNDS,BLK01,CSNSTORES,KIRKLANDDS,KOHLDSN,LAMPDS,OLLIIX</t>
  </si>
  <si>
    <t>22896742-000-000</t>
  </si>
  <si>
    <t>2/11/2018</t>
  </si>
  <si>
    <t>II100-0078</t>
  </si>
  <si>
    <t>Scott</t>
  </si>
  <si>
    <t>Cream/Morrocco</t>
  </si>
  <si>
    <t>PF000836</t>
  </si>
  <si>
    <t>ASHFURNDS,CSNSTORES,HDDS,KOHLDSN,MACY02F,OLLIIX,TGTDVS</t>
  </si>
  <si>
    <t>21236710-000-000</t>
  </si>
  <si>
    <t>3/23/2017</t>
  </si>
  <si>
    <t>3/29/2017</t>
  </si>
  <si>
    <t>MP95C-0146A</t>
  </si>
  <si>
    <t>Seascape</t>
  </si>
  <si>
    <t>PP000790</t>
  </si>
  <si>
    <t>AMAZON,AMAZONDS,AMERSIGNDS,KOHLDSN,MACY02,OLLIIX,ROOMECOM</t>
  </si>
  <si>
    <t>25658387-000-000</t>
  </si>
  <si>
    <t>MP40-4209</t>
  </si>
  <si>
    <t>Serene</t>
  </si>
  <si>
    <t>Belle</t>
  </si>
  <si>
    <t>Embroidered Curtain Panel</t>
  </si>
  <si>
    <t>PF003404;PP000505</t>
  </si>
  <si>
    <t>4/6/2017</t>
  </si>
  <si>
    <t>17226346-000-003</t>
  </si>
  <si>
    <t>2/7/2017</t>
  </si>
  <si>
    <t>4/7/2017</t>
  </si>
  <si>
    <t>MP41-4210</t>
  </si>
  <si>
    <t>Embroidered Window Valance</t>
  </si>
  <si>
    <t>AMAZON,BLK01,CSNSTORES,DESINC,JCPENNEY01,KOHLDSN,MACY02</t>
  </si>
  <si>
    <t>17226345-000-003</t>
  </si>
  <si>
    <t>4/11/2017</t>
  </si>
  <si>
    <t>MP10-3448</t>
  </si>
  <si>
    <t>Embroidered 7 Piece Comforter Set</t>
  </si>
  <si>
    <t>PF003402;PP000505</t>
  </si>
  <si>
    <t>19461713-000-002</t>
  </si>
  <si>
    <t>9/16/2016</t>
  </si>
  <si>
    <t>MP40-1531</t>
  </si>
  <si>
    <t>PF003399;PP000505</t>
  </si>
  <si>
    <t>AMAZON,AMAZONDS,ASHFURNDS,FINGERHUTDS,HSNDS,JCPENNEY01,KOHLDSN,TGTDVS</t>
  </si>
  <si>
    <t>17226346-000-000</t>
  </si>
  <si>
    <t>5/15/2015</t>
  </si>
  <si>
    <t>MP40-5478</t>
  </si>
  <si>
    <t>PF003405;PP000505</t>
  </si>
  <si>
    <t>17226346-000-006</t>
  </si>
  <si>
    <t>7/16/2018</t>
  </si>
  <si>
    <t>II150-0149</t>
  </si>
  <si>
    <t>Serenitie</t>
  </si>
  <si>
    <t>5-Light Linear Chandelier</t>
  </si>
  <si>
    <t>42825749-000-000</t>
  </si>
  <si>
    <t>FUR105-0041</t>
  </si>
  <si>
    <t>Storage Bench</t>
  </si>
  <si>
    <t>Shandra</t>
  </si>
  <si>
    <t>Sasha</t>
  </si>
  <si>
    <t>Selah</t>
  </si>
  <si>
    <t>Tufted Top Soft Close Storage Bench</t>
  </si>
  <si>
    <t>PF000817;PP000259</t>
  </si>
  <si>
    <t>AMERSIGNDS,ASHFURNDS,CASTLEGATE,CSNSTORES,HOUZZ,KIRKLANDDS,KOHLDSN,LAMPDS,MACY02F,NEBFUR01,OLLIIX,ROOMECOM,TGTDVS</t>
  </si>
  <si>
    <t>16689616-000-002</t>
  </si>
  <si>
    <t>II100-0267</t>
  </si>
  <si>
    <t>Shasta</t>
  </si>
  <si>
    <t>PP000646</t>
  </si>
  <si>
    <t>1/11/2018</t>
  </si>
  <si>
    <t>ASHFURNDS,CSNSTORES,KIRKLANDDS,MACY02F,OLLIIX</t>
  </si>
  <si>
    <t>26315655-000-000</t>
  </si>
  <si>
    <t>4/3/2018</t>
  </si>
  <si>
    <t>II10-1324</t>
  </si>
  <si>
    <t>Shay</t>
  </si>
  <si>
    <t>3 Piece Striped Cotton Comforter Set</t>
  </si>
  <si>
    <t>PP001961;PF006246</t>
  </si>
  <si>
    <t>6/4/2024</t>
  </si>
  <si>
    <t>KOHLDSN,MACY02,OLLIIX,ZOLA</t>
  </si>
  <si>
    <t>44236460-000-000</t>
  </si>
  <si>
    <t>6/26/2024</t>
  </si>
  <si>
    <t>II12-1327</t>
  </si>
  <si>
    <t>3 Piece Striped Cotton Duvet Cover Set</t>
  </si>
  <si>
    <t>44270202-000-003</t>
  </si>
  <si>
    <t>TN54-0505</t>
  </si>
  <si>
    <t>Sherpa</t>
  </si>
  <si>
    <t>PP001893;PF006040</t>
  </si>
  <si>
    <t>42738933-000-007</t>
  </si>
  <si>
    <t>TN54-0500</t>
  </si>
  <si>
    <t>PP001893;PF006039</t>
  </si>
  <si>
    <t>AMAZON,BLK01,HDDS,JCPENNEY01,KOHLDSN,MACY02</t>
  </si>
  <si>
    <t>42738933-000-000</t>
  </si>
  <si>
    <t>TN54-0501</t>
  </si>
  <si>
    <t>42738933-000-015</t>
  </si>
  <si>
    <t>CC10-0018</t>
  </si>
  <si>
    <t>Signature</t>
  </si>
  <si>
    <t>Dobby Cotton Down Alternative Comforter</t>
  </si>
  <si>
    <t>11/10/2022</t>
  </si>
  <si>
    <t>AMAZON,DLCROSCILL,HDDS,JCPENNEY01,KOHLDSN,MACY02,OLLIIX</t>
  </si>
  <si>
    <t>42078396-000-000</t>
  </si>
  <si>
    <t>8/7/2023</t>
  </si>
  <si>
    <t>MPT21-0128</t>
  </si>
  <si>
    <t>Silk</t>
  </si>
  <si>
    <t>100% Mulberry Single Pillowcase</t>
  </si>
  <si>
    <t>PP001555;PF005905</t>
  </si>
  <si>
    <t>10/20/2022</t>
  </si>
  <si>
    <t>36796333-000-014</t>
  </si>
  <si>
    <t>10/28/2022</t>
  </si>
  <si>
    <t>11/9/2022</t>
  </si>
  <si>
    <t>SHET20-970</t>
  </si>
  <si>
    <t>Smart Cool Microfiber</t>
  </si>
  <si>
    <t>PF002218</t>
  </si>
  <si>
    <t>Coolmax</t>
  </si>
  <si>
    <t>4/13/2017</t>
  </si>
  <si>
    <t>BEALLSDS,KOHLDSN,MACY02,TGTDVS,WALMARTDS</t>
  </si>
  <si>
    <t>19599624-000-010</t>
  </si>
  <si>
    <t>9/25/2016</t>
  </si>
  <si>
    <t>5/16/2017</t>
  </si>
  <si>
    <t>SHET20-972</t>
  </si>
  <si>
    <t>BLK01,JCPENNEY01,KOHLDSN,MACY02,TGTDVS,ZOLA</t>
  </si>
  <si>
    <t>19599624-000-012</t>
  </si>
  <si>
    <t>9/29/2016</t>
  </si>
  <si>
    <t>SHET20-973</t>
  </si>
  <si>
    <t>BEALLSDS,BLK01,CSNSTORES,JCPENNEY01,KOHLDSN,MACY02,TGTDVS,ZOLA</t>
  </si>
  <si>
    <t>19599624-000-013</t>
  </si>
  <si>
    <t>SHET20-960</t>
  </si>
  <si>
    <t>PF002216</t>
  </si>
  <si>
    <t>AMAZON,HDDS,JCPENNEY01,KOHLDSN,TGTDVS,WALMARTDS</t>
  </si>
  <si>
    <t>19599624-000-000</t>
  </si>
  <si>
    <t>10/6/2016</t>
  </si>
  <si>
    <t>SHET20-962</t>
  </si>
  <si>
    <t>AMAZON,AMAZONDS,BLK01,HDDS,JCPENNEY01,KOHLDSN,MACY02,NRTPORT,TGTDVS,ZOLA</t>
  </si>
  <si>
    <t>19599624-000-002</t>
  </si>
  <si>
    <t>SHET20-963</t>
  </si>
  <si>
    <t>AMAZON,AMAZONDS,BLK01,HDDS,JCPENNEY01,KOHLDSN,MACY02,NEBFUR01,NRTPORT,TGTDVS,ZOLA</t>
  </si>
  <si>
    <t>19599624-000-003</t>
  </si>
  <si>
    <t>SHET20-976</t>
  </si>
  <si>
    <t>PF002219</t>
  </si>
  <si>
    <t>19599624-000-016</t>
  </si>
  <si>
    <t>11/14/2016</t>
  </si>
  <si>
    <t>SHET20-978</t>
  </si>
  <si>
    <t>19599624-000-018</t>
  </si>
  <si>
    <t>11/25/2016</t>
  </si>
  <si>
    <t>SHET20-1184</t>
  </si>
  <si>
    <t>PP001565;PF005246</t>
  </si>
  <si>
    <t>12/21/2020</t>
  </si>
  <si>
    <t>19599624-000-020</t>
  </si>
  <si>
    <t>8/9/2023</t>
  </si>
  <si>
    <t>SHET20-1185</t>
  </si>
  <si>
    <t>BLK01,JCPENNEY01,KOHLDSN,MACY02,TGTDVS</t>
  </si>
  <si>
    <t>19599624-000-024</t>
  </si>
  <si>
    <t>4/26/2021</t>
  </si>
  <si>
    <t>SHET20-965</t>
  </si>
  <si>
    <t>PF002217</t>
  </si>
  <si>
    <t>19599624-000-005</t>
  </si>
  <si>
    <t>SHET20-967</t>
  </si>
  <si>
    <t>BLK01,JCPENNEY01,KOHLDSN,MACY02,NRTPORT,OLLIIX,TGTDVS,ZOLA</t>
  </si>
  <si>
    <t>19599624-000-007</t>
  </si>
  <si>
    <t>11/16/2016</t>
  </si>
  <si>
    <t>BL20-0453</t>
  </si>
  <si>
    <t>Soloft Plush</t>
  </si>
  <si>
    <t>Micro Plush Sheet Set</t>
  </si>
  <si>
    <t>PF001697</t>
  </si>
  <si>
    <t>AMAZONDS,CSNSTORES,JCPENNEY01,KOHLDSN,MACY02</t>
  </si>
  <si>
    <t>13709538-000-010</t>
  </si>
  <si>
    <t>BL20-0457</t>
  </si>
  <si>
    <t>PF001686</t>
  </si>
  <si>
    <t>AMAZONDS,CSNSTORES,KOHLDSN,MACY02</t>
  </si>
  <si>
    <t>13709538-000-009</t>
  </si>
  <si>
    <t>1/8/2015</t>
  </si>
  <si>
    <t>BL20-0460</t>
  </si>
  <si>
    <t>8/2/2017</t>
  </si>
  <si>
    <t>13709538-000-015</t>
  </si>
  <si>
    <t>II121-0311</t>
  </si>
  <si>
    <t>Sonoma</t>
  </si>
  <si>
    <t>Rectangle Dining Table</t>
  </si>
  <si>
    <t>CASTLEGATE,CSNSTORES,KIRKLANDDS,KOHLDSN,LAMPDS,OLLIIX,TGTDVS</t>
  </si>
  <si>
    <t>26801769-000-000</t>
  </si>
  <si>
    <t>7/20/2018</t>
  </si>
  <si>
    <t>II112-0447</t>
  </si>
  <si>
    <t>DINING BENCH</t>
  </si>
  <si>
    <t>Dining Bench</t>
  </si>
  <si>
    <t>Reclaimed White</t>
  </si>
  <si>
    <t>AMAZONDS,CSNSTORES,KIRKLANDDS,OLLIIX,ROOMECOM,TGTDVS</t>
  </si>
  <si>
    <t>26778501-000-001</t>
  </si>
  <si>
    <t>II108-0449</t>
  </si>
  <si>
    <t xml:space="preserve">Dining  Side Chair(Set of 2pcs)</t>
  </si>
  <si>
    <t>CSNSTORES,KOHLDSN,OLLIIX,ROOMECOM</t>
  </si>
  <si>
    <t>26779704-000-001</t>
  </si>
  <si>
    <t>7/16/2021</t>
  </si>
  <si>
    <t>MP73-5915</t>
  </si>
  <si>
    <t>Spa Waffle</t>
  </si>
  <si>
    <t>Cotton Waffle Jacquard Antimicrobial Bath Towel 6 Piece Set</t>
  </si>
  <si>
    <t>PP000511</t>
  </si>
  <si>
    <t>AMAZON,AMAZONDS,BLK01,CSNSTORES,JCPENNEY01,KOHLDSN,MACY02,OLLIIX,TGTDVS,WALMARTDS,ZOLA</t>
  </si>
  <si>
    <t>27555573-000-002</t>
  </si>
  <si>
    <t>MP95G-0324</t>
  </si>
  <si>
    <t>Sparkling Sea</t>
  </si>
  <si>
    <t>Framed Glass and Single Matted Abstract Landscape Coastal Wall Art</t>
  </si>
  <si>
    <t>KIRKLANDDS,MACY02,OLLIIX,TGTDVS</t>
  </si>
  <si>
    <t>42762477-000-000</t>
  </si>
  <si>
    <t>MP104-1212</t>
  </si>
  <si>
    <t>Stewart</t>
  </si>
  <si>
    <t>Monica</t>
  </si>
  <si>
    <t>Rachel</t>
  </si>
  <si>
    <t>Upholstered 360 Degree Swivel Counter Stool 25" H</t>
  </si>
  <si>
    <t>1/3/2023</t>
  </si>
  <si>
    <t>AMERSIGNDS,HOUZZ,OLLIIX</t>
  </si>
  <si>
    <t>40968535-000-000</t>
  </si>
  <si>
    <t>MPS95A-0023</t>
  </si>
  <si>
    <t>Alt. Graphics</t>
  </si>
  <si>
    <t>Sunburst</t>
  </si>
  <si>
    <t>Hand Painted Dimensional Resin Wall Art</t>
  </si>
  <si>
    <t>30x30"</t>
  </si>
  <si>
    <t>PF002029</t>
  </si>
  <si>
    <t>AMAZON,AMAZONDS,AMERSIGNDS,CSNSTORES,HDDS,KOHLDSN,OLLIIX,TGTDVS</t>
  </si>
  <si>
    <t>25582544-000-000</t>
  </si>
  <si>
    <t>1/26/2018</t>
  </si>
  <si>
    <t>ID95C-0049</t>
  </si>
  <si>
    <t>Sunshine Animals</t>
  </si>
  <si>
    <t>Lamb Canvas Wall Art</t>
  </si>
  <si>
    <t>Lamb/Green Multi</t>
  </si>
  <si>
    <t>AMAZON,AMAZONDS,DESINC,JCPENNEY01,KOHLDSN,MACY02</t>
  </si>
  <si>
    <t>42721560-000-005</t>
  </si>
  <si>
    <t>HH12-1648</t>
  </si>
  <si>
    <t>Suzanna</t>
  </si>
  <si>
    <t>Cotton Duvet Mini Set</t>
  </si>
  <si>
    <t>PP000337</t>
  </si>
  <si>
    <t>AMAZON,CSNSTORES,KOHLDSN,MACY02,OLLIIX</t>
  </si>
  <si>
    <t>17626824-000-002</t>
  </si>
  <si>
    <t>1/4/2019</t>
  </si>
  <si>
    <t>FPF20-0337</t>
  </si>
  <si>
    <t>Tacoma</t>
  </si>
  <si>
    <t>Dining Chair (Set of 2)</t>
  </si>
  <si>
    <t>PF000793;PP000055</t>
  </si>
  <si>
    <t>19902861-000-000</t>
  </si>
  <si>
    <t>11/21/2016</t>
  </si>
  <si>
    <t>II12-1313</t>
  </si>
  <si>
    <t>Tahli</t>
  </si>
  <si>
    <t>3 Piece Cotton Blend Chenille Duvet Cover Set</t>
  </si>
  <si>
    <t>Green/Ivory</t>
  </si>
  <si>
    <t>PF006075</t>
  </si>
  <si>
    <t>CSNSTORES,KOHLDSN,MACY02,OLLIIX,TGTDVS,ZOLA</t>
  </si>
  <si>
    <t>43080747-000-000</t>
  </si>
  <si>
    <t>II12-1314</t>
  </si>
  <si>
    <t>CSNSTORES,JCPENNEY01,MACY02,OLLIIX,TGTDVS,ZOLA</t>
  </si>
  <si>
    <t>43080747-000-001</t>
  </si>
  <si>
    <t>12/18/2023</t>
  </si>
  <si>
    <t>MT95G-0086</t>
  </si>
  <si>
    <t>The Duel</t>
  </si>
  <si>
    <t>Cheetah Framed Graphic Wall Decor 2 Piece set</t>
  </si>
  <si>
    <t>AMAZON,KIRKLANDDS,TGTDVS</t>
  </si>
  <si>
    <t>43651871-000-000</t>
  </si>
  <si>
    <t>8/5/2024</t>
  </si>
  <si>
    <t>MP103-0856</t>
  </si>
  <si>
    <t>Theo</t>
  </si>
  <si>
    <t>Doane</t>
  </si>
  <si>
    <t>Wilmington</t>
  </si>
  <si>
    <t>Ivory/Black</t>
  </si>
  <si>
    <t>PP001196</t>
  </si>
  <si>
    <t>AMAZONDS,CSNSTORES,HDDS,KIRKLANDDS,OLLIIX,TGTDVS</t>
  </si>
  <si>
    <t>33547802-000-000</t>
  </si>
  <si>
    <t>6/13/2019</t>
  </si>
  <si>
    <t>PET63CC6031</t>
  </si>
  <si>
    <t>Trucker</t>
  </si>
  <si>
    <t>Crate Cover</t>
  </si>
  <si>
    <t>43827766-000-001</t>
  </si>
  <si>
    <t>PET63CC6032</t>
  </si>
  <si>
    <t>43827766-000-002</t>
  </si>
  <si>
    <t>PET63CC6033</t>
  </si>
  <si>
    <t>43827766-000-000</t>
  </si>
  <si>
    <t>PET63CC6034</t>
  </si>
  <si>
    <t>43827766-000-003</t>
  </si>
  <si>
    <t>MP103-0481</t>
  </si>
  <si>
    <t>Tyler</t>
  </si>
  <si>
    <t>Memo</t>
  </si>
  <si>
    <t>Tyler Upholstered Swivel Barrel Chair with Nailheads</t>
  </si>
  <si>
    <t>1/11/2025</t>
  </si>
  <si>
    <t>ASHFURNDS,CASTLEGATE,CSNSTORES,HDDS,KOHLDSN,MACY02F,OLLIIX,TGTDVS</t>
  </si>
  <si>
    <t>22701114-000-005</t>
  </si>
  <si>
    <t>11/22/2017</t>
  </si>
  <si>
    <t>ID10-2339</t>
  </si>
  <si>
    <t>Velvet Dream Puff</t>
  </si>
  <si>
    <t>2 Piece Comforter Set</t>
  </si>
  <si>
    <t>PP001942;PF006190</t>
  </si>
  <si>
    <t>JCPENNEY01,TGTDVS</t>
  </si>
  <si>
    <t>43800402-000-004</t>
  </si>
  <si>
    <t>ID10-2340</t>
  </si>
  <si>
    <t>3 Piece Comforter Set</t>
  </si>
  <si>
    <t>43800402-000-002</t>
  </si>
  <si>
    <t>ID10-2341</t>
  </si>
  <si>
    <t>AMAZON,AMAZONDS,TGTDVS</t>
  </si>
  <si>
    <t>43800402-000-003</t>
  </si>
  <si>
    <t>ID10-2337</t>
  </si>
  <si>
    <t>PP001942;PF006189</t>
  </si>
  <si>
    <t>43800402-000-006</t>
  </si>
  <si>
    <t>ID10-2342</t>
  </si>
  <si>
    <t>PP001942;PF006191</t>
  </si>
  <si>
    <t>43800402-000-001</t>
  </si>
  <si>
    <t>ID10-2343</t>
  </si>
  <si>
    <t>HDDS,JCPENNEY01,KOHLDSN,TGTDVS</t>
  </si>
  <si>
    <t>43800402-000-000</t>
  </si>
  <si>
    <t>JLA13-499</t>
  </si>
  <si>
    <t>Velvet Touch</t>
  </si>
  <si>
    <t>3 Piece Luxurious Oversized Quilt Set</t>
  </si>
  <si>
    <t>Peacock</t>
  </si>
  <si>
    <t>PF003273</t>
  </si>
  <si>
    <t>18141109-000-000</t>
  </si>
  <si>
    <t>8/15/2016</t>
  </si>
  <si>
    <t>MP50-8255</t>
  </si>
  <si>
    <t>Vivienne</t>
  </si>
  <si>
    <t>Camille</t>
  </si>
  <si>
    <t>Faux Fur Throw</t>
  </si>
  <si>
    <t>PP001889;PF006020</t>
  </si>
  <si>
    <t>8/1/2023</t>
  </si>
  <si>
    <t>CSNSTORES,JCPENNEY01,KOHLDSN,MACY02,OLLIIX,TGTDVS,Zulily</t>
  </si>
  <si>
    <t>43349208-000-001</t>
  </si>
  <si>
    <t>5/30/2024</t>
  </si>
  <si>
    <t>ID10-1381</t>
  </si>
  <si>
    <t>Waterfall</t>
  </si>
  <si>
    <t>Demi</t>
  </si>
  <si>
    <t>Marley</t>
  </si>
  <si>
    <t>Ruffle Comforter Set</t>
  </si>
  <si>
    <t>PF004170;PP000838</t>
  </si>
  <si>
    <t>Shabby Chic|Cottage/Country</t>
  </si>
  <si>
    <t>15952287-000-004</t>
  </si>
  <si>
    <t>MP130-0373</t>
  </si>
  <si>
    <t>West Ridge</t>
  </si>
  <si>
    <t>Cain</t>
  </si>
  <si>
    <t>Henly</t>
  </si>
  <si>
    <t>Accent Chest</t>
  </si>
  <si>
    <t>PF000458;PP000278</t>
  </si>
  <si>
    <t>7/1/2017</t>
  </si>
  <si>
    <t>CSNSTORES,LAMPDS,MACY02F,OLLIIX</t>
  </si>
  <si>
    <t>23138828-000-000</t>
  </si>
  <si>
    <t>8/9/2017</t>
  </si>
  <si>
    <t>MP13-3240</t>
  </si>
  <si>
    <t>Willa</t>
  </si>
  <si>
    <t>Felicity</t>
  </si>
  <si>
    <t>Loraine</t>
  </si>
  <si>
    <t>6 Piece Cotton Quilt Set with Throw Pillows</t>
  </si>
  <si>
    <t>PF002608;PP000533</t>
  </si>
  <si>
    <t>Transitional|Casual</t>
  </si>
  <si>
    <t>AMAZON,CASTLEGATE,CSNSTORES,JCPENNEY01,KOHLDSN,MACY02,ROOMECOM,TGTDVS,WALMARTDS</t>
  </si>
  <si>
    <t>19156152-000-000</t>
  </si>
  <si>
    <t>8/3/2016</t>
  </si>
  <si>
    <t>8/12/2016</t>
  </si>
  <si>
    <t>II95C-0158</t>
  </si>
  <si>
    <t>Windswept</t>
  </si>
  <si>
    <t>Hand Embellished Highland Bull Canvas Wall Art</t>
  </si>
  <si>
    <t>CSNSTORES,KOHLDSN,MACY02</t>
  </si>
  <si>
    <t>42794699-000-000</t>
  </si>
  <si>
    <t>FB153-1187</t>
  </si>
  <si>
    <t>Zazie</t>
  </si>
  <si>
    <t>Ceramic Genie Table Lamp</t>
  </si>
  <si>
    <t>43888470-000-002</t>
  </si>
  <si>
    <t>FB153-1182</t>
  </si>
  <si>
    <t>Zirconia</t>
  </si>
  <si>
    <t>Faceted Blue Glass Table Lamp</t>
  </si>
  <si>
    <t>1/2/2025</t>
  </si>
  <si>
    <t>CSNSTORES,JCPENNEY01,OLLIIX,TGTDVS</t>
  </si>
  <si>
    <t>43888694-000-002</t>
  </si>
  <si>
    <t>6/25/2024</t>
  </si>
  <si>
    <t>FB153-1183</t>
  </si>
  <si>
    <t>Faceted Green Glass Table Lamp</t>
  </si>
  <si>
    <t>CSNSTORES,KOHLDSN,OLLIIX,TGTDVS</t>
  </si>
  <si>
    <t>43888694-000-001</t>
  </si>
  <si>
    <t>MP50-7192</t>
  </si>
  <si>
    <t>Zuri</t>
  </si>
  <si>
    <t>Marselle</t>
  </si>
  <si>
    <t>Oversized Faux Fur Throw</t>
  </si>
  <si>
    <t>PP000539;PF005112</t>
  </si>
  <si>
    <t>8/17/2020</t>
  </si>
  <si>
    <t>AMAZON,BIGLOTSDS,BLK01,CSNSTORES,DESINC,FINGERHUTDS,KOHLDSN,MACY02,OLLIIX,TGTDVS,Zulily</t>
  </si>
  <si>
    <t>17690761-000-007</t>
  </si>
  <si>
    <t>8/20/2020</t>
  </si>
  <si>
    <t>MP30-6706</t>
  </si>
  <si>
    <t>Leopard</t>
  </si>
  <si>
    <t>PP000539;PF004889</t>
  </si>
  <si>
    <t>AMAZON,AMAZONDS,FINGERHUTDS,JCPENNEY01,KOHLDSN,MACY02,OLLIIX,TGTDVS</t>
  </si>
  <si>
    <t>17690757-000-006</t>
  </si>
  <si>
    <t>MP50-4813</t>
  </si>
  <si>
    <t>PF002119</t>
  </si>
  <si>
    <t>8/25/2017</t>
  </si>
  <si>
    <t>AMAZON,ASHFURNDS,BIGLOTSDS,BLK01,CSNSTORES,DESINC,FINGERHUTDS,HOUZZ,HSNDS,JCPENNEY01,KIRKLANDDS,KOHLDSN,MACY02,OLLIIX,TGTDVS,ZOLA,Zulily</t>
  </si>
  <si>
    <t>17690761-000-003</t>
  </si>
  <si>
    <t>8/31/2017</t>
  </si>
  <si>
    <t>Grand Total</t>
  </si>
  <si>
    <t>Pattern/Color Sales Total</t>
  </si>
  <si>
    <t>Product Category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</si>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</sst>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F8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18</v>
      </c>
      <c r="DL3" s="1" t="s">
        <v>18</v>
      </c>
      <c r="DM3" s="1" t="s">
        <v>18</v>
      </c>
      <c r="DN3" s="1" t="s">
        <v>18</v>
      </c>
      <c r="DO3" s="1" t="s">
        <v>18</v>
      </c>
      <c r="DP3" s="1" t="s">
        <v>18</v>
      </c>
      <c r="DQ3" s="1" t="s">
        <v>18</v>
      </c>
      <c r="DR3" s="1" t="s">
        <v>18</v>
      </c>
      <c r="DS3" s="1" t="s">
        <v>18</v>
      </c>
      <c r="DT3" s="1" t="s">
        <v>18</v>
      </c>
      <c r="DU3" s="1" t="s">
        <v>18</v>
      </c>
      <c r="DV3" s="1" t="s">
        <v>18</v>
      </c>
      <c r="DW3" s="1" t="s">
        <v>18</v>
      </c>
      <c r="DX3" s="1" t="s">
        <v>18</v>
      </c>
      <c r="DY3" s="1" t="s">
        <v>18</v>
      </c>
      <c r="DZ3" s="1" t="s">
        <v>18</v>
      </c>
      <c r="EA3" s="1" t="s">
        <v>18</v>
      </c>
      <c r="EB3" s="1" t="s">
        <v>18</v>
      </c>
      <c r="EC3" s="1" t="s">
        <v>18</v>
      </c>
      <c r="ED3" s="1" t="s">
        <v>18</v>
      </c>
      <c r="EE3" s="1" t="s">
        <v>18</v>
      </c>
      <c r="EF3" s="1" t="s">
        <v>18</v>
      </c>
      <c r="EG3" s="1" t="s">
        <v>18</v>
      </c>
      <c r="EH3" s="1" t="s">
        <v>18</v>
      </c>
      <c r="EI3" s="1" t="s">
        <v>18</v>
      </c>
      <c r="EJ3" s="1" t="s">
        <v>18</v>
      </c>
      <c r="EK3" s="1" t="s">
        <v>18</v>
      </c>
      <c r="EL3" s="1" t="s">
        <v>18</v>
      </c>
      <c r="EM3" s="1" t="s">
        <v>18</v>
      </c>
      <c r="EN3" s="1" t="s">
        <v>18</v>
      </c>
      <c r="EO3" s="1" t="s">
        <v>18</v>
      </c>
      <c r="EP3" s="1" t="s">
        <v>18</v>
      </c>
      <c r="EQ3" s="1" t="s">
        <v>18</v>
      </c>
      <c r="ER3" s="1" t="s">
        <v>18</v>
      </c>
      <c r="ES3" s="1" t="s">
        <v>18</v>
      </c>
      <c r="ET3" s="1" t="s">
        <v>18</v>
      </c>
      <c r="EU3" s="1" t="s">
        <v>18</v>
      </c>
      <c r="EV3" s="1" t="s">
        <v>18</v>
      </c>
      <c r="EW3" s="1" t="s">
        <v>18</v>
      </c>
      <c r="EX3" s="1" t="s">
        <v>18</v>
      </c>
      <c r="EY3" s="1" t="s">
        <v>18</v>
      </c>
      <c r="EZ3" s="1" t="s">
        <v>18</v>
      </c>
      <c r="FA3" s="1" t="s">
        <v>18</v>
      </c>
      <c r="FB3" s="1" t="s">
        <v>18</v>
      </c>
      <c r="FC3" s="1" t="s">
        <v>18</v>
      </c>
      <c r="FD3" s="1" t="s">
        <v>18</v>
      </c>
      <c r="FE3" s="1" t="s">
        <v>18</v>
      </c>
      <c r="FF3" s="1" t="s">
        <v>18</v>
      </c>
      <c r="FG3" s="1" t="s">
        <v>18</v>
      </c>
      <c r="FH3" s="1" t="s">
        <v>18</v>
      </c>
      <c r="FI3" s="1" t="s">
        <v>18</v>
      </c>
      <c r="FJ3" s="1" t="s">
        <v>18</v>
      </c>
      <c r="FK3" s="1" t="s">
        <v>18</v>
      </c>
      <c r="FL3" s="1" t="s">
        <v>18</v>
      </c>
      <c r="FM3" s="1" t="s">
        <v>18</v>
      </c>
      <c r="FN3" s="1" t="s">
        <v>18</v>
      </c>
      <c r="FO3" s="1" t="s">
        <v>18</v>
      </c>
      <c r="FP3" s="1" t="s">
        <v>18</v>
      </c>
      <c r="FQ3" s="1" t="s">
        <v>18</v>
      </c>
      <c r="FR3" s="1" t="s">
        <v>18</v>
      </c>
      <c r="FS3" s="1" t="s">
        <v>18</v>
      </c>
      <c r="FT3" s="1" t="s">
        <v>18</v>
      </c>
      <c r="FU3" s="1" t="s">
        <v>18</v>
      </c>
      <c r="FV3" s="1" t="s">
        <v>18</v>
      </c>
      <c r="FW3" s="1" t="s">
        <v>18</v>
      </c>
      <c r="FX3" s="1" t="s">
        <v>18</v>
      </c>
      <c r="FY3" s="1" t="s">
        <v>18</v>
      </c>
      <c r="FZ3" s="1" t="s">
        <v>18</v>
      </c>
      <c r="GA3" s="1" t="s">
        <v>18</v>
      </c>
      <c r="GB3" s="1" t="s">
        <v>19</v>
      </c>
      <c r="GC3" s="1" t="s">
        <v>19</v>
      </c>
      <c r="GD3" s="1" t="s">
        <v>19</v>
      </c>
      <c r="GE3" s="1" t="s">
        <v>19</v>
      </c>
      <c r="GF3" s="1" t="s">
        <v>19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27</v>
      </c>
      <c r="AH4" s="1" t="s">
        <v>28</v>
      </c>
      <c r="AI4" s="1" t="s">
        <v>29</v>
      </c>
      <c r="AJ4" s="1" t="s">
        <v>30</v>
      </c>
      <c r="AK4" s="1" t="s">
        <v>31</v>
      </c>
      <c r="AL4" s="1" t="s">
        <v>32</v>
      </c>
      <c r="AM4" s="1" t="s">
        <v>33</v>
      </c>
      <c r="AN4" s="1" t="s">
        <v>34</v>
      </c>
      <c r="AO4" s="1" t="s">
        <v>35</v>
      </c>
      <c r="AP4" s="1" t="s">
        <v>36</v>
      </c>
      <c r="AQ4" s="1" t="s">
        <v>36</v>
      </c>
      <c r="AR4" s="1" t="s">
        <v>37</v>
      </c>
      <c r="AS4" s="1" t="s">
        <v>37</v>
      </c>
      <c r="AT4" s="1" t="s">
        <v>38</v>
      </c>
      <c r="AU4" s="1" t="s">
        <v>39</v>
      </c>
      <c r="AV4" s="1" t="s">
        <v>36</v>
      </c>
      <c r="AW4" s="1" t="s">
        <v>36</v>
      </c>
      <c r="AX4" s="1" t="s">
        <v>37</v>
      </c>
      <c r="AY4" s="1" t="s">
        <v>37</v>
      </c>
      <c r="AZ4" s="1" t="s">
        <v>40</v>
      </c>
      <c r="BA4" s="1" t="s">
        <v>41</v>
      </c>
      <c r="BB4" s="1" t="s">
        <v>42</v>
      </c>
      <c r="BC4" s="1" t="s">
        <v>36</v>
      </c>
      <c r="BD4" s="1" t="s">
        <v>36</v>
      </c>
      <c r="BE4" s="1" t="s">
        <v>37</v>
      </c>
      <c r="BF4" s="1" t="s">
        <v>37</v>
      </c>
      <c r="BG4" s="1" t="s">
        <v>43</v>
      </c>
      <c r="BH4" s="1" t="s">
        <v>44</v>
      </c>
      <c r="BI4" s="1" t="s">
        <v>45</v>
      </c>
      <c r="BJ4" s="1" t="s">
        <v>46</v>
      </c>
      <c r="BK4" s="1" t="s">
        <v>46</v>
      </c>
      <c r="BL4" s="1" t="s">
        <v>46</v>
      </c>
      <c r="BM4" s="1" t="s">
        <v>47</v>
      </c>
      <c r="BN4" s="1" t="s">
        <v>47</v>
      </c>
      <c r="BO4" s="1" t="s">
        <v>36</v>
      </c>
      <c r="BP4" s="1" t="s">
        <v>36</v>
      </c>
      <c r="BQ4" s="1" t="s">
        <v>37</v>
      </c>
      <c r="BR4" s="1" t="s">
        <v>37</v>
      </c>
      <c r="BS4" s="1" t="s">
        <v>38</v>
      </c>
      <c r="BT4" s="1" t="s">
        <v>39</v>
      </c>
      <c r="BU4" s="1" t="s">
        <v>48</v>
      </c>
      <c r="BV4" s="1" t="s">
        <v>49</v>
      </c>
      <c r="BW4" s="1" t="s">
        <v>50</v>
      </c>
      <c r="BX4" s="1" t="s">
        <v>51</v>
      </c>
      <c r="BY4" s="1" t="s">
        <v>52</v>
      </c>
      <c r="BZ4" s="1" t="s">
        <v>53</v>
      </c>
      <c r="CA4" s="1" t="s">
        <v>54</v>
      </c>
      <c r="CB4" s="1" t="s">
        <v>55</v>
      </c>
      <c r="CC4" s="1" t="s">
        <v>56</v>
      </c>
      <c r="CD4" s="1" t="s">
        <v>57</v>
      </c>
      <c r="CE4" s="1" t="s">
        <v>17</v>
      </c>
      <c r="CF4" s="1" t="s">
        <v>17</v>
      </c>
      <c r="CG4" s="1" t="s">
        <v>17</v>
      </c>
      <c r="CH4" s="1" t="s">
        <v>17</v>
      </c>
      <c r="CI4" s="1" t="s">
        <v>17</v>
      </c>
      <c r="CJ4" s="1" t="s">
        <v>17</v>
      </c>
      <c r="CK4" s="1" t="s">
        <v>17</v>
      </c>
      <c r="CL4" s="1" t="s">
        <v>17</v>
      </c>
      <c r="CM4" s="1" t="s">
        <v>17</v>
      </c>
      <c r="CN4" s="1" t="s">
        <v>17</v>
      </c>
      <c r="CO4" s="1" t="s">
        <v>17</v>
      </c>
      <c r="CP4" s="1" t="s">
        <v>17</v>
      </c>
      <c r="CQ4" s="1" t="s">
        <v>17</v>
      </c>
      <c r="CR4" s="1" t="s">
        <v>17</v>
      </c>
      <c r="CS4" s="1" t="s">
        <v>18</v>
      </c>
      <c r="CT4" s="1" t="s">
        <v>18</v>
      </c>
      <c r="CU4" s="1" t="s">
        <v>18</v>
      </c>
      <c r="CV4" s="1" t="s">
        <v>18</v>
      </c>
      <c r="CW4" s="1" t="s">
        <v>18</v>
      </c>
      <c r="CX4" s="1" t="s">
        <v>18</v>
      </c>
      <c r="CY4" s="1" t="s">
        <v>18</v>
      </c>
      <c r="CZ4" s="1" t="s">
        <v>18</v>
      </c>
      <c r="DA4" s="1" t="s">
        <v>18</v>
      </c>
      <c r="DB4" s="1" t="s">
        <v>18</v>
      </c>
      <c r="DC4" s="1" t="s">
        <v>18</v>
      </c>
      <c r="DD4" s="1" t="s">
        <v>18</v>
      </c>
      <c r="DE4" s="1" t="s">
        <v>18</v>
      </c>
      <c r="DF4" s="1" t="s">
        <v>18</v>
      </c>
      <c r="DG4" s="1" t="s">
        <v>18</v>
      </c>
      <c r="DH4" s="1" t="s">
        <v>18</v>
      </c>
      <c r="DI4" s="1" t="s">
        <v>18</v>
      </c>
      <c r="DJ4" s="1" t="s">
        <v>18</v>
      </c>
      <c r="DK4" s="1" t="s">
        <v>18</v>
      </c>
      <c r="DL4" s="1" t="s">
        <v>18</v>
      </c>
      <c r="DM4" s="1" t="s">
        <v>18</v>
      </c>
      <c r="DN4" s="1" t="s">
        <v>18</v>
      </c>
      <c r="DO4" s="1" t="s">
        <v>18</v>
      </c>
      <c r="DP4" s="1" t="s">
        <v>18</v>
      </c>
      <c r="DQ4" s="1" t="s">
        <v>18</v>
      </c>
      <c r="DR4" s="1" t="s">
        <v>18</v>
      </c>
      <c r="DS4" s="1" t="s">
        <v>18</v>
      </c>
      <c r="DT4" s="1" t="s">
        <v>18</v>
      </c>
      <c r="DU4" s="1" t="s">
        <v>18</v>
      </c>
      <c r="DV4" s="1" t="s">
        <v>18</v>
      </c>
      <c r="DW4" s="1" t="s">
        <v>18</v>
      </c>
      <c r="DX4" s="1" t="s">
        <v>18</v>
      </c>
      <c r="DY4" s="1" t="s">
        <v>18</v>
      </c>
      <c r="DZ4" s="1" t="s">
        <v>18</v>
      </c>
      <c r="EA4" s="1" t="s">
        <v>18</v>
      </c>
      <c r="EB4" s="1" t="s">
        <v>18</v>
      </c>
      <c r="EC4" s="1" t="s">
        <v>18</v>
      </c>
      <c r="ED4" s="1" t="s">
        <v>18</v>
      </c>
      <c r="EE4" s="1" t="s">
        <v>18</v>
      </c>
      <c r="EF4" s="1" t="s">
        <v>18</v>
      </c>
      <c r="EG4" s="1" t="s">
        <v>18</v>
      </c>
      <c r="EH4" s="1" t="s">
        <v>18</v>
      </c>
      <c r="EI4" s="1" t="s">
        <v>18</v>
      </c>
      <c r="EJ4" s="1" t="s">
        <v>18</v>
      </c>
      <c r="EK4" s="1" t="s">
        <v>18</v>
      </c>
      <c r="EL4" s="1" t="s">
        <v>18</v>
      </c>
      <c r="EM4" s="1" t="s">
        <v>18</v>
      </c>
      <c r="EN4" s="1" t="s">
        <v>18</v>
      </c>
      <c r="EO4" s="1" t="s">
        <v>18</v>
      </c>
      <c r="EP4" s="1" t="s">
        <v>18</v>
      </c>
      <c r="EQ4" s="1" t="s">
        <v>18</v>
      </c>
      <c r="ER4" s="1" t="s">
        <v>18</v>
      </c>
      <c r="ES4" s="1" t="s">
        <v>18</v>
      </c>
      <c r="ET4" s="1" t="s">
        <v>18</v>
      </c>
      <c r="EU4" s="1" t="s">
        <v>18</v>
      </c>
      <c r="EV4" s="1" t="s">
        <v>18</v>
      </c>
      <c r="EW4" s="1" t="s">
        <v>18</v>
      </c>
      <c r="EX4" s="1" t="s">
        <v>18</v>
      </c>
      <c r="EY4" s="1" t="s">
        <v>18</v>
      </c>
      <c r="EZ4" s="1" t="s">
        <v>18</v>
      </c>
      <c r="FA4" s="1" t="s">
        <v>18</v>
      </c>
      <c r="FB4" s="1" t="s">
        <v>18</v>
      </c>
      <c r="FC4" s="1" t="s">
        <v>18</v>
      </c>
      <c r="FD4" s="1" t="s">
        <v>18</v>
      </c>
      <c r="FE4" s="1" t="s">
        <v>18</v>
      </c>
      <c r="FF4" s="1" t="s">
        <v>18</v>
      </c>
      <c r="FG4" s="1" t="s">
        <v>18</v>
      </c>
      <c r="FH4" s="1" t="s">
        <v>18</v>
      </c>
      <c r="FI4" s="1" t="s">
        <v>18</v>
      </c>
      <c r="FJ4" s="1" t="s">
        <v>18</v>
      </c>
      <c r="FK4" s="1" t="s">
        <v>18</v>
      </c>
      <c r="FL4" s="1" t="s">
        <v>18</v>
      </c>
      <c r="FM4" s="1" t="s">
        <v>18</v>
      </c>
      <c r="FN4" s="1" t="s">
        <v>18</v>
      </c>
      <c r="FO4" s="1" t="s">
        <v>18</v>
      </c>
      <c r="FP4" s="1" t="s">
        <v>18</v>
      </c>
      <c r="FQ4" s="1" t="s">
        <v>18</v>
      </c>
      <c r="FR4" s="1" t="s">
        <v>18</v>
      </c>
      <c r="FS4" s="1" t="s">
        <v>18</v>
      </c>
      <c r="FT4" s="1" t="s">
        <v>18</v>
      </c>
      <c r="FU4" s="1" t="s">
        <v>18</v>
      </c>
      <c r="FV4" s="1" t="s">
        <v>18</v>
      </c>
      <c r="FW4" s="1" t="s">
        <v>18</v>
      </c>
      <c r="FX4" s="1" t="s">
        <v>18</v>
      </c>
      <c r="FY4" s="1" t="s">
        <v>18</v>
      </c>
      <c r="FZ4" s="1" t="s">
        <v>18</v>
      </c>
      <c r="GA4" s="1" t="s">
        <v>18</v>
      </c>
      <c r="GB4" s="1" t="s">
        <v>19</v>
      </c>
      <c r="GC4" s="1" t="s">
        <v>19</v>
      </c>
      <c r="GD4" s="1" t="s">
        <v>19</v>
      </c>
      <c r="GE4" s="1" t="s">
        <v>19</v>
      </c>
      <c r="GF4" s="1" t="s">
        <v>19</v>
      </c>
    </row>
    <row r="5">
      <c r="A5" s="1" t="s">
        <v>58</v>
      </c>
      <c r="B5" s="1" t="s">
        <v>59</v>
      </c>
      <c r="C5" s="1" t="s">
        <v>60</v>
      </c>
      <c r="D5" s="1" t="s">
        <v>61</v>
      </c>
      <c r="E5" s="1" t="s">
        <v>62</v>
      </c>
      <c r="F5" s="1" t="s">
        <v>63</v>
      </c>
      <c r="G5" s="1" t="s">
        <v>64</v>
      </c>
      <c r="H5" s="1" t="s">
        <v>65</v>
      </c>
      <c r="I5" s="1" t="s">
        <v>66</v>
      </c>
      <c r="J5" s="1" t="s">
        <v>67</v>
      </c>
      <c r="K5" s="1" t="s">
        <v>68</v>
      </c>
      <c r="L5" s="1" t="s">
        <v>69</v>
      </c>
      <c r="M5" s="1" t="s">
        <v>70</v>
      </c>
      <c r="N5" s="1" t="s">
        <v>71</v>
      </c>
      <c r="O5" s="1" t="s">
        <v>72</v>
      </c>
      <c r="P5" s="1" t="s">
        <v>73</v>
      </c>
      <c r="Q5" s="1" t="s">
        <v>74</v>
      </c>
      <c r="R5" s="1" t="s">
        <v>75</v>
      </c>
      <c r="S5" s="1" t="s">
        <v>76</v>
      </c>
      <c r="T5" s="1" t="s">
        <v>77</v>
      </c>
      <c r="U5" s="1" t="s">
        <v>78</v>
      </c>
      <c r="V5" s="1" t="s">
        <v>79</v>
      </c>
      <c r="W5" s="1" t="s">
        <v>80</v>
      </c>
      <c r="X5" s="1" t="s">
        <v>81</v>
      </c>
      <c r="Y5" s="1" t="s">
        <v>20</v>
      </c>
      <c r="Z5" s="1" t="s">
        <v>21</v>
      </c>
      <c r="AA5" s="1" t="s">
        <v>22</v>
      </c>
      <c r="AB5" s="1" t="s">
        <v>23</v>
      </c>
      <c r="AC5" s="1" t="s">
        <v>24</v>
      </c>
      <c r="AD5" s="1" t="s">
        <v>25</v>
      </c>
      <c r="AE5" s="1" t="s">
        <v>26</v>
      </c>
      <c r="AF5" s="1" t="s">
        <v>82</v>
      </c>
      <c r="AG5" s="1" t="s">
        <v>83</v>
      </c>
      <c r="AH5" s="1" t="s">
        <v>28</v>
      </c>
      <c r="AI5" s="1" t="s">
        <v>29</v>
      </c>
      <c r="AJ5" s="1" t="s">
        <v>30</v>
      </c>
      <c r="AK5" s="1" t="s">
        <v>31</v>
      </c>
      <c r="AL5" s="1" t="s">
        <v>32</v>
      </c>
      <c r="AM5" s="1" t="s">
        <v>33</v>
      </c>
      <c r="AN5" s="1" t="s">
        <v>34</v>
      </c>
      <c r="AO5" s="1" t="s">
        <v>35</v>
      </c>
      <c r="AP5" s="1" t="s">
        <v>84</v>
      </c>
      <c r="AQ5" s="1" t="s">
        <v>85</v>
      </c>
      <c r="AR5" s="1" t="s">
        <v>84</v>
      </c>
      <c r="AS5" s="1" t="s">
        <v>85</v>
      </c>
      <c r="AT5" s="1" t="s">
        <v>38</v>
      </c>
      <c r="AU5" s="1" t="s">
        <v>39</v>
      </c>
      <c r="AV5" s="1" t="s">
        <v>86</v>
      </c>
      <c r="AW5" s="1" t="s">
        <v>87</v>
      </c>
      <c r="AX5" s="1" t="s">
        <v>86</v>
      </c>
      <c r="AY5" s="1" t="s">
        <v>87</v>
      </c>
      <c r="AZ5" s="1" t="s">
        <v>40</v>
      </c>
      <c r="BA5" s="1" t="s">
        <v>41</v>
      </c>
      <c r="BB5" s="1" t="s">
        <v>42</v>
      </c>
      <c r="BC5" s="1" t="s">
        <v>88</v>
      </c>
      <c r="BD5" s="1" t="s">
        <v>89</v>
      </c>
      <c r="BE5" s="1" t="s">
        <v>88</v>
      </c>
      <c r="BF5" s="1" t="s">
        <v>89</v>
      </c>
      <c r="BG5" s="1" t="s">
        <v>43</v>
      </c>
      <c r="BH5" s="1" t="s">
        <v>44</v>
      </c>
      <c r="BI5" s="1" t="s">
        <v>45</v>
      </c>
      <c r="BJ5" s="1" t="s">
        <v>84</v>
      </c>
      <c r="BK5" s="1" t="s">
        <v>85</v>
      </c>
      <c r="BL5" s="1" t="s">
        <v>90</v>
      </c>
      <c r="BM5" s="1" t="s">
        <v>84</v>
      </c>
      <c r="BN5" s="1" t="s">
        <v>85</v>
      </c>
      <c r="BO5" s="1" t="s">
        <v>91</v>
      </c>
      <c r="BP5" s="1" t="s">
        <v>92</v>
      </c>
      <c r="BQ5" s="1" t="s">
        <v>91</v>
      </c>
      <c r="BR5" s="1" t="s">
        <v>92</v>
      </c>
      <c r="BS5" s="1" t="s">
        <v>38</v>
      </c>
      <c r="BT5" s="1" t="s">
        <v>39</v>
      </c>
      <c r="BU5" s="1" t="s">
        <v>48</v>
      </c>
      <c r="BV5" s="1" t="s">
        <v>49</v>
      </c>
      <c r="BW5" s="1" t="s">
        <v>50</v>
      </c>
      <c r="BX5" s="1" t="s">
        <v>51</v>
      </c>
      <c r="BY5" s="1" t="s">
        <v>52</v>
      </c>
      <c r="BZ5" s="1" t="s">
        <v>53</v>
      </c>
      <c r="CA5" s="1" t="s">
        <v>54</v>
      </c>
      <c r="CB5" s="1" t="s">
        <v>55</v>
      </c>
      <c r="CC5" s="1" t="s">
        <v>56</v>
      </c>
      <c r="CD5" s="1" t="s">
        <v>57</v>
      </c>
      <c r="CE5" s="1" t="s">
        <v>93</v>
      </c>
      <c r="CF5" s="1" t="s">
        <v>94</v>
      </c>
      <c r="CG5" s="1" t="s">
        <v>95</v>
      </c>
      <c r="CH5" s="1" t="s">
        <v>96</v>
      </c>
      <c r="CI5" s="1" t="s">
        <v>97</v>
      </c>
      <c r="CJ5" s="1" t="s">
        <v>98</v>
      </c>
      <c r="CK5" s="1" t="s">
        <v>99</v>
      </c>
      <c r="CL5" s="1" t="s">
        <v>100</v>
      </c>
      <c r="CM5" s="1" t="s">
        <v>101</v>
      </c>
      <c r="CN5" s="1" t="s">
        <v>102</v>
      </c>
      <c r="CO5" s="1" t="s">
        <v>103</v>
      </c>
      <c r="CP5" s="1" t="s">
        <v>104</v>
      </c>
      <c r="CQ5" s="1" t="s">
        <v>105</v>
      </c>
      <c r="CR5" s="1" t="s">
        <v>106</v>
      </c>
      <c r="CS5" s="1" t="s">
        <v>107</v>
      </c>
      <c r="CT5" s="1" t="s">
        <v>108</v>
      </c>
      <c r="CU5" s="1" t="s">
        <v>109</v>
      </c>
      <c r="CV5" s="1" t="s">
        <v>5</v>
      </c>
      <c r="CW5" s="1" t="s">
        <v>110</v>
      </c>
      <c r="CX5" s="1" t="s">
        <v>7</v>
      </c>
      <c r="CY5" s="1" t="s">
        <v>111</v>
      </c>
      <c r="CZ5" s="1" t="s">
        <v>112</v>
      </c>
      <c r="DA5" s="1" t="s">
        <v>113</v>
      </c>
      <c r="DB5" s="1" t="s">
        <v>114</v>
      </c>
      <c r="DC5" s="1" t="s">
        <v>115</v>
      </c>
      <c r="DD5" s="1" t="s">
        <v>116</v>
      </c>
      <c r="DE5" s="1" t="s">
        <v>117</v>
      </c>
      <c r="DF5" s="1" t="s">
        <v>118</v>
      </c>
      <c r="DG5" s="1" t="s">
        <v>119</v>
      </c>
      <c r="DH5" s="1" t="s">
        <v>120</v>
      </c>
      <c r="DI5" s="1" t="s">
        <v>121</v>
      </c>
      <c r="DJ5" s="1" t="s">
        <v>122</v>
      </c>
      <c r="DK5" s="1" t="s">
        <v>123</v>
      </c>
      <c r="DL5" s="1" t="s">
        <v>124</v>
      </c>
      <c r="DM5" s="1" t="s">
        <v>125</v>
      </c>
      <c r="DN5" s="1" t="s">
        <v>126</v>
      </c>
      <c r="DO5" s="1" t="s">
        <v>127</v>
      </c>
      <c r="DP5" s="1" t="s">
        <v>128</v>
      </c>
      <c r="DQ5" s="1" t="s">
        <v>129</v>
      </c>
      <c r="DR5" s="1" t="s">
        <v>130</v>
      </c>
      <c r="DS5" s="1" t="s">
        <v>131</v>
      </c>
      <c r="DT5" s="1" t="s">
        <v>132</v>
      </c>
      <c r="DU5" s="1" t="s">
        <v>133</v>
      </c>
      <c r="DV5" s="1" t="s">
        <v>134</v>
      </c>
      <c r="DW5" s="1" t="s">
        <v>135</v>
      </c>
      <c r="DX5" s="1" t="s">
        <v>136</v>
      </c>
      <c r="DY5" s="1" t="s">
        <v>137</v>
      </c>
      <c r="DZ5" s="1" t="s">
        <v>138</v>
      </c>
      <c r="EA5" s="1" t="s">
        <v>139</v>
      </c>
      <c r="EB5" s="1" t="s">
        <v>140</v>
      </c>
      <c r="EC5" s="1" t="s">
        <v>141</v>
      </c>
      <c r="ED5" s="1" t="s">
        <v>142</v>
      </c>
      <c r="EE5" s="1" t="s">
        <v>143</v>
      </c>
      <c r="EF5" s="1" t="s">
        <v>144</v>
      </c>
      <c r="EG5" s="1" t="s">
        <v>145</v>
      </c>
      <c r="EH5" s="1" t="s">
        <v>146</v>
      </c>
      <c r="EI5" s="1" t="s">
        <v>147</v>
      </c>
      <c r="EJ5" s="1" t="s">
        <v>148</v>
      </c>
      <c r="EK5" s="1" t="s">
        <v>149</v>
      </c>
      <c r="EL5" s="1" t="s">
        <v>150</v>
      </c>
      <c r="EM5" s="1" t="s">
        <v>151</v>
      </c>
      <c r="EN5" s="1" t="s">
        <v>152</v>
      </c>
      <c r="EO5" s="1" t="s">
        <v>153</v>
      </c>
      <c r="EP5" s="1" t="s">
        <v>154</v>
      </c>
      <c r="EQ5" s="1" t="s">
        <v>155</v>
      </c>
      <c r="ER5" s="1" t="s">
        <v>156</v>
      </c>
      <c r="ES5" s="1" t="s">
        <v>157</v>
      </c>
      <c r="ET5" s="1" t="s">
        <v>158</v>
      </c>
      <c r="EU5" s="1" t="s">
        <v>159</v>
      </c>
      <c r="EV5" s="1" t="s">
        <v>160</v>
      </c>
      <c r="EW5" s="1" t="s">
        <v>161</v>
      </c>
      <c r="EX5" s="1" t="s">
        <v>162</v>
      </c>
      <c r="EY5" s="1" t="s">
        <v>163</v>
      </c>
      <c r="EZ5" s="1" t="s">
        <v>164</v>
      </c>
      <c r="FA5" s="1" t="s">
        <v>165</v>
      </c>
      <c r="FB5" s="1" t="s">
        <v>166</v>
      </c>
      <c r="FC5" s="1" t="s">
        <v>167</v>
      </c>
      <c r="FD5" s="1" t="s">
        <v>168</v>
      </c>
      <c r="FE5" s="1" t="s">
        <v>169</v>
      </c>
      <c r="FF5" s="1" t="s">
        <v>170</v>
      </c>
      <c r="FG5" s="1" t="s">
        <v>171</v>
      </c>
      <c r="FH5" s="1" t="s">
        <v>172</v>
      </c>
      <c r="FI5" s="1" t="s">
        <v>173</v>
      </c>
      <c r="FJ5" s="1" t="s">
        <v>174</v>
      </c>
      <c r="FK5" s="1" t="s">
        <v>175</v>
      </c>
      <c r="FL5" s="1" t="s">
        <v>176</v>
      </c>
      <c r="FM5" s="1" t="s">
        <v>177</v>
      </c>
      <c r="FN5" s="1" t="s">
        <v>178</v>
      </c>
      <c r="FO5" s="1" t="s">
        <v>179</v>
      </c>
      <c r="FP5" s="1" t="s">
        <v>180</v>
      </c>
      <c r="FQ5" s="1" t="s">
        <v>181</v>
      </c>
      <c r="FR5" s="1" t="s">
        <v>182</v>
      </c>
      <c r="FS5" s="1" t="s">
        <v>183</v>
      </c>
      <c r="FT5" s="1" t="s">
        <v>184</v>
      </c>
      <c r="FU5" s="1" t="s">
        <v>185</v>
      </c>
      <c r="FV5" s="1" t="s">
        <v>186</v>
      </c>
      <c r="FW5" s="1" t="s">
        <v>187</v>
      </c>
      <c r="FX5" s="1" t="s">
        <v>188</v>
      </c>
      <c r="FY5" s="1" t="s">
        <v>189</v>
      </c>
      <c r="FZ5" s="1" t="s">
        <v>190</v>
      </c>
      <c r="GA5" s="1" t="s">
        <v>191</v>
      </c>
      <c r="GB5" s="1" t="s">
        <v>192</v>
      </c>
      <c r="GC5" s="1" t="s">
        <v>125</v>
      </c>
      <c r="GD5" s="1" t="s">
        <v>193</v>
      </c>
      <c r="GE5" s="1" t="s">
        <v>159</v>
      </c>
      <c r="GF5" s="1" t="s">
        <v>165</v>
      </c>
    </row>
    <row r="6">
      <c r="A6" s="2" t="s">
        <v>194</v>
      </c>
      <c r="B6" s="2" t="s">
        <v>195</v>
      </c>
      <c r="C6" s="2" t="s">
        <v>196</v>
      </c>
      <c r="D6" s="2" t="s">
        <v>197</v>
      </c>
      <c r="E6" s="2" t="s">
        <v>198</v>
      </c>
      <c r="F6" s="2" t="s">
        <v>199</v>
      </c>
      <c r="G6" s="2" t="s">
        <v>199</v>
      </c>
      <c r="H6" s="2" t="s">
        <v>199</v>
      </c>
      <c r="I6" s="2" t="s">
        <v>200</v>
      </c>
      <c r="J6" s="2" t="s">
        <v>201</v>
      </c>
      <c r="K6" s="2" t="s">
        <v>202</v>
      </c>
      <c r="L6" s="3">
        <v>58.29</v>
      </c>
      <c r="M6" s="3">
        <v>61.2</v>
      </c>
      <c r="N6" s="3">
        <v>109.99</v>
      </c>
      <c r="O6" s="2" t="s">
        <v>203</v>
      </c>
      <c r="P6" s="2" t="s">
        <v>204</v>
      </c>
      <c r="Q6" s="2" t="s">
        <v>205</v>
      </c>
      <c r="R6" s="2" t="s">
        <v>206</v>
      </c>
      <c r="S6" s="2" t="s">
        <v>207</v>
      </c>
      <c r="T6" s="2" t="s">
        <v>208</v>
      </c>
      <c r="U6" s="2" t="s">
        <v>206</v>
      </c>
      <c r="V6" s="2" t="s">
        <v>209</v>
      </c>
      <c r="W6" s="2" t="s">
        <v>210</v>
      </c>
      <c r="X6" s="2" t="s">
        <v>206</v>
      </c>
      <c r="Y6" s="2" t="s">
        <v>211</v>
      </c>
      <c r="Z6" s="4">
        <v>255</v>
      </c>
      <c r="AA6" s="4">
        <f>=ROUNDDOWN(63.75,0)</f>
      </c>
      <c r="AB6" s="5">
        <v>4</v>
      </c>
      <c r="AC6" s="2" t="s">
        <v>206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206</v>
      </c>
      <c r="AM6" s="4"/>
      <c r="AN6" s="4"/>
      <c r="AO6" s="7"/>
      <c r="AP6" s="4"/>
      <c r="AQ6" s="8"/>
      <c r="AR6" s="4"/>
      <c r="AS6" s="8"/>
      <c r="AT6" s="7"/>
      <c r="AU6" s="7"/>
      <c r="AV6" s="4" t="s">
        <v>206</v>
      </c>
      <c r="AW6" s="8" t="s">
        <v>206</v>
      </c>
      <c r="AX6" s="4" t="s">
        <v>206</v>
      </c>
      <c r="AY6" s="8" t="s">
        <v>206</v>
      </c>
      <c r="AZ6" s="7" t="s">
        <v>206</v>
      </c>
      <c r="BA6" s="7" t="s">
        <v>206</v>
      </c>
      <c r="BB6" s="7"/>
      <c r="BC6" s="4" t="s">
        <v>206</v>
      </c>
      <c r="BD6" s="8" t="s">
        <v>206</v>
      </c>
      <c r="BE6" s="4" t="s">
        <v>206</v>
      </c>
      <c r="BF6" s="8" t="s">
        <v>206</v>
      </c>
      <c r="BG6" s="7" t="s">
        <v>206</v>
      </c>
      <c r="BH6" s="7" t="s">
        <v>206</v>
      </c>
      <c r="BI6" s="7"/>
      <c r="BJ6" s="4">
        <v>3</v>
      </c>
      <c r="BK6" s="8">
        <v>187.98</v>
      </c>
      <c r="BL6" s="2" t="s">
        <v>212</v>
      </c>
      <c r="BM6" s="7"/>
      <c r="BN6" s="7"/>
      <c r="BO6" s="4"/>
      <c r="BP6" s="8"/>
      <c r="BQ6" s="4"/>
      <c r="BR6" s="8"/>
      <c r="BS6" s="7"/>
      <c r="BT6" s="7"/>
      <c r="BU6" s="2" t="s">
        <v>213</v>
      </c>
      <c r="BV6" s="2" t="s">
        <v>206</v>
      </c>
      <c r="BW6" s="2" t="s">
        <v>206</v>
      </c>
      <c r="BX6" s="2" t="s">
        <v>214</v>
      </c>
      <c r="BY6" s="2" t="s">
        <v>215</v>
      </c>
      <c r="BZ6" s="2" t="s">
        <v>203</v>
      </c>
      <c r="CA6" s="2" t="s">
        <v>216</v>
      </c>
      <c r="CB6" s="2" t="s">
        <v>217</v>
      </c>
      <c r="CC6" s="2" t="s">
        <v>218</v>
      </c>
      <c r="CD6" s="2" t="s">
        <v>206</v>
      </c>
      <c r="CE6" s="4">
        <v>255</v>
      </c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</row>
    <row r="7">
      <c r="A7" s="2" t="s">
        <v>219</v>
      </c>
      <c r="B7" s="2" t="s">
        <v>195</v>
      </c>
      <c r="C7" s="2" t="s">
        <v>196</v>
      </c>
      <c r="D7" s="2" t="s">
        <v>197</v>
      </c>
      <c r="E7" s="2" t="s">
        <v>198</v>
      </c>
      <c r="F7" s="2" t="s">
        <v>199</v>
      </c>
      <c r="G7" s="2" t="s">
        <v>199</v>
      </c>
      <c r="H7" s="2" t="s">
        <v>199</v>
      </c>
      <c r="I7" s="2" t="s">
        <v>200</v>
      </c>
      <c r="J7" s="2" t="s">
        <v>220</v>
      </c>
      <c r="K7" s="2" t="s">
        <v>202</v>
      </c>
      <c r="L7" s="3">
        <v>74.19</v>
      </c>
      <c r="M7" s="3">
        <v>77.9</v>
      </c>
      <c r="N7" s="3">
        <v>139.99</v>
      </c>
      <c r="O7" s="2" t="s">
        <v>203</v>
      </c>
      <c r="P7" s="2" t="s">
        <v>204</v>
      </c>
      <c r="Q7" s="2" t="s">
        <v>205</v>
      </c>
      <c r="R7" s="2" t="s">
        <v>206</v>
      </c>
      <c r="S7" s="2" t="s">
        <v>207</v>
      </c>
      <c r="T7" s="2" t="s">
        <v>208</v>
      </c>
      <c r="U7" s="2" t="s">
        <v>206</v>
      </c>
      <c r="V7" s="2" t="s">
        <v>209</v>
      </c>
      <c r="W7" s="2" t="s">
        <v>210</v>
      </c>
      <c r="X7" s="2" t="s">
        <v>206</v>
      </c>
      <c r="Y7" s="2" t="s">
        <v>211</v>
      </c>
      <c r="Z7" s="4">
        <v>261</v>
      </c>
      <c r="AA7" s="4">
        <f>=ROUNDDOWN(65.25,0)</f>
      </c>
      <c r="AB7" s="5">
        <v>4</v>
      </c>
      <c r="AC7" s="2" t="s">
        <v>206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206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206</v>
      </c>
      <c r="AW7" s="8" t="s">
        <v>206</v>
      </c>
      <c r="AX7" s="4" t="s">
        <v>206</v>
      </c>
      <c r="AY7" s="8" t="s">
        <v>206</v>
      </c>
      <c r="AZ7" s="7" t="s">
        <v>206</v>
      </c>
      <c r="BA7" s="7" t="s">
        <v>206</v>
      </c>
      <c r="BB7" s="7"/>
      <c r="BC7" s="4" t="s">
        <v>206</v>
      </c>
      <c r="BD7" s="8" t="s">
        <v>206</v>
      </c>
      <c r="BE7" s="4" t="s">
        <v>206</v>
      </c>
      <c r="BF7" s="8" t="s">
        <v>206</v>
      </c>
      <c r="BG7" s="7" t="s">
        <v>206</v>
      </c>
      <c r="BH7" s="7" t="s">
        <v>206</v>
      </c>
      <c r="BI7" s="7"/>
      <c r="BJ7" s="4"/>
      <c r="BK7" s="8"/>
      <c r="BL7" s="2" t="s">
        <v>221</v>
      </c>
      <c r="BM7" s="7"/>
      <c r="BN7" s="7"/>
      <c r="BO7" s="4"/>
      <c r="BP7" s="8"/>
      <c r="BQ7" s="4"/>
      <c r="BR7" s="8"/>
      <c r="BS7" s="7"/>
      <c r="BT7" s="7"/>
      <c r="BU7" s="2" t="s">
        <v>222</v>
      </c>
      <c r="BV7" s="2" t="s">
        <v>206</v>
      </c>
      <c r="BW7" s="2" t="s">
        <v>206</v>
      </c>
      <c r="BX7" s="2" t="s">
        <v>214</v>
      </c>
      <c r="BY7" s="2" t="s">
        <v>215</v>
      </c>
      <c r="BZ7" s="2" t="s">
        <v>203</v>
      </c>
      <c r="CA7" s="2" t="s">
        <v>216</v>
      </c>
      <c r="CB7" s="2" t="s">
        <v>223</v>
      </c>
      <c r="CC7" s="2" t="s">
        <v>218</v>
      </c>
      <c r="CD7" s="2" t="s">
        <v>206</v>
      </c>
      <c r="CE7" s="4">
        <v>261</v>
      </c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</row>
    <row r="8">
      <c r="A8" s="2" t="s">
        <v>224</v>
      </c>
      <c r="B8" s="2" t="s">
        <v>225</v>
      </c>
      <c r="C8" s="2" t="s">
        <v>226</v>
      </c>
      <c r="D8" s="2" t="s">
        <v>227</v>
      </c>
      <c r="E8" s="2" t="s">
        <v>228</v>
      </c>
      <c r="F8" s="2" t="s">
        <v>229</v>
      </c>
      <c r="G8" s="2" t="s">
        <v>229</v>
      </c>
      <c r="H8" s="2" t="s">
        <v>229</v>
      </c>
      <c r="I8" s="2" t="s">
        <v>230</v>
      </c>
      <c r="J8" s="2" t="s">
        <v>231</v>
      </c>
      <c r="K8" s="2" t="s">
        <v>232</v>
      </c>
      <c r="L8" s="3">
        <v>28.5</v>
      </c>
      <c r="M8" s="3">
        <v>29.93</v>
      </c>
      <c r="N8" s="3">
        <v>59.99</v>
      </c>
      <c r="O8" s="2" t="s">
        <v>203</v>
      </c>
      <c r="P8" s="2" t="s">
        <v>204</v>
      </c>
      <c r="Q8" s="2" t="s">
        <v>205</v>
      </c>
      <c r="R8" s="2" t="s">
        <v>206</v>
      </c>
      <c r="S8" s="2" t="s">
        <v>233</v>
      </c>
      <c r="T8" s="2" t="s">
        <v>234</v>
      </c>
      <c r="U8" s="2" t="s">
        <v>235</v>
      </c>
      <c r="V8" s="2" t="s">
        <v>236</v>
      </c>
      <c r="W8" s="2" t="s">
        <v>210</v>
      </c>
      <c r="X8" s="2" t="s">
        <v>206</v>
      </c>
      <c r="Y8" s="2" t="s">
        <v>237</v>
      </c>
      <c r="Z8" s="4">
        <v>31</v>
      </c>
      <c r="AA8" s="4">
        <f>=ROUNDDOWN(6.2,0)</f>
      </c>
      <c r="AB8" s="5">
        <v>5</v>
      </c>
      <c r="AC8" s="2" t="s">
        <v>138</v>
      </c>
      <c r="AD8" s="4">
        <v>30</v>
      </c>
      <c r="AE8" s="4">
        <v>330</v>
      </c>
      <c r="AF8" s="6">
        <v>70</v>
      </c>
      <c r="AG8" s="6"/>
      <c r="AH8" s="7">
        <v>1</v>
      </c>
      <c r="AI8" s="4"/>
      <c r="AJ8" s="4">
        <f>=ROUNDDOWN({0},0)</f>
      </c>
      <c r="AK8" s="5"/>
      <c r="AL8" s="2" t="s">
        <v>206</v>
      </c>
      <c r="AM8" s="4"/>
      <c r="AN8" s="4"/>
      <c r="AO8" s="7"/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206</v>
      </c>
      <c r="BD8" s="8" t="s">
        <v>206</v>
      </c>
      <c r="BE8" s="4" t="s">
        <v>206</v>
      </c>
      <c r="BF8" s="8" t="s">
        <v>206</v>
      </c>
      <c r="BG8" s="7" t="s">
        <v>206</v>
      </c>
      <c r="BH8" s="7" t="s">
        <v>206</v>
      </c>
      <c r="BI8" s="7"/>
      <c r="BJ8" s="4">
        <v>25</v>
      </c>
      <c r="BK8" s="8">
        <v>800.9</v>
      </c>
      <c r="BL8" s="2" t="s">
        <v>238</v>
      </c>
      <c r="BM8" s="7"/>
      <c r="BN8" s="7"/>
      <c r="BO8" s="4"/>
      <c r="BP8" s="8"/>
      <c r="BQ8" s="4"/>
      <c r="BR8" s="8"/>
      <c r="BS8" s="7"/>
      <c r="BT8" s="7"/>
      <c r="BU8" s="2" t="s">
        <v>239</v>
      </c>
      <c r="BV8" s="2" t="s">
        <v>206</v>
      </c>
      <c r="BW8" s="2" t="s">
        <v>206</v>
      </c>
      <c r="BX8" s="2" t="s">
        <v>214</v>
      </c>
      <c r="BY8" s="2" t="s">
        <v>215</v>
      </c>
      <c r="BZ8" s="2" t="s">
        <v>203</v>
      </c>
      <c r="CA8" s="2" t="s">
        <v>240</v>
      </c>
      <c r="CB8" s="2" t="s">
        <v>241</v>
      </c>
      <c r="CC8" s="2" t="s">
        <v>218</v>
      </c>
      <c r="CD8" s="2" t="s">
        <v>206</v>
      </c>
      <c r="CE8" s="4">
        <v>31</v>
      </c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>
        <v>30</v>
      </c>
      <c r="EA8" s="4"/>
      <c r="EB8" s="4"/>
      <c r="EC8" s="4"/>
      <c r="ED8" s="4"/>
      <c r="EE8" s="4"/>
      <c r="EF8" s="4"/>
      <c r="EG8" s="4"/>
      <c r="EH8" s="4"/>
      <c r="EI8" s="4">
        <v>200</v>
      </c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>
        <v>100</v>
      </c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</row>
    <row r="9">
      <c r="A9" s="2" t="s">
        <v>242</v>
      </c>
      <c r="B9" s="2" t="s">
        <v>225</v>
      </c>
      <c r="C9" s="2" t="s">
        <v>226</v>
      </c>
      <c r="D9" s="2" t="s">
        <v>227</v>
      </c>
      <c r="E9" s="2" t="s">
        <v>228</v>
      </c>
      <c r="F9" s="2" t="s">
        <v>229</v>
      </c>
      <c r="G9" s="2" t="s">
        <v>229</v>
      </c>
      <c r="H9" s="2" t="s">
        <v>229</v>
      </c>
      <c r="I9" s="2" t="s">
        <v>230</v>
      </c>
      <c r="J9" s="2" t="s">
        <v>220</v>
      </c>
      <c r="K9" s="2" t="s">
        <v>243</v>
      </c>
      <c r="L9" s="3">
        <v>23.75</v>
      </c>
      <c r="M9" s="3">
        <v>24.94</v>
      </c>
      <c r="N9" s="3">
        <v>49.99</v>
      </c>
      <c r="O9" s="2" t="s">
        <v>203</v>
      </c>
      <c r="P9" s="2" t="s">
        <v>204</v>
      </c>
      <c r="Q9" s="2" t="s">
        <v>205</v>
      </c>
      <c r="R9" s="2" t="s">
        <v>206</v>
      </c>
      <c r="S9" s="2" t="s">
        <v>244</v>
      </c>
      <c r="T9" s="2" t="s">
        <v>234</v>
      </c>
      <c r="U9" s="2" t="s">
        <v>235</v>
      </c>
      <c r="V9" s="2" t="s">
        <v>245</v>
      </c>
      <c r="W9" s="2" t="s">
        <v>210</v>
      </c>
      <c r="X9" s="2" t="s">
        <v>206</v>
      </c>
      <c r="Y9" s="2" t="s">
        <v>237</v>
      </c>
      <c r="Z9" s="4">
        <v>95</v>
      </c>
      <c r="AA9" s="4">
        <f>=ROUNDDOWN(19,0)</f>
      </c>
      <c r="AB9" s="5">
        <v>5</v>
      </c>
      <c r="AC9" s="2" t="s">
        <v>128</v>
      </c>
      <c r="AD9" s="4">
        <v>20</v>
      </c>
      <c r="AE9" s="4">
        <v>220</v>
      </c>
      <c r="AF9" s="6">
        <v>70</v>
      </c>
      <c r="AG9" s="6"/>
      <c r="AH9" s="7">
        <v>0.6774</v>
      </c>
      <c r="AI9" s="4"/>
      <c r="AJ9" s="4">
        <f>=ROUNDDOWN({0},0)</f>
      </c>
      <c r="AK9" s="5"/>
      <c r="AL9" s="2" t="s">
        <v>206</v>
      </c>
      <c r="AM9" s="4"/>
      <c r="AN9" s="4"/>
      <c r="AO9" s="7"/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206</v>
      </c>
      <c r="BD9" s="8" t="s">
        <v>206</v>
      </c>
      <c r="BE9" s="4" t="s">
        <v>206</v>
      </c>
      <c r="BF9" s="8" t="s">
        <v>206</v>
      </c>
      <c r="BG9" s="7" t="s">
        <v>206</v>
      </c>
      <c r="BH9" s="7" t="s">
        <v>206</v>
      </c>
      <c r="BI9" s="7"/>
      <c r="BJ9" s="4">
        <v>5</v>
      </c>
      <c r="BK9" s="8">
        <v>133.16</v>
      </c>
      <c r="BL9" s="2" t="s">
        <v>246</v>
      </c>
      <c r="BM9" s="7"/>
      <c r="BN9" s="7"/>
      <c r="BO9" s="4"/>
      <c r="BP9" s="8"/>
      <c r="BQ9" s="4"/>
      <c r="BR9" s="8"/>
      <c r="BS9" s="7"/>
      <c r="BT9" s="7"/>
      <c r="BU9" s="2" t="s">
        <v>247</v>
      </c>
      <c r="BV9" s="2" t="s">
        <v>206</v>
      </c>
      <c r="BW9" s="2" t="s">
        <v>206</v>
      </c>
      <c r="BX9" s="2" t="s">
        <v>214</v>
      </c>
      <c r="BY9" s="2" t="s">
        <v>215</v>
      </c>
      <c r="BZ9" s="2" t="s">
        <v>203</v>
      </c>
      <c r="CA9" s="2" t="s">
        <v>240</v>
      </c>
      <c r="CB9" s="2" t="s">
        <v>248</v>
      </c>
      <c r="CC9" s="2" t="s">
        <v>218</v>
      </c>
      <c r="CD9" s="2" t="s">
        <v>206</v>
      </c>
      <c r="CE9" s="4">
        <v>95</v>
      </c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>
        <v>20</v>
      </c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>
        <v>100</v>
      </c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>
        <v>100</v>
      </c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</row>
    <row r="10">
      <c r="A10" s="2" t="s">
        <v>249</v>
      </c>
      <c r="B10" s="2" t="s">
        <v>225</v>
      </c>
      <c r="C10" s="2" t="s">
        <v>226</v>
      </c>
      <c r="D10" s="2" t="s">
        <v>227</v>
      </c>
      <c r="E10" s="2" t="s">
        <v>228</v>
      </c>
      <c r="F10" s="2" t="s">
        <v>229</v>
      </c>
      <c r="G10" s="2" t="s">
        <v>229</v>
      </c>
      <c r="H10" s="2" t="s">
        <v>229</v>
      </c>
      <c r="I10" s="2" t="s">
        <v>230</v>
      </c>
      <c r="J10" s="2" t="s">
        <v>220</v>
      </c>
      <c r="K10" s="2" t="s">
        <v>250</v>
      </c>
      <c r="L10" s="3">
        <v>23.75</v>
      </c>
      <c r="M10" s="3">
        <v>24.94</v>
      </c>
      <c r="N10" s="3">
        <v>49.99</v>
      </c>
      <c r="O10" s="2" t="s">
        <v>203</v>
      </c>
      <c r="P10" s="2" t="s">
        <v>204</v>
      </c>
      <c r="Q10" s="2" t="s">
        <v>205</v>
      </c>
      <c r="R10" s="2" t="s">
        <v>206</v>
      </c>
      <c r="S10" s="2" t="s">
        <v>251</v>
      </c>
      <c r="T10" s="2" t="s">
        <v>234</v>
      </c>
      <c r="U10" s="2" t="s">
        <v>235</v>
      </c>
      <c r="V10" s="2" t="s">
        <v>236</v>
      </c>
      <c r="W10" s="2" t="s">
        <v>210</v>
      </c>
      <c r="X10" s="2" t="s">
        <v>206</v>
      </c>
      <c r="Y10" s="2" t="s">
        <v>237</v>
      </c>
      <c r="Z10" s="4"/>
      <c r="AA10" s="4">
        <f>=ROUNDDOWN({0},0)</f>
      </c>
      <c r="AB10" s="5">
        <v>10</v>
      </c>
      <c r="AC10" s="2" t="s">
        <v>128</v>
      </c>
      <c r="AD10" s="4">
        <v>100</v>
      </c>
      <c r="AE10" s="4">
        <v>250</v>
      </c>
      <c r="AF10" s="6">
        <v>70</v>
      </c>
      <c r="AG10" s="6"/>
      <c r="AH10" s="7">
        <v>0.6452</v>
      </c>
      <c r="AI10" s="4"/>
      <c r="AJ10" s="4">
        <f>=ROUNDDOWN({0},0)</f>
      </c>
      <c r="AK10" s="5"/>
      <c r="AL10" s="2" t="s">
        <v>206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206</v>
      </c>
      <c r="AW10" s="8" t="s">
        <v>206</v>
      </c>
      <c r="AX10" s="4" t="s">
        <v>206</v>
      </c>
      <c r="AY10" s="8" t="s">
        <v>206</v>
      </c>
      <c r="AZ10" s="7" t="s">
        <v>206</v>
      </c>
      <c r="BA10" s="7" t="s">
        <v>206</v>
      </c>
      <c r="BB10" s="7"/>
      <c r="BC10" s="4" t="s">
        <v>206</v>
      </c>
      <c r="BD10" s="8" t="s">
        <v>206</v>
      </c>
      <c r="BE10" s="4" t="s">
        <v>206</v>
      </c>
      <c r="BF10" s="8" t="s">
        <v>206</v>
      </c>
      <c r="BG10" s="7" t="s">
        <v>206</v>
      </c>
      <c r="BH10" s="7" t="s">
        <v>206</v>
      </c>
      <c r="BI10" s="7"/>
      <c r="BJ10" s="4">
        <v>43</v>
      </c>
      <c r="BK10" s="8">
        <v>1151.73</v>
      </c>
      <c r="BL10" s="2" t="s">
        <v>252</v>
      </c>
      <c r="BM10" s="7"/>
      <c r="BN10" s="7"/>
      <c r="BO10" s="4"/>
      <c r="BP10" s="8"/>
      <c r="BQ10" s="4"/>
      <c r="BR10" s="8"/>
      <c r="BS10" s="7"/>
      <c r="BT10" s="7"/>
      <c r="BU10" s="2" t="s">
        <v>253</v>
      </c>
      <c r="BV10" s="2" t="s">
        <v>206</v>
      </c>
      <c r="BW10" s="2" t="s">
        <v>206</v>
      </c>
      <c r="BX10" s="2" t="s">
        <v>214</v>
      </c>
      <c r="BY10" s="2" t="s">
        <v>215</v>
      </c>
      <c r="BZ10" s="2" t="s">
        <v>203</v>
      </c>
      <c r="CA10" s="2" t="s">
        <v>240</v>
      </c>
      <c r="CB10" s="2" t="s">
        <v>254</v>
      </c>
      <c r="CC10" s="2" t="s">
        <v>218</v>
      </c>
      <c r="CD10" s="2" t="s">
        <v>206</v>
      </c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>
        <v>100</v>
      </c>
      <c r="DQ10" s="4"/>
      <c r="DR10" s="4"/>
      <c r="DS10" s="4"/>
      <c r="DT10" s="4"/>
      <c r="DU10" s="4"/>
      <c r="DV10" s="4"/>
      <c r="DW10" s="4"/>
      <c r="DX10" s="4"/>
      <c r="DY10" s="4"/>
      <c r="DZ10" s="4">
        <v>70</v>
      </c>
      <c r="EA10" s="4"/>
      <c r="EB10" s="4"/>
      <c r="EC10" s="4"/>
      <c r="ED10" s="4"/>
      <c r="EE10" s="4"/>
      <c r="EF10" s="4"/>
      <c r="EG10" s="4"/>
      <c r="EH10" s="4"/>
      <c r="EI10" s="4">
        <v>30</v>
      </c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>
        <v>50</v>
      </c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</row>
    <row r="11">
      <c r="A11" s="2" t="s">
        <v>255</v>
      </c>
      <c r="B11" s="2" t="s">
        <v>225</v>
      </c>
      <c r="C11" s="2" t="s">
        <v>226</v>
      </c>
      <c r="D11" s="2" t="s">
        <v>227</v>
      </c>
      <c r="E11" s="2" t="s">
        <v>228</v>
      </c>
      <c r="F11" s="2" t="s">
        <v>229</v>
      </c>
      <c r="G11" s="2" t="s">
        <v>229</v>
      </c>
      <c r="H11" s="2" t="s">
        <v>229</v>
      </c>
      <c r="I11" s="2" t="s">
        <v>230</v>
      </c>
      <c r="J11" s="2" t="s">
        <v>231</v>
      </c>
      <c r="K11" s="2" t="s">
        <v>250</v>
      </c>
      <c r="L11" s="3">
        <v>28.5</v>
      </c>
      <c r="M11" s="3">
        <v>29.93</v>
      </c>
      <c r="N11" s="3">
        <v>59.99</v>
      </c>
      <c r="O11" s="2" t="s">
        <v>203</v>
      </c>
      <c r="P11" s="2" t="s">
        <v>204</v>
      </c>
      <c r="Q11" s="2" t="s">
        <v>205</v>
      </c>
      <c r="R11" s="2" t="s">
        <v>206</v>
      </c>
      <c r="S11" s="2" t="s">
        <v>251</v>
      </c>
      <c r="T11" s="2" t="s">
        <v>234</v>
      </c>
      <c r="U11" s="2" t="s">
        <v>235</v>
      </c>
      <c r="V11" s="2" t="s">
        <v>236</v>
      </c>
      <c r="W11" s="2" t="s">
        <v>210</v>
      </c>
      <c r="X11" s="2" t="s">
        <v>206</v>
      </c>
      <c r="Y11" s="2" t="s">
        <v>237</v>
      </c>
      <c r="Z11" s="4"/>
      <c r="AA11" s="4">
        <f>=ROUNDDOWN({0},0)</f>
      </c>
      <c r="AB11" s="5">
        <v>11.8</v>
      </c>
      <c r="AC11" s="2" t="s">
        <v>128</v>
      </c>
      <c r="AD11" s="4">
        <v>70</v>
      </c>
      <c r="AE11" s="4">
        <v>470</v>
      </c>
      <c r="AF11" s="6">
        <v>70</v>
      </c>
      <c r="AG11" s="6"/>
      <c r="AH11" s="7">
        <v>0</v>
      </c>
      <c r="AI11" s="4"/>
      <c r="AJ11" s="4">
        <f>=ROUNDDOWN({0},0)</f>
      </c>
      <c r="AK11" s="5"/>
      <c r="AL11" s="2" t="s">
        <v>206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206</v>
      </c>
      <c r="AW11" s="8" t="s">
        <v>206</v>
      </c>
      <c r="AX11" s="4" t="s">
        <v>206</v>
      </c>
      <c r="AY11" s="8" t="s">
        <v>206</v>
      </c>
      <c r="AZ11" s="7" t="s">
        <v>206</v>
      </c>
      <c r="BA11" s="7" t="s">
        <v>206</v>
      </c>
      <c r="BB11" s="7"/>
      <c r="BC11" s="4" t="s">
        <v>206</v>
      </c>
      <c r="BD11" s="8" t="s">
        <v>206</v>
      </c>
      <c r="BE11" s="4" t="s">
        <v>206</v>
      </c>
      <c r="BF11" s="8" t="s">
        <v>206</v>
      </c>
      <c r="BG11" s="7" t="s">
        <v>206</v>
      </c>
      <c r="BH11" s="7" t="s">
        <v>206</v>
      </c>
      <c r="BI11" s="7"/>
      <c r="BJ11" s="4">
        <v>4</v>
      </c>
      <c r="BK11" s="8">
        <v>131.12</v>
      </c>
      <c r="BL11" s="2" t="s">
        <v>256</v>
      </c>
      <c r="BM11" s="7"/>
      <c r="BN11" s="7"/>
      <c r="BO11" s="4"/>
      <c r="BP11" s="8"/>
      <c r="BQ11" s="4"/>
      <c r="BR11" s="8"/>
      <c r="BS11" s="7"/>
      <c r="BT11" s="7"/>
      <c r="BU11" s="2" t="s">
        <v>257</v>
      </c>
      <c r="BV11" s="2" t="s">
        <v>206</v>
      </c>
      <c r="BW11" s="2" t="s">
        <v>206</v>
      </c>
      <c r="BX11" s="2" t="s">
        <v>214</v>
      </c>
      <c r="BY11" s="2" t="s">
        <v>215</v>
      </c>
      <c r="BZ11" s="2" t="s">
        <v>203</v>
      </c>
      <c r="CA11" s="2" t="s">
        <v>240</v>
      </c>
      <c r="CB11" s="2" t="s">
        <v>258</v>
      </c>
      <c r="CC11" s="2" t="s">
        <v>218</v>
      </c>
      <c r="CD11" s="2" t="s">
        <v>206</v>
      </c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>
        <v>70</v>
      </c>
      <c r="DQ11" s="4"/>
      <c r="DR11" s="4"/>
      <c r="DS11" s="4"/>
      <c r="DT11" s="4"/>
      <c r="DU11" s="4"/>
      <c r="DV11" s="4"/>
      <c r="DW11" s="4"/>
      <c r="DX11" s="4"/>
      <c r="DY11" s="4"/>
      <c r="DZ11" s="4">
        <v>70</v>
      </c>
      <c r="EA11" s="4"/>
      <c r="EB11" s="4"/>
      <c r="EC11" s="4"/>
      <c r="ED11" s="4"/>
      <c r="EE11" s="4"/>
      <c r="EF11" s="4"/>
      <c r="EG11" s="4"/>
      <c r="EH11" s="4"/>
      <c r="EI11" s="4">
        <v>200</v>
      </c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>
        <v>130</v>
      </c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</row>
    <row r="12">
      <c r="A12" s="2" t="s">
        <v>259</v>
      </c>
      <c r="B12" s="2" t="s">
        <v>195</v>
      </c>
      <c r="C12" s="2" t="s">
        <v>196</v>
      </c>
      <c r="D12" s="2" t="s">
        <v>197</v>
      </c>
      <c r="E12" s="2" t="s">
        <v>198</v>
      </c>
      <c r="F12" s="2" t="s">
        <v>260</v>
      </c>
      <c r="G12" s="2" t="s">
        <v>260</v>
      </c>
      <c r="H12" s="2" t="s">
        <v>260</v>
      </c>
      <c r="I12" s="2" t="s">
        <v>261</v>
      </c>
      <c r="J12" s="2" t="s">
        <v>201</v>
      </c>
      <c r="K12" s="2" t="s">
        <v>262</v>
      </c>
      <c r="L12" s="3">
        <v>41.4</v>
      </c>
      <c r="M12" s="3">
        <v>43.47</v>
      </c>
      <c r="N12" s="3">
        <v>89.99</v>
      </c>
      <c r="O12" s="2" t="s">
        <v>203</v>
      </c>
      <c r="P12" s="2" t="s">
        <v>204</v>
      </c>
      <c r="Q12" s="2" t="s">
        <v>205</v>
      </c>
      <c r="R12" s="2" t="s">
        <v>206</v>
      </c>
      <c r="S12" s="2" t="s">
        <v>263</v>
      </c>
      <c r="T12" s="2" t="s">
        <v>208</v>
      </c>
      <c r="U12" s="2" t="s">
        <v>206</v>
      </c>
      <c r="V12" s="2" t="s">
        <v>209</v>
      </c>
      <c r="W12" s="2" t="s">
        <v>210</v>
      </c>
      <c r="X12" s="2" t="s">
        <v>206</v>
      </c>
      <c r="Y12" s="2" t="s">
        <v>211</v>
      </c>
      <c r="Z12" s="4">
        <v>509</v>
      </c>
      <c r="AA12" s="4">
        <f>=ROUNDDOWN(46.2727272727273,0)</f>
      </c>
      <c r="AB12" s="5">
        <v>11</v>
      </c>
      <c r="AC12" s="2" t="s">
        <v>206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206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206</v>
      </c>
      <c r="AW12" s="8" t="s">
        <v>206</v>
      </c>
      <c r="AX12" s="4" t="s">
        <v>206</v>
      </c>
      <c r="AY12" s="8" t="s">
        <v>206</v>
      </c>
      <c r="AZ12" s="7" t="s">
        <v>206</v>
      </c>
      <c r="BA12" s="7" t="s">
        <v>206</v>
      </c>
      <c r="BB12" s="7"/>
      <c r="BC12" s="4" t="s">
        <v>206</v>
      </c>
      <c r="BD12" s="8" t="s">
        <v>206</v>
      </c>
      <c r="BE12" s="4" t="s">
        <v>206</v>
      </c>
      <c r="BF12" s="8" t="s">
        <v>206</v>
      </c>
      <c r="BG12" s="7" t="s">
        <v>206</v>
      </c>
      <c r="BH12" s="7" t="s">
        <v>206</v>
      </c>
      <c r="BI12" s="7"/>
      <c r="BJ12" s="4">
        <v>11</v>
      </c>
      <c r="BK12" s="8">
        <v>497.92</v>
      </c>
      <c r="BL12" s="2" t="s">
        <v>264</v>
      </c>
      <c r="BM12" s="7"/>
      <c r="BN12" s="7"/>
      <c r="BO12" s="4"/>
      <c r="BP12" s="8"/>
      <c r="BQ12" s="4"/>
      <c r="BR12" s="8"/>
      <c r="BS12" s="7"/>
      <c r="BT12" s="7"/>
      <c r="BU12" s="2" t="s">
        <v>265</v>
      </c>
      <c r="BV12" s="2" t="s">
        <v>206</v>
      </c>
      <c r="BW12" s="2" t="s">
        <v>206</v>
      </c>
      <c r="BX12" s="2" t="s">
        <v>214</v>
      </c>
      <c r="BY12" s="2" t="s">
        <v>215</v>
      </c>
      <c r="BZ12" s="2" t="s">
        <v>203</v>
      </c>
      <c r="CA12" s="2" t="s">
        <v>266</v>
      </c>
      <c r="CB12" s="2" t="s">
        <v>267</v>
      </c>
      <c r="CC12" s="2" t="s">
        <v>218</v>
      </c>
      <c r="CD12" s="2" t="s">
        <v>206</v>
      </c>
      <c r="CE12" s="4">
        <v>359</v>
      </c>
      <c r="CF12" s="4">
        <v>150</v>
      </c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</row>
    <row r="13">
      <c r="A13" s="2" t="s">
        <v>268</v>
      </c>
      <c r="B13" s="2" t="s">
        <v>195</v>
      </c>
      <c r="C13" s="2" t="s">
        <v>196</v>
      </c>
      <c r="D13" s="2" t="s">
        <v>197</v>
      </c>
      <c r="E13" s="2" t="s">
        <v>198</v>
      </c>
      <c r="F13" s="2" t="s">
        <v>260</v>
      </c>
      <c r="G13" s="2" t="s">
        <v>260</v>
      </c>
      <c r="H13" s="2" t="s">
        <v>260</v>
      </c>
      <c r="I13" s="2" t="s">
        <v>261</v>
      </c>
      <c r="J13" s="2" t="s">
        <v>231</v>
      </c>
      <c r="K13" s="2" t="s">
        <v>262</v>
      </c>
      <c r="L13" s="3">
        <v>76.8</v>
      </c>
      <c r="M13" s="3">
        <v>80.64</v>
      </c>
      <c r="N13" s="3">
        <v>159.99</v>
      </c>
      <c r="O13" s="2" t="s">
        <v>203</v>
      </c>
      <c r="P13" s="2" t="s">
        <v>204</v>
      </c>
      <c r="Q13" s="2" t="s">
        <v>205</v>
      </c>
      <c r="R13" s="2" t="s">
        <v>206</v>
      </c>
      <c r="S13" s="2" t="s">
        <v>263</v>
      </c>
      <c r="T13" s="2" t="s">
        <v>208</v>
      </c>
      <c r="U13" s="2" t="s">
        <v>206</v>
      </c>
      <c r="V13" s="2" t="s">
        <v>209</v>
      </c>
      <c r="W13" s="2" t="s">
        <v>210</v>
      </c>
      <c r="X13" s="2" t="s">
        <v>206</v>
      </c>
      <c r="Y13" s="2" t="s">
        <v>211</v>
      </c>
      <c r="Z13" s="4">
        <v>324</v>
      </c>
      <c r="AA13" s="4">
        <f>=ROUNDDOWN(54,0)</f>
      </c>
      <c r="AB13" s="5">
        <v>6</v>
      </c>
      <c r="AC13" s="2" t="s">
        <v>206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206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206</v>
      </c>
      <c r="AW13" s="8" t="s">
        <v>206</v>
      </c>
      <c r="AX13" s="4" t="s">
        <v>206</v>
      </c>
      <c r="AY13" s="8" t="s">
        <v>206</v>
      </c>
      <c r="AZ13" s="7" t="s">
        <v>206</v>
      </c>
      <c r="BA13" s="7" t="s">
        <v>206</v>
      </c>
      <c r="BB13" s="7"/>
      <c r="BC13" s="4" t="s">
        <v>206</v>
      </c>
      <c r="BD13" s="8" t="s">
        <v>206</v>
      </c>
      <c r="BE13" s="4" t="s">
        <v>206</v>
      </c>
      <c r="BF13" s="8" t="s">
        <v>206</v>
      </c>
      <c r="BG13" s="7" t="s">
        <v>206</v>
      </c>
      <c r="BH13" s="7" t="s">
        <v>206</v>
      </c>
      <c r="BI13" s="7"/>
      <c r="BJ13" s="4">
        <v>18</v>
      </c>
      <c r="BK13" s="8">
        <v>1530.68</v>
      </c>
      <c r="BL13" s="2" t="s">
        <v>269</v>
      </c>
      <c r="BM13" s="7"/>
      <c r="BN13" s="7"/>
      <c r="BO13" s="4"/>
      <c r="BP13" s="8"/>
      <c r="BQ13" s="4"/>
      <c r="BR13" s="8"/>
      <c r="BS13" s="7"/>
      <c r="BT13" s="7"/>
      <c r="BU13" s="2" t="s">
        <v>270</v>
      </c>
      <c r="BV13" s="2" t="s">
        <v>206</v>
      </c>
      <c r="BW13" s="2" t="s">
        <v>206</v>
      </c>
      <c r="BX13" s="2" t="s">
        <v>214</v>
      </c>
      <c r="BY13" s="2" t="s">
        <v>215</v>
      </c>
      <c r="BZ13" s="2" t="s">
        <v>203</v>
      </c>
      <c r="CA13" s="2" t="s">
        <v>266</v>
      </c>
      <c r="CB13" s="2" t="s">
        <v>271</v>
      </c>
      <c r="CC13" s="2" t="s">
        <v>218</v>
      </c>
      <c r="CD13" s="2" t="s">
        <v>206</v>
      </c>
      <c r="CE13" s="4">
        <v>275</v>
      </c>
      <c r="CF13" s="4">
        <v>49</v>
      </c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</row>
    <row r="14">
      <c r="A14" s="2" t="s">
        <v>272</v>
      </c>
      <c r="B14" s="2" t="s">
        <v>195</v>
      </c>
      <c r="C14" s="2" t="s">
        <v>196</v>
      </c>
      <c r="D14" s="2" t="s">
        <v>197</v>
      </c>
      <c r="E14" s="2" t="s">
        <v>198</v>
      </c>
      <c r="F14" s="2" t="s">
        <v>273</v>
      </c>
      <c r="G14" s="2" t="s">
        <v>274</v>
      </c>
      <c r="H14" s="2" t="s">
        <v>273</v>
      </c>
      <c r="I14" s="2" t="s">
        <v>275</v>
      </c>
      <c r="J14" s="2" t="s">
        <v>201</v>
      </c>
      <c r="K14" s="2" t="s">
        <v>202</v>
      </c>
      <c r="L14" s="3">
        <v>79.49</v>
      </c>
      <c r="M14" s="3">
        <v>83.46</v>
      </c>
      <c r="N14" s="3">
        <v>149.99</v>
      </c>
      <c r="O14" s="2" t="s">
        <v>203</v>
      </c>
      <c r="P14" s="2" t="s">
        <v>204</v>
      </c>
      <c r="Q14" s="2" t="s">
        <v>205</v>
      </c>
      <c r="R14" s="2" t="s">
        <v>206</v>
      </c>
      <c r="S14" s="2" t="s">
        <v>276</v>
      </c>
      <c r="T14" s="2" t="s">
        <v>208</v>
      </c>
      <c r="U14" s="2" t="s">
        <v>206</v>
      </c>
      <c r="V14" s="2" t="s">
        <v>209</v>
      </c>
      <c r="W14" s="2" t="s">
        <v>210</v>
      </c>
      <c r="X14" s="2" t="s">
        <v>206</v>
      </c>
      <c r="Y14" s="2" t="s">
        <v>211</v>
      </c>
      <c r="Z14" s="4">
        <v>158</v>
      </c>
      <c r="AA14" s="4">
        <f>=ROUNDDOWN(39.5,0)</f>
      </c>
      <c r="AB14" s="5">
        <v>4</v>
      </c>
      <c r="AC14" s="2" t="s">
        <v>206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206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206</v>
      </c>
      <c r="AW14" s="8" t="s">
        <v>206</v>
      </c>
      <c r="AX14" s="4" t="s">
        <v>206</v>
      </c>
      <c r="AY14" s="8" t="s">
        <v>206</v>
      </c>
      <c r="AZ14" s="7" t="s">
        <v>206</v>
      </c>
      <c r="BA14" s="7" t="s">
        <v>206</v>
      </c>
      <c r="BB14" s="7"/>
      <c r="BC14" s="4" t="s">
        <v>206</v>
      </c>
      <c r="BD14" s="8" t="s">
        <v>206</v>
      </c>
      <c r="BE14" s="4" t="s">
        <v>206</v>
      </c>
      <c r="BF14" s="8" t="s">
        <v>206</v>
      </c>
      <c r="BG14" s="7" t="s">
        <v>206</v>
      </c>
      <c r="BH14" s="7" t="s">
        <v>206</v>
      </c>
      <c r="BI14" s="7"/>
      <c r="BJ14" s="4">
        <v>7</v>
      </c>
      <c r="BK14" s="8">
        <v>525.97</v>
      </c>
      <c r="BL14" s="2" t="s">
        <v>277</v>
      </c>
      <c r="BM14" s="7"/>
      <c r="BN14" s="7"/>
      <c r="BO14" s="4"/>
      <c r="BP14" s="8"/>
      <c r="BQ14" s="4"/>
      <c r="BR14" s="8"/>
      <c r="BS14" s="7"/>
      <c r="BT14" s="7"/>
      <c r="BU14" s="2" t="s">
        <v>278</v>
      </c>
      <c r="BV14" s="2" t="s">
        <v>206</v>
      </c>
      <c r="BW14" s="2" t="s">
        <v>206</v>
      </c>
      <c r="BX14" s="2" t="s">
        <v>214</v>
      </c>
      <c r="BY14" s="2" t="s">
        <v>215</v>
      </c>
      <c r="BZ14" s="2" t="s">
        <v>203</v>
      </c>
      <c r="CA14" s="2" t="s">
        <v>279</v>
      </c>
      <c r="CB14" s="2" t="s">
        <v>280</v>
      </c>
      <c r="CC14" s="2" t="s">
        <v>218</v>
      </c>
      <c r="CD14" s="2" t="s">
        <v>206</v>
      </c>
      <c r="CE14" s="4">
        <v>158</v>
      </c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</row>
    <row r="15">
      <c r="A15" s="2" t="s">
        <v>281</v>
      </c>
      <c r="B15" s="2" t="s">
        <v>195</v>
      </c>
      <c r="C15" s="2" t="s">
        <v>196</v>
      </c>
      <c r="D15" s="2" t="s">
        <v>197</v>
      </c>
      <c r="E15" s="2" t="s">
        <v>198</v>
      </c>
      <c r="F15" s="2" t="s">
        <v>273</v>
      </c>
      <c r="G15" s="2" t="s">
        <v>274</v>
      </c>
      <c r="H15" s="2" t="s">
        <v>273</v>
      </c>
      <c r="I15" s="2" t="s">
        <v>275</v>
      </c>
      <c r="J15" s="2" t="s">
        <v>282</v>
      </c>
      <c r="K15" s="2" t="s">
        <v>202</v>
      </c>
      <c r="L15" s="3">
        <v>111.29</v>
      </c>
      <c r="M15" s="3">
        <v>116.85</v>
      </c>
      <c r="N15" s="3">
        <v>209.99</v>
      </c>
      <c r="O15" s="2" t="s">
        <v>203</v>
      </c>
      <c r="P15" s="2" t="s">
        <v>204</v>
      </c>
      <c r="Q15" s="2" t="s">
        <v>205</v>
      </c>
      <c r="R15" s="2" t="s">
        <v>206</v>
      </c>
      <c r="S15" s="2" t="s">
        <v>276</v>
      </c>
      <c r="T15" s="2" t="s">
        <v>208</v>
      </c>
      <c r="U15" s="2" t="s">
        <v>206</v>
      </c>
      <c r="V15" s="2" t="s">
        <v>209</v>
      </c>
      <c r="W15" s="2" t="s">
        <v>210</v>
      </c>
      <c r="X15" s="2" t="s">
        <v>206</v>
      </c>
      <c r="Y15" s="2" t="s">
        <v>211</v>
      </c>
      <c r="Z15" s="4">
        <v>157</v>
      </c>
      <c r="AA15" s="4">
        <f>=ROUNDDOWN(19.625,0)</f>
      </c>
      <c r="AB15" s="5">
        <v>8</v>
      </c>
      <c r="AC15" s="2" t="s">
        <v>119</v>
      </c>
      <c r="AD15" s="4">
        <v>100</v>
      </c>
      <c r="AE15" s="4">
        <v>100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206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206</v>
      </c>
      <c r="AW15" s="8" t="s">
        <v>206</v>
      </c>
      <c r="AX15" s="4" t="s">
        <v>206</v>
      </c>
      <c r="AY15" s="8" t="s">
        <v>206</v>
      </c>
      <c r="AZ15" s="7" t="s">
        <v>206</v>
      </c>
      <c r="BA15" s="7" t="s">
        <v>206</v>
      </c>
      <c r="BB15" s="7"/>
      <c r="BC15" s="4" t="s">
        <v>206</v>
      </c>
      <c r="BD15" s="8" t="s">
        <v>206</v>
      </c>
      <c r="BE15" s="4" t="s">
        <v>206</v>
      </c>
      <c r="BF15" s="8" t="s">
        <v>206</v>
      </c>
      <c r="BG15" s="7" t="s">
        <v>206</v>
      </c>
      <c r="BH15" s="7" t="s">
        <v>206</v>
      </c>
      <c r="BI15" s="7"/>
      <c r="BJ15" s="4">
        <v>11</v>
      </c>
      <c r="BK15" s="8">
        <v>1258.82</v>
      </c>
      <c r="BL15" s="2" t="s">
        <v>283</v>
      </c>
      <c r="BM15" s="7"/>
      <c r="BN15" s="7"/>
      <c r="BO15" s="4"/>
      <c r="BP15" s="8"/>
      <c r="BQ15" s="4"/>
      <c r="BR15" s="8"/>
      <c r="BS15" s="7"/>
      <c r="BT15" s="7"/>
      <c r="BU15" s="2" t="s">
        <v>284</v>
      </c>
      <c r="BV15" s="2" t="s">
        <v>206</v>
      </c>
      <c r="BW15" s="2" t="s">
        <v>206</v>
      </c>
      <c r="BX15" s="2" t="s">
        <v>214</v>
      </c>
      <c r="BY15" s="2" t="s">
        <v>215</v>
      </c>
      <c r="BZ15" s="2" t="s">
        <v>203</v>
      </c>
      <c r="CA15" s="2" t="s">
        <v>279</v>
      </c>
      <c r="CB15" s="2" t="s">
        <v>285</v>
      </c>
      <c r="CC15" s="2" t="s">
        <v>218</v>
      </c>
      <c r="CD15" s="2" t="s">
        <v>206</v>
      </c>
      <c r="CE15" s="4">
        <v>157</v>
      </c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>
        <v>100</v>
      </c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</row>
    <row r="16">
      <c r="A16" s="2" t="s">
        <v>286</v>
      </c>
      <c r="B16" s="2" t="s">
        <v>225</v>
      </c>
      <c r="C16" s="2" t="s">
        <v>287</v>
      </c>
      <c r="D16" s="2" t="s">
        <v>227</v>
      </c>
      <c r="E16" s="2" t="s">
        <v>228</v>
      </c>
      <c r="F16" s="2" t="s">
        <v>288</v>
      </c>
      <c r="G16" s="2" t="s">
        <v>288</v>
      </c>
      <c r="H16" s="2" t="s">
        <v>288</v>
      </c>
      <c r="I16" s="2" t="s">
        <v>289</v>
      </c>
      <c r="J16" s="2" t="s">
        <v>290</v>
      </c>
      <c r="K16" s="2" t="s">
        <v>262</v>
      </c>
      <c r="L16" s="3">
        <v>15.19</v>
      </c>
      <c r="M16" s="3">
        <v>15.95</v>
      </c>
      <c r="N16" s="3">
        <v>30.99</v>
      </c>
      <c r="O16" s="2" t="s">
        <v>203</v>
      </c>
      <c r="P16" s="2" t="s">
        <v>204</v>
      </c>
      <c r="Q16" s="2" t="s">
        <v>205</v>
      </c>
      <c r="R16" s="2" t="s">
        <v>206</v>
      </c>
      <c r="S16" s="2" t="s">
        <v>291</v>
      </c>
      <c r="T16" s="2" t="s">
        <v>292</v>
      </c>
      <c r="U16" s="2" t="s">
        <v>206</v>
      </c>
      <c r="V16" s="2" t="s">
        <v>209</v>
      </c>
      <c r="W16" s="2" t="s">
        <v>210</v>
      </c>
      <c r="X16" s="2" t="s">
        <v>206</v>
      </c>
      <c r="Y16" s="2" t="s">
        <v>211</v>
      </c>
      <c r="Z16" s="4">
        <v>189</v>
      </c>
      <c r="AA16" s="4">
        <f>=ROUNDDOWN(37.8,0)</f>
      </c>
      <c r="AB16" s="5">
        <v>5</v>
      </c>
      <c r="AC16" s="2" t="s">
        <v>293</v>
      </c>
      <c r="AD16" s="4">
        <v>20</v>
      </c>
      <c r="AE16" s="4">
        <v>20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206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206</v>
      </c>
      <c r="AW16" s="8" t="s">
        <v>206</v>
      </c>
      <c r="AX16" s="4" t="s">
        <v>206</v>
      </c>
      <c r="AY16" s="8" t="s">
        <v>206</v>
      </c>
      <c r="AZ16" s="7" t="s">
        <v>206</v>
      </c>
      <c r="BA16" s="7" t="s">
        <v>206</v>
      </c>
      <c r="BB16" s="7"/>
      <c r="BC16" s="4" t="s">
        <v>206</v>
      </c>
      <c r="BD16" s="8" t="s">
        <v>206</v>
      </c>
      <c r="BE16" s="4" t="s">
        <v>206</v>
      </c>
      <c r="BF16" s="8" t="s">
        <v>206</v>
      </c>
      <c r="BG16" s="7" t="s">
        <v>206</v>
      </c>
      <c r="BH16" s="7" t="s">
        <v>206</v>
      </c>
      <c r="BI16" s="7"/>
      <c r="BJ16" s="4">
        <v>25</v>
      </c>
      <c r="BK16" s="8">
        <v>422.43</v>
      </c>
      <c r="BL16" s="2" t="s">
        <v>294</v>
      </c>
      <c r="BM16" s="7"/>
      <c r="BN16" s="7"/>
      <c r="BO16" s="4"/>
      <c r="BP16" s="8"/>
      <c r="BQ16" s="4"/>
      <c r="BR16" s="8"/>
      <c r="BS16" s="7"/>
      <c r="BT16" s="7"/>
      <c r="BU16" s="2" t="s">
        <v>295</v>
      </c>
      <c r="BV16" s="2" t="s">
        <v>206</v>
      </c>
      <c r="BW16" s="2" t="s">
        <v>206</v>
      </c>
      <c r="BX16" s="2" t="s">
        <v>214</v>
      </c>
      <c r="BY16" s="2" t="s">
        <v>215</v>
      </c>
      <c r="BZ16" s="2" t="s">
        <v>203</v>
      </c>
      <c r="CA16" s="2" t="s">
        <v>216</v>
      </c>
      <c r="CB16" s="2" t="s">
        <v>296</v>
      </c>
      <c r="CC16" s="2" t="s">
        <v>218</v>
      </c>
      <c r="CD16" s="2" t="s">
        <v>206</v>
      </c>
      <c r="CE16" s="4">
        <v>189</v>
      </c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>
        <v>20</v>
      </c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</row>
    <row r="17">
      <c r="A17" s="2" t="s">
        <v>297</v>
      </c>
      <c r="B17" s="2" t="s">
        <v>225</v>
      </c>
      <c r="C17" s="2" t="s">
        <v>287</v>
      </c>
      <c r="D17" s="2" t="s">
        <v>227</v>
      </c>
      <c r="E17" s="2" t="s">
        <v>228</v>
      </c>
      <c r="F17" s="2" t="s">
        <v>288</v>
      </c>
      <c r="G17" s="2" t="s">
        <v>288</v>
      </c>
      <c r="H17" s="2" t="s">
        <v>288</v>
      </c>
      <c r="I17" s="2" t="s">
        <v>289</v>
      </c>
      <c r="J17" s="2" t="s">
        <v>220</v>
      </c>
      <c r="K17" s="2" t="s">
        <v>262</v>
      </c>
      <c r="L17" s="3">
        <v>16.5</v>
      </c>
      <c r="M17" s="3">
        <v>17.32</v>
      </c>
      <c r="N17" s="3">
        <v>32.99</v>
      </c>
      <c r="O17" s="2" t="s">
        <v>203</v>
      </c>
      <c r="P17" s="2" t="s">
        <v>204</v>
      </c>
      <c r="Q17" s="2" t="s">
        <v>205</v>
      </c>
      <c r="R17" s="2" t="s">
        <v>206</v>
      </c>
      <c r="S17" s="2" t="s">
        <v>291</v>
      </c>
      <c r="T17" s="2" t="s">
        <v>292</v>
      </c>
      <c r="U17" s="2" t="s">
        <v>206</v>
      </c>
      <c r="V17" s="2" t="s">
        <v>209</v>
      </c>
      <c r="W17" s="2" t="s">
        <v>210</v>
      </c>
      <c r="X17" s="2" t="s">
        <v>206</v>
      </c>
      <c r="Y17" s="2" t="s">
        <v>211</v>
      </c>
      <c r="Z17" s="4">
        <v>232</v>
      </c>
      <c r="AA17" s="4">
        <f>=ROUNDDOWN(33.1428571428571,0)</f>
      </c>
      <c r="AB17" s="5">
        <v>7</v>
      </c>
      <c r="AC17" s="2" t="s">
        <v>121</v>
      </c>
      <c r="AD17" s="4">
        <v>20</v>
      </c>
      <c r="AE17" s="4">
        <v>180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206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206</v>
      </c>
      <c r="AW17" s="8" t="s">
        <v>206</v>
      </c>
      <c r="AX17" s="4" t="s">
        <v>206</v>
      </c>
      <c r="AY17" s="8" t="s">
        <v>206</v>
      </c>
      <c r="AZ17" s="7" t="s">
        <v>206</v>
      </c>
      <c r="BA17" s="7" t="s">
        <v>206</v>
      </c>
      <c r="BB17" s="7"/>
      <c r="BC17" s="4" t="s">
        <v>206</v>
      </c>
      <c r="BD17" s="8" t="s">
        <v>206</v>
      </c>
      <c r="BE17" s="4" t="s">
        <v>206</v>
      </c>
      <c r="BF17" s="8" t="s">
        <v>206</v>
      </c>
      <c r="BG17" s="7" t="s">
        <v>206</v>
      </c>
      <c r="BH17" s="7" t="s">
        <v>206</v>
      </c>
      <c r="BI17" s="7"/>
      <c r="BJ17" s="4">
        <v>23</v>
      </c>
      <c r="BK17" s="8">
        <v>384.97</v>
      </c>
      <c r="BL17" s="2" t="s">
        <v>298</v>
      </c>
      <c r="BM17" s="7"/>
      <c r="BN17" s="7"/>
      <c r="BO17" s="4"/>
      <c r="BP17" s="8"/>
      <c r="BQ17" s="4"/>
      <c r="BR17" s="8"/>
      <c r="BS17" s="7"/>
      <c r="BT17" s="7"/>
      <c r="BU17" s="2" t="s">
        <v>299</v>
      </c>
      <c r="BV17" s="2" t="s">
        <v>206</v>
      </c>
      <c r="BW17" s="2" t="s">
        <v>206</v>
      </c>
      <c r="BX17" s="2" t="s">
        <v>214</v>
      </c>
      <c r="BY17" s="2" t="s">
        <v>215</v>
      </c>
      <c r="BZ17" s="2" t="s">
        <v>203</v>
      </c>
      <c r="CA17" s="2" t="s">
        <v>216</v>
      </c>
      <c r="CB17" s="2" t="s">
        <v>300</v>
      </c>
      <c r="CC17" s="2" t="s">
        <v>218</v>
      </c>
      <c r="CD17" s="2" t="s">
        <v>206</v>
      </c>
      <c r="CE17" s="4">
        <v>232</v>
      </c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>
        <v>20</v>
      </c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>
        <v>100</v>
      </c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>
        <v>60</v>
      </c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</row>
    <row r="18">
      <c r="A18" s="2" t="s">
        <v>301</v>
      </c>
      <c r="B18" s="2" t="s">
        <v>225</v>
      </c>
      <c r="C18" s="2" t="s">
        <v>287</v>
      </c>
      <c r="D18" s="2" t="s">
        <v>227</v>
      </c>
      <c r="E18" s="2" t="s">
        <v>228</v>
      </c>
      <c r="F18" s="2" t="s">
        <v>288</v>
      </c>
      <c r="G18" s="2" t="s">
        <v>288</v>
      </c>
      <c r="H18" s="2" t="s">
        <v>288</v>
      </c>
      <c r="I18" s="2" t="s">
        <v>289</v>
      </c>
      <c r="J18" s="2" t="s">
        <v>282</v>
      </c>
      <c r="K18" s="2" t="s">
        <v>262</v>
      </c>
      <c r="L18" s="3">
        <v>19</v>
      </c>
      <c r="M18" s="3">
        <v>19.95</v>
      </c>
      <c r="N18" s="3">
        <v>37.99</v>
      </c>
      <c r="O18" s="2" t="s">
        <v>203</v>
      </c>
      <c r="P18" s="2" t="s">
        <v>204</v>
      </c>
      <c r="Q18" s="2" t="s">
        <v>205</v>
      </c>
      <c r="R18" s="2" t="s">
        <v>206</v>
      </c>
      <c r="S18" s="2" t="s">
        <v>291</v>
      </c>
      <c r="T18" s="2" t="s">
        <v>292</v>
      </c>
      <c r="U18" s="2" t="s">
        <v>206</v>
      </c>
      <c r="V18" s="2" t="s">
        <v>209</v>
      </c>
      <c r="W18" s="2" t="s">
        <v>210</v>
      </c>
      <c r="X18" s="2" t="s">
        <v>206</v>
      </c>
      <c r="Y18" s="2" t="s">
        <v>211</v>
      </c>
      <c r="Z18" s="4">
        <v>239</v>
      </c>
      <c r="AA18" s="4">
        <f>=ROUNDDOWN(10.8636363636364,0)</f>
      </c>
      <c r="AB18" s="5">
        <v>22</v>
      </c>
      <c r="AC18" s="2" t="s">
        <v>113</v>
      </c>
      <c r="AD18" s="4">
        <v>100</v>
      </c>
      <c r="AE18" s="4">
        <v>490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206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206</v>
      </c>
      <c r="AW18" s="8" t="s">
        <v>206</v>
      </c>
      <c r="AX18" s="4" t="s">
        <v>206</v>
      </c>
      <c r="AY18" s="8" t="s">
        <v>206</v>
      </c>
      <c r="AZ18" s="7" t="s">
        <v>206</v>
      </c>
      <c r="BA18" s="7" t="s">
        <v>206</v>
      </c>
      <c r="BB18" s="7"/>
      <c r="BC18" s="4" t="s">
        <v>206</v>
      </c>
      <c r="BD18" s="8" t="s">
        <v>206</v>
      </c>
      <c r="BE18" s="4" t="s">
        <v>206</v>
      </c>
      <c r="BF18" s="8" t="s">
        <v>206</v>
      </c>
      <c r="BG18" s="7" t="s">
        <v>206</v>
      </c>
      <c r="BH18" s="7" t="s">
        <v>206</v>
      </c>
      <c r="BI18" s="7"/>
      <c r="BJ18" s="4">
        <v>81</v>
      </c>
      <c r="BK18" s="8">
        <v>1542.84</v>
      </c>
      <c r="BL18" s="2" t="s">
        <v>302</v>
      </c>
      <c r="BM18" s="7"/>
      <c r="BN18" s="7"/>
      <c r="BO18" s="4"/>
      <c r="BP18" s="8"/>
      <c r="BQ18" s="4"/>
      <c r="BR18" s="8"/>
      <c r="BS18" s="7"/>
      <c r="BT18" s="7"/>
      <c r="BU18" s="2" t="s">
        <v>303</v>
      </c>
      <c r="BV18" s="2" t="s">
        <v>206</v>
      </c>
      <c r="BW18" s="2" t="s">
        <v>206</v>
      </c>
      <c r="BX18" s="2" t="s">
        <v>214</v>
      </c>
      <c r="BY18" s="2" t="s">
        <v>215</v>
      </c>
      <c r="BZ18" s="2" t="s">
        <v>203</v>
      </c>
      <c r="CA18" s="2" t="s">
        <v>216</v>
      </c>
      <c r="CB18" s="2" t="s">
        <v>304</v>
      </c>
      <c r="CC18" s="2" t="s">
        <v>218</v>
      </c>
      <c r="CD18" s="2" t="s">
        <v>206</v>
      </c>
      <c r="CE18" s="4">
        <v>239</v>
      </c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>
        <v>100</v>
      </c>
      <c r="DB18" s="4"/>
      <c r="DC18" s="4"/>
      <c r="DD18" s="4"/>
      <c r="DE18" s="4"/>
      <c r="DF18" s="4"/>
      <c r="DG18" s="4"/>
      <c r="DH18" s="4"/>
      <c r="DI18" s="4">
        <v>90</v>
      </c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>
        <v>200</v>
      </c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>
        <v>100</v>
      </c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</row>
    <row r="19">
      <c r="A19" s="2" t="s">
        <v>305</v>
      </c>
      <c r="B19" s="2" t="s">
        <v>225</v>
      </c>
      <c r="C19" s="2" t="s">
        <v>287</v>
      </c>
      <c r="D19" s="2" t="s">
        <v>227</v>
      </c>
      <c r="E19" s="2" t="s">
        <v>228</v>
      </c>
      <c r="F19" s="2" t="s">
        <v>288</v>
      </c>
      <c r="G19" s="2" t="s">
        <v>288</v>
      </c>
      <c r="H19" s="2" t="s">
        <v>288</v>
      </c>
      <c r="I19" s="2" t="s">
        <v>289</v>
      </c>
      <c r="J19" s="2" t="s">
        <v>231</v>
      </c>
      <c r="K19" s="2" t="s">
        <v>262</v>
      </c>
      <c r="L19" s="3">
        <v>21.5</v>
      </c>
      <c r="M19" s="3">
        <v>22.58</v>
      </c>
      <c r="N19" s="3">
        <v>42.99</v>
      </c>
      <c r="O19" s="2" t="s">
        <v>203</v>
      </c>
      <c r="P19" s="2" t="s">
        <v>204</v>
      </c>
      <c r="Q19" s="2" t="s">
        <v>205</v>
      </c>
      <c r="R19" s="2" t="s">
        <v>206</v>
      </c>
      <c r="S19" s="2" t="s">
        <v>291</v>
      </c>
      <c r="T19" s="2" t="s">
        <v>292</v>
      </c>
      <c r="U19" s="2" t="s">
        <v>206</v>
      </c>
      <c r="V19" s="2" t="s">
        <v>209</v>
      </c>
      <c r="W19" s="2" t="s">
        <v>210</v>
      </c>
      <c r="X19" s="2" t="s">
        <v>206</v>
      </c>
      <c r="Y19" s="2" t="s">
        <v>211</v>
      </c>
      <c r="Z19" s="4">
        <v>71</v>
      </c>
      <c r="AA19" s="4">
        <f>=ROUNDDOWN(4.96503496503496,0)</f>
      </c>
      <c r="AB19" s="5">
        <v>14.3</v>
      </c>
      <c r="AC19" s="2" t="s">
        <v>113</v>
      </c>
      <c r="AD19" s="4">
        <v>190</v>
      </c>
      <c r="AE19" s="4">
        <v>520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206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206</v>
      </c>
      <c r="AW19" s="8" t="s">
        <v>206</v>
      </c>
      <c r="AX19" s="4" t="s">
        <v>206</v>
      </c>
      <c r="AY19" s="8" t="s">
        <v>206</v>
      </c>
      <c r="AZ19" s="7" t="s">
        <v>206</v>
      </c>
      <c r="BA19" s="7" t="s">
        <v>206</v>
      </c>
      <c r="BB19" s="7"/>
      <c r="BC19" s="4" t="s">
        <v>206</v>
      </c>
      <c r="BD19" s="8" t="s">
        <v>206</v>
      </c>
      <c r="BE19" s="4" t="s">
        <v>206</v>
      </c>
      <c r="BF19" s="8" t="s">
        <v>206</v>
      </c>
      <c r="BG19" s="7" t="s">
        <v>206</v>
      </c>
      <c r="BH19" s="7" t="s">
        <v>206</v>
      </c>
      <c r="BI19" s="7"/>
      <c r="BJ19" s="4">
        <v>37</v>
      </c>
      <c r="BK19" s="8">
        <v>808.39</v>
      </c>
      <c r="BL19" s="2" t="s">
        <v>306</v>
      </c>
      <c r="BM19" s="7"/>
      <c r="BN19" s="7"/>
      <c r="BO19" s="4"/>
      <c r="BP19" s="8"/>
      <c r="BQ19" s="4"/>
      <c r="BR19" s="8"/>
      <c r="BS19" s="7"/>
      <c r="BT19" s="7"/>
      <c r="BU19" s="2" t="s">
        <v>307</v>
      </c>
      <c r="BV19" s="2" t="s">
        <v>206</v>
      </c>
      <c r="BW19" s="2" t="s">
        <v>206</v>
      </c>
      <c r="BX19" s="2" t="s">
        <v>214</v>
      </c>
      <c r="BY19" s="2" t="s">
        <v>215</v>
      </c>
      <c r="BZ19" s="2" t="s">
        <v>203</v>
      </c>
      <c r="CA19" s="2" t="s">
        <v>216</v>
      </c>
      <c r="CB19" s="2" t="s">
        <v>308</v>
      </c>
      <c r="CC19" s="2" t="s">
        <v>218</v>
      </c>
      <c r="CD19" s="2" t="s">
        <v>206</v>
      </c>
      <c r="CE19" s="4">
        <v>71</v>
      </c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>
        <v>190</v>
      </c>
      <c r="DB19" s="4"/>
      <c r="DC19" s="4"/>
      <c r="DD19" s="4"/>
      <c r="DE19" s="4"/>
      <c r="DF19" s="4"/>
      <c r="DG19" s="4"/>
      <c r="DH19" s="4"/>
      <c r="DI19" s="4">
        <v>70</v>
      </c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>
        <v>160</v>
      </c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>
        <v>100</v>
      </c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</row>
    <row r="20">
      <c r="A20" s="2" t="s">
        <v>309</v>
      </c>
      <c r="B20" s="2" t="s">
        <v>225</v>
      </c>
      <c r="C20" s="2" t="s">
        <v>287</v>
      </c>
      <c r="D20" s="2" t="s">
        <v>227</v>
      </c>
      <c r="E20" s="2" t="s">
        <v>228</v>
      </c>
      <c r="F20" s="2" t="s">
        <v>288</v>
      </c>
      <c r="G20" s="2" t="s">
        <v>288</v>
      </c>
      <c r="H20" s="2" t="s">
        <v>288</v>
      </c>
      <c r="I20" s="2" t="s">
        <v>289</v>
      </c>
      <c r="J20" s="2" t="s">
        <v>310</v>
      </c>
      <c r="K20" s="2" t="s">
        <v>262</v>
      </c>
      <c r="L20" s="3">
        <v>21.5</v>
      </c>
      <c r="M20" s="3">
        <v>22.58</v>
      </c>
      <c r="N20" s="3">
        <v>42.99</v>
      </c>
      <c r="O20" s="2" t="s">
        <v>203</v>
      </c>
      <c r="P20" s="2" t="s">
        <v>204</v>
      </c>
      <c r="Q20" s="2" t="s">
        <v>205</v>
      </c>
      <c r="R20" s="2" t="s">
        <v>206</v>
      </c>
      <c r="S20" s="2" t="s">
        <v>291</v>
      </c>
      <c r="T20" s="2" t="s">
        <v>292</v>
      </c>
      <c r="U20" s="2" t="s">
        <v>206</v>
      </c>
      <c r="V20" s="2" t="s">
        <v>209</v>
      </c>
      <c r="W20" s="2" t="s">
        <v>210</v>
      </c>
      <c r="X20" s="2" t="s">
        <v>206</v>
      </c>
      <c r="Y20" s="2" t="s">
        <v>211</v>
      </c>
      <c r="Z20" s="4">
        <v>129</v>
      </c>
      <c r="AA20" s="4">
        <f>=ROUNDDOWN(32.25,0)</f>
      </c>
      <c r="AB20" s="5">
        <v>4</v>
      </c>
      <c r="AC20" s="2" t="s">
        <v>206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206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206</v>
      </c>
      <c r="AW20" s="8" t="s">
        <v>206</v>
      </c>
      <c r="AX20" s="4" t="s">
        <v>206</v>
      </c>
      <c r="AY20" s="8" t="s">
        <v>206</v>
      </c>
      <c r="AZ20" s="7" t="s">
        <v>206</v>
      </c>
      <c r="BA20" s="7" t="s">
        <v>206</v>
      </c>
      <c r="BB20" s="7"/>
      <c r="BC20" s="4" t="s">
        <v>206</v>
      </c>
      <c r="BD20" s="8" t="s">
        <v>206</v>
      </c>
      <c r="BE20" s="4" t="s">
        <v>206</v>
      </c>
      <c r="BF20" s="8" t="s">
        <v>206</v>
      </c>
      <c r="BG20" s="7" t="s">
        <v>206</v>
      </c>
      <c r="BH20" s="7" t="s">
        <v>206</v>
      </c>
      <c r="BI20" s="7"/>
      <c r="BJ20" s="4">
        <v>16</v>
      </c>
      <c r="BK20" s="8">
        <v>340.71</v>
      </c>
      <c r="BL20" s="2" t="s">
        <v>311</v>
      </c>
      <c r="BM20" s="7"/>
      <c r="BN20" s="7"/>
      <c r="BO20" s="4"/>
      <c r="BP20" s="8"/>
      <c r="BQ20" s="4"/>
      <c r="BR20" s="8"/>
      <c r="BS20" s="7"/>
      <c r="BT20" s="7"/>
      <c r="BU20" s="2" t="s">
        <v>312</v>
      </c>
      <c r="BV20" s="2" t="s">
        <v>206</v>
      </c>
      <c r="BW20" s="2" t="s">
        <v>206</v>
      </c>
      <c r="BX20" s="2" t="s">
        <v>214</v>
      </c>
      <c r="BY20" s="2" t="s">
        <v>215</v>
      </c>
      <c r="BZ20" s="2" t="s">
        <v>203</v>
      </c>
      <c r="CA20" s="2" t="s">
        <v>216</v>
      </c>
      <c r="CB20" s="2" t="s">
        <v>313</v>
      </c>
      <c r="CC20" s="2" t="s">
        <v>218</v>
      </c>
      <c r="CD20" s="2" t="s">
        <v>206</v>
      </c>
      <c r="CE20" s="4">
        <v>129</v>
      </c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</row>
    <row r="21">
      <c r="A21" s="2" t="s">
        <v>314</v>
      </c>
      <c r="B21" s="2" t="s">
        <v>225</v>
      </c>
      <c r="C21" s="2" t="s">
        <v>287</v>
      </c>
      <c r="D21" s="2" t="s">
        <v>227</v>
      </c>
      <c r="E21" s="2" t="s">
        <v>228</v>
      </c>
      <c r="F21" s="2" t="s">
        <v>288</v>
      </c>
      <c r="G21" s="2" t="s">
        <v>288</v>
      </c>
      <c r="H21" s="2" t="s">
        <v>288</v>
      </c>
      <c r="I21" s="2" t="s">
        <v>289</v>
      </c>
      <c r="J21" s="2" t="s">
        <v>290</v>
      </c>
      <c r="K21" s="2" t="s">
        <v>315</v>
      </c>
      <c r="L21" s="3">
        <v>15.19</v>
      </c>
      <c r="M21" s="3">
        <v>15.95</v>
      </c>
      <c r="N21" s="3">
        <v>30.99</v>
      </c>
      <c r="O21" s="2" t="s">
        <v>203</v>
      </c>
      <c r="P21" s="2" t="s">
        <v>204</v>
      </c>
      <c r="Q21" s="2" t="s">
        <v>205</v>
      </c>
      <c r="R21" s="2" t="s">
        <v>206</v>
      </c>
      <c r="S21" s="2" t="s">
        <v>316</v>
      </c>
      <c r="T21" s="2" t="s">
        <v>292</v>
      </c>
      <c r="U21" s="2" t="s">
        <v>206</v>
      </c>
      <c r="V21" s="2" t="s">
        <v>209</v>
      </c>
      <c r="W21" s="2" t="s">
        <v>210</v>
      </c>
      <c r="X21" s="2" t="s">
        <v>206</v>
      </c>
      <c r="Y21" s="2" t="s">
        <v>317</v>
      </c>
      <c r="Z21" s="4">
        <v>153</v>
      </c>
      <c r="AA21" s="4">
        <f>=ROUNDDOWN(30.6,0)</f>
      </c>
      <c r="AB21" s="5">
        <v>5</v>
      </c>
      <c r="AC21" s="2" t="s">
        <v>318</v>
      </c>
      <c r="AD21" s="4">
        <v>70</v>
      </c>
      <c r="AE21" s="4">
        <v>70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206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206</v>
      </c>
      <c r="AW21" s="8" t="s">
        <v>206</v>
      </c>
      <c r="AX21" s="4" t="s">
        <v>206</v>
      </c>
      <c r="AY21" s="8" t="s">
        <v>206</v>
      </c>
      <c r="AZ21" s="7" t="s">
        <v>206</v>
      </c>
      <c r="BA21" s="7" t="s">
        <v>206</v>
      </c>
      <c r="BB21" s="7"/>
      <c r="BC21" s="4" t="s">
        <v>206</v>
      </c>
      <c r="BD21" s="8" t="s">
        <v>206</v>
      </c>
      <c r="BE21" s="4" t="s">
        <v>206</v>
      </c>
      <c r="BF21" s="8" t="s">
        <v>206</v>
      </c>
      <c r="BG21" s="7" t="s">
        <v>206</v>
      </c>
      <c r="BH21" s="7" t="s">
        <v>206</v>
      </c>
      <c r="BI21" s="7"/>
      <c r="BJ21" s="4">
        <v>13</v>
      </c>
      <c r="BK21" s="8">
        <v>210.26</v>
      </c>
      <c r="BL21" s="2" t="s">
        <v>319</v>
      </c>
      <c r="BM21" s="7"/>
      <c r="BN21" s="7"/>
      <c r="BO21" s="4"/>
      <c r="BP21" s="8"/>
      <c r="BQ21" s="4"/>
      <c r="BR21" s="8"/>
      <c r="BS21" s="7"/>
      <c r="BT21" s="7"/>
      <c r="BU21" s="2" t="s">
        <v>320</v>
      </c>
      <c r="BV21" s="2" t="s">
        <v>206</v>
      </c>
      <c r="BW21" s="2" t="s">
        <v>206</v>
      </c>
      <c r="BX21" s="2" t="s">
        <v>214</v>
      </c>
      <c r="BY21" s="2" t="s">
        <v>215</v>
      </c>
      <c r="BZ21" s="2" t="s">
        <v>203</v>
      </c>
      <c r="CA21" s="2" t="s">
        <v>321</v>
      </c>
      <c r="CB21" s="2" t="s">
        <v>322</v>
      </c>
      <c r="CC21" s="2" t="s">
        <v>218</v>
      </c>
      <c r="CD21" s="2" t="s">
        <v>206</v>
      </c>
      <c r="CE21" s="4">
        <v>153</v>
      </c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>
        <v>70</v>
      </c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</row>
    <row r="22">
      <c r="A22" s="2" t="s">
        <v>323</v>
      </c>
      <c r="B22" s="2" t="s">
        <v>225</v>
      </c>
      <c r="C22" s="2" t="s">
        <v>287</v>
      </c>
      <c r="D22" s="2" t="s">
        <v>227</v>
      </c>
      <c r="E22" s="2" t="s">
        <v>228</v>
      </c>
      <c r="F22" s="2" t="s">
        <v>288</v>
      </c>
      <c r="G22" s="2" t="s">
        <v>288</v>
      </c>
      <c r="H22" s="2" t="s">
        <v>288</v>
      </c>
      <c r="I22" s="2" t="s">
        <v>289</v>
      </c>
      <c r="J22" s="2" t="s">
        <v>220</v>
      </c>
      <c r="K22" s="2" t="s">
        <v>315</v>
      </c>
      <c r="L22" s="3">
        <v>16.5</v>
      </c>
      <c r="M22" s="3">
        <v>17.32</v>
      </c>
      <c r="N22" s="3">
        <v>32.99</v>
      </c>
      <c r="O22" s="2" t="s">
        <v>203</v>
      </c>
      <c r="P22" s="2" t="s">
        <v>204</v>
      </c>
      <c r="Q22" s="2" t="s">
        <v>205</v>
      </c>
      <c r="R22" s="2" t="s">
        <v>206</v>
      </c>
      <c r="S22" s="2" t="s">
        <v>316</v>
      </c>
      <c r="T22" s="2" t="s">
        <v>292</v>
      </c>
      <c r="U22" s="2" t="s">
        <v>206</v>
      </c>
      <c r="V22" s="2" t="s">
        <v>209</v>
      </c>
      <c r="W22" s="2" t="s">
        <v>210</v>
      </c>
      <c r="X22" s="2" t="s">
        <v>206</v>
      </c>
      <c r="Y22" s="2" t="s">
        <v>317</v>
      </c>
      <c r="Z22" s="4">
        <v>243</v>
      </c>
      <c r="AA22" s="4">
        <f>=ROUNDDOWN(27,0)</f>
      </c>
      <c r="AB22" s="5">
        <v>9</v>
      </c>
      <c r="AC22" s="2" t="s">
        <v>318</v>
      </c>
      <c r="AD22" s="4">
        <v>180</v>
      </c>
      <c r="AE22" s="4">
        <v>280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206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206</v>
      </c>
      <c r="AW22" s="8" t="s">
        <v>206</v>
      </c>
      <c r="AX22" s="4" t="s">
        <v>206</v>
      </c>
      <c r="AY22" s="8" t="s">
        <v>206</v>
      </c>
      <c r="AZ22" s="7" t="s">
        <v>206</v>
      </c>
      <c r="BA22" s="7" t="s">
        <v>206</v>
      </c>
      <c r="BB22" s="7"/>
      <c r="BC22" s="4" t="s">
        <v>206</v>
      </c>
      <c r="BD22" s="8" t="s">
        <v>206</v>
      </c>
      <c r="BE22" s="4" t="s">
        <v>206</v>
      </c>
      <c r="BF22" s="8" t="s">
        <v>206</v>
      </c>
      <c r="BG22" s="7" t="s">
        <v>206</v>
      </c>
      <c r="BH22" s="7" t="s">
        <v>206</v>
      </c>
      <c r="BI22" s="7"/>
      <c r="BJ22" s="4">
        <v>39</v>
      </c>
      <c r="BK22" s="8">
        <v>679.23</v>
      </c>
      <c r="BL22" s="2" t="s">
        <v>324</v>
      </c>
      <c r="BM22" s="7"/>
      <c r="BN22" s="7"/>
      <c r="BO22" s="4"/>
      <c r="BP22" s="8"/>
      <c r="BQ22" s="4"/>
      <c r="BR22" s="8"/>
      <c r="BS22" s="7"/>
      <c r="BT22" s="7"/>
      <c r="BU22" s="2" t="s">
        <v>325</v>
      </c>
      <c r="BV22" s="2" t="s">
        <v>206</v>
      </c>
      <c r="BW22" s="2" t="s">
        <v>206</v>
      </c>
      <c r="BX22" s="2" t="s">
        <v>214</v>
      </c>
      <c r="BY22" s="2" t="s">
        <v>215</v>
      </c>
      <c r="BZ22" s="2" t="s">
        <v>203</v>
      </c>
      <c r="CA22" s="2" t="s">
        <v>321</v>
      </c>
      <c r="CB22" s="2" t="s">
        <v>326</v>
      </c>
      <c r="CC22" s="2" t="s">
        <v>218</v>
      </c>
      <c r="CD22" s="2" t="s">
        <v>206</v>
      </c>
      <c r="CE22" s="4">
        <v>243</v>
      </c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>
        <v>180</v>
      </c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>
        <v>100</v>
      </c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</row>
    <row r="23">
      <c r="A23" s="2" t="s">
        <v>327</v>
      </c>
      <c r="B23" s="2" t="s">
        <v>225</v>
      </c>
      <c r="C23" s="2" t="s">
        <v>287</v>
      </c>
      <c r="D23" s="2" t="s">
        <v>227</v>
      </c>
      <c r="E23" s="2" t="s">
        <v>228</v>
      </c>
      <c r="F23" s="2" t="s">
        <v>288</v>
      </c>
      <c r="G23" s="2" t="s">
        <v>288</v>
      </c>
      <c r="H23" s="2" t="s">
        <v>288</v>
      </c>
      <c r="I23" s="2" t="s">
        <v>289</v>
      </c>
      <c r="J23" s="2" t="s">
        <v>282</v>
      </c>
      <c r="K23" s="2" t="s">
        <v>315</v>
      </c>
      <c r="L23" s="3">
        <v>19</v>
      </c>
      <c r="M23" s="3">
        <v>19.95</v>
      </c>
      <c r="N23" s="3">
        <v>37.99</v>
      </c>
      <c r="O23" s="2" t="s">
        <v>203</v>
      </c>
      <c r="P23" s="2" t="s">
        <v>204</v>
      </c>
      <c r="Q23" s="2" t="s">
        <v>205</v>
      </c>
      <c r="R23" s="2" t="s">
        <v>206</v>
      </c>
      <c r="S23" s="2" t="s">
        <v>316</v>
      </c>
      <c r="T23" s="2" t="s">
        <v>292</v>
      </c>
      <c r="U23" s="2" t="s">
        <v>206</v>
      </c>
      <c r="V23" s="2" t="s">
        <v>209</v>
      </c>
      <c r="W23" s="2" t="s">
        <v>210</v>
      </c>
      <c r="X23" s="2" t="s">
        <v>206</v>
      </c>
      <c r="Y23" s="2" t="s">
        <v>317</v>
      </c>
      <c r="Z23" s="4">
        <v>935</v>
      </c>
      <c r="AA23" s="4">
        <f>=ROUNDDOWN(37.2509960159363,0)</f>
      </c>
      <c r="AB23" s="5">
        <v>25.1</v>
      </c>
      <c r="AC23" s="2" t="s">
        <v>206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206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206</v>
      </c>
      <c r="AW23" s="8" t="s">
        <v>206</v>
      </c>
      <c r="AX23" s="4" t="s">
        <v>206</v>
      </c>
      <c r="AY23" s="8" t="s">
        <v>206</v>
      </c>
      <c r="AZ23" s="7" t="s">
        <v>206</v>
      </c>
      <c r="BA23" s="7" t="s">
        <v>206</v>
      </c>
      <c r="BB23" s="7"/>
      <c r="BC23" s="4" t="s">
        <v>206</v>
      </c>
      <c r="BD23" s="8" t="s">
        <v>206</v>
      </c>
      <c r="BE23" s="4" t="s">
        <v>206</v>
      </c>
      <c r="BF23" s="8" t="s">
        <v>206</v>
      </c>
      <c r="BG23" s="7" t="s">
        <v>206</v>
      </c>
      <c r="BH23" s="7" t="s">
        <v>206</v>
      </c>
      <c r="BI23" s="7"/>
      <c r="BJ23" s="4">
        <v>99</v>
      </c>
      <c r="BK23" s="8">
        <v>1962.5</v>
      </c>
      <c r="BL23" s="2" t="s">
        <v>328</v>
      </c>
      <c r="BM23" s="7"/>
      <c r="BN23" s="7"/>
      <c r="BO23" s="4"/>
      <c r="BP23" s="8"/>
      <c r="BQ23" s="4"/>
      <c r="BR23" s="8"/>
      <c r="BS23" s="7"/>
      <c r="BT23" s="7"/>
      <c r="BU23" s="2" t="s">
        <v>329</v>
      </c>
      <c r="BV23" s="2" t="s">
        <v>206</v>
      </c>
      <c r="BW23" s="2" t="s">
        <v>206</v>
      </c>
      <c r="BX23" s="2" t="s">
        <v>214</v>
      </c>
      <c r="BY23" s="2" t="s">
        <v>215</v>
      </c>
      <c r="BZ23" s="2" t="s">
        <v>203</v>
      </c>
      <c r="CA23" s="2" t="s">
        <v>321</v>
      </c>
      <c r="CB23" s="2" t="s">
        <v>330</v>
      </c>
      <c r="CC23" s="2" t="s">
        <v>218</v>
      </c>
      <c r="CD23" s="2" t="s">
        <v>206</v>
      </c>
      <c r="CE23" s="4">
        <v>935</v>
      </c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</row>
    <row r="24">
      <c r="A24" s="2" t="s">
        <v>331</v>
      </c>
      <c r="B24" s="2" t="s">
        <v>225</v>
      </c>
      <c r="C24" s="2" t="s">
        <v>287</v>
      </c>
      <c r="D24" s="2" t="s">
        <v>227</v>
      </c>
      <c r="E24" s="2" t="s">
        <v>228</v>
      </c>
      <c r="F24" s="2" t="s">
        <v>288</v>
      </c>
      <c r="G24" s="2" t="s">
        <v>288</v>
      </c>
      <c r="H24" s="2" t="s">
        <v>288</v>
      </c>
      <c r="I24" s="2" t="s">
        <v>289</v>
      </c>
      <c r="J24" s="2" t="s">
        <v>310</v>
      </c>
      <c r="K24" s="2" t="s">
        <v>315</v>
      </c>
      <c r="L24" s="3">
        <v>21.5</v>
      </c>
      <c r="M24" s="3">
        <v>22.58</v>
      </c>
      <c r="N24" s="3">
        <v>42.99</v>
      </c>
      <c r="O24" s="2" t="s">
        <v>203</v>
      </c>
      <c r="P24" s="2" t="s">
        <v>204</v>
      </c>
      <c r="Q24" s="2" t="s">
        <v>205</v>
      </c>
      <c r="R24" s="2" t="s">
        <v>206</v>
      </c>
      <c r="S24" s="2" t="s">
        <v>316</v>
      </c>
      <c r="T24" s="2" t="s">
        <v>292</v>
      </c>
      <c r="U24" s="2" t="s">
        <v>206</v>
      </c>
      <c r="V24" s="2" t="s">
        <v>209</v>
      </c>
      <c r="W24" s="2" t="s">
        <v>210</v>
      </c>
      <c r="X24" s="2" t="s">
        <v>206</v>
      </c>
      <c r="Y24" s="2" t="s">
        <v>317</v>
      </c>
      <c r="Z24" s="4">
        <v>124</v>
      </c>
      <c r="AA24" s="4">
        <f>=ROUNDDOWN(41.3333333333333,0)</f>
      </c>
      <c r="AB24" s="5">
        <v>3</v>
      </c>
      <c r="AC24" s="2" t="s">
        <v>206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206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206</v>
      </c>
      <c r="AW24" s="8" t="s">
        <v>206</v>
      </c>
      <c r="AX24" s="4" t="s">
        <v>206</v>
      </c>
      <c r="AY24" s="8" t="s">
        <v>206</v>
      </c>
      <c r="AZ24" s="7" t="s">
        <v>206</v>
      </c>
      <c r="BA24" s="7" t="s">
        <v>206</v>
      </c>
      <c r="BB24" s="7"/>
      <c r="BC24" s="4" t="s">
        <v>206</v>
      </c>
      <c r="BD24" s="8" t="s">
        <v>206</v>
      </c>
      <c r="BE24" s="4" t="s">
        <v>206</v>
      </c>
      <c r="BF24" s="8" t="s">
        <v>206</v>
      </c>
      <c r="BG24" s="7" t="s">
        <v>206</v>
      </c>
      <c r="BH24" s="7" t="s">
        <v>206</v>
      </c>
      <c r="BI24" s="7"/>
      <c r="BJ24" s="4">
        <v>10</v>
      </c>
      <c r="BK24" s="8">
        <v>226.6</v>
      </c>
      <c r="BL24" s="2" t="s">
        <v>332</v>
      </c>
      <c r="BM24" s="7"/>
      <c r="BN24" s="7"/>
      <c r="BO24" s="4"/>
      <c r="BP24" s="8"/>
      <c r="BQ24" s="4"/>
      <c r="BR24" s="8"/>
      <c r="BS24" s="7"/>
      <c r="BT24" s="7"/>
      <c r="BU24" s="2" t="s">
        <v>333</v>
      </c>
      <c r="BV24" s="2" t="s">
        <v>206</v>
      </c>
      <c r="BW24" s="2" t="s">
        <v>206</v>
      </c>
      <c r="BX24" s="2" t="s">
        <v>214</v>
      </c>
      <c r="BY24" s="2" t="s">
        <v>215</v>
      </c>
      <c r="BZ24" s="2" t="s">
        <v>203</v>
      </c>
      <c r="CA24" s="2" t="s">
        <v>321</v>
      </c>
      <c r="CB24" s="2" t="s">
        <v>334</v>
      </c>
      <c r="CC24" s="2" t="s">
        <v>218</v>
      </c>
      <c r="CD24" s="2" t="s">
        <v>206</v>
      </c>
      <c r="CE24" s="4">
        <v>124</v>
      </c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</row>
    <row r="25">
      <c r="A25" s="2" t="s">
        <v>335</v>
      </c>
      <c r="B25" s="2" t="s">
        <v>225</v>
      </c>
      <c r="C25" s="2" t="s">
        <v>287</v>
      </c>
      <c r="D25" s="2" t="s">
        <v>227</v>
      </c>
      <c r="E25" s="2" t="s">
        <v>228</v>
      </c>
      <c r="F25" s="2" t="s">
        <v>288</v>
      </c>
      <c r="G25" s="2" t="s">
        <v>288</v>
      </c>
      <c r="H25" s="2" t="s">
        <v>288</v>
      </c>
      <c r="I25" s="2" t="s">
        <v>289</v>
      </c>
      <c r="J25" s="2" t="s">
        <v>201</v>
      </c>
      <c r="K25" s="2" t="s">
        <v>336</v>
      </c>
      <c r="L25" s="3">
        <v>13.44</v>
      </c>
      <c r="M25" s="3">
        <v>14.11</v>
      </c>
      <c r="N25" s="3">
        <v>27.99</v>
      </c>
      <c r="O25" s="2" t="s">
        <v>203</v>
      </c>
      <c r="P25" s="2" t="s">
        <v>204</v>
      </c>
      <c r="Q25" s="2" t="s">
        <v>205</v>
      </c>
      <c r="R25" s="2" t="s">
        <v>206</v>
      </c>
      <c r="S25" s="2" t="s">
        <v>337</v>
      </c>
      <c r="T25" s="2" t="s">
        <v>292</v>
      </c>
      <c r="U25" s="2" t="s">
        <v>206</v>
      </c>
      <c r="V25" s="2" t="s">
        <v>209</v>
      </c>
      <c r="W25" s="2" t="s">
        <v>210</v>
      </c>
      <c r="X25" s="2" t="s">
        <v>206</v>
      </c>
      <c r="Y25" s="2" t="s">
        <v>211</v>
      </c>
      <c r="Z25" s="4">
        <v>62</v>
      </c>
      <c r="AA25" s="4">
        <f>=ROUNDDOWN(12.4,0)</f>
      </c>
      <c r="AB25" s="5">
        <v>5</v>
      </c>
      <c r="AC25" s="2" t="s">
        <v>113</v>
      </c>
      <c r="AD25" s="4">
        <v>30</v>
      </c>
      <c r="AE25" s="4">
        <v>150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206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206</v>
      </c>
      <c r="AW25" s="8" t="s">
        <v>206</v>
      </c>
      <c r="AX25" s="4" t="s">
        <v>206</v>
      </c>
      <c r="AY25" s="8" t="s">
        <v>206</v>
      </c>
      <c r="AZ25" s="7" t="s">
        <v>206</v>
      </c>
      <c r="BA25" s="7" t="s">
        <v>206</v>
      </c>
      <c r="BB25" s="7"/>
      <c r="BC25" s="4" t="s">
        <v>206</v>
      </c>
      <c r="BD25" s="8" t="s">
        <v>206</v>
      </c>
      <c r="BE25" s="4" t="s">
        <v>206</v>
      </c>
      <c r="BF25" s="8" t="s">
        <v>206</v>
      </c>
      <c r="BG25" s="7" t="s">
        <v>206</v>
      </c>
      <c r="BH25" s="7" t="s">
        <v>206</v>
      </c>
      <c r="BI25" s="7"/>
      <c r="BJ25" s="4">
        <v>13</v>
      </c>
      <c r="BK25" s="8">
        <v>173.86</v>
      </c>
      <c r="BL25" s="2" t="s">
        <v>338</v>
      </c>
      <c r="BM25" s="7"/>
      <c r="BN25" s="7"/>
      <c r="BO25" s="4"/>
      <c r="BP25" s="8"/>
      <c r="BQ25" s="4"/>
      <c r="BR25" s="8"/>
      <c r="BS25" s="7"/>
      <c r="BT25" s="7"/>
      <c r="BU25" s="2" t="s">
        <v>339</v>
      </c>
      <c r="BV25" s="2" t="s">
        <v>206</v>
      </c>
      <c r="BW25" s="2" t="s">
        <v>206</v>
      </c>
      <c r="BX25" s="2" t="s">
        <v>214</v>
      </c>
      <c r="BY25" s="2" t="s">
        <v>215</v>
      </c>
      <c r="BZ25" s="2" t="s">
        <v>203</v>
      </c>
      <c r="CA25" s="2" t="s">
        <v>216</v>
      </c>
      <c r="CB25" s="2" t="s">
        <v>340</v>
      </c>
      <c r="CC25" s="2" t="s">
        <v>218</v>
      </c>
      <c r="CD25" s="2" t="s">
        <v>206</v>
      </c>
      <c r="CE25" s="4">
        <v>62</v>
      </c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>
        <v>30</v>
      </c>
      <c r="DB25" s="4"/>
      <c r="DC25" s="4"/>
      <c r="DD25" s="4"/>
      <c r="DE25" s="4"/>
      <c r="DF25" s="4"/>
      <c r="DG25" s="4"/>
      <c r="DH25" s="4"/>
      <c r="DI25" s="4">
        <v>30</v>
      </c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>
        <v>90</v>
      </c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</row>
    <row r="26">
      <c r="A26" s="2" t="s">
        <v>341</v>
      </c>
      <c r="B26" s="2" t="s">
        <v>225</v>
      </c>
      <c r="C26" s="2" t="s">
        <v>287</v>
      </c>
      <c r="D26" s="2" t="s">
        <v>227</v>
      </c>
      <c r="E26" s="2" t="s">
        <v>228</v>
      </c>
      <c r="F26" s="2" t="s">
        <v>288</v>
      </c>
      <c r="G26" s="2" t="s">
        <v>288</v>
      </c>
      <c r="H26" s="2" t="s">
        <v>288</v>
      </c>
      <c r="I26" s="2" t="s">
        <v>289</v>
      </c>
      <c r="J26" s="2" t="s">
        <v>290</v>
      </c>
      <c r="K26" s="2" t="s">
        <v>336</v>
      </c>
      <c r="L26" s="3">
        <v>15.19</v>
      </c>
      <c r="M26" s="3">
        <v>15.95</v>
      </c>
      <c r="N26" s="3">
        <v>30.99</v>
      </c>
      <c r="O26" s="2" t="s">
        <v>203</v>
      </c>
      <c r="P26" s="2" t="s">
        <v>204</v>
      </c>
      <c r="Q26" s="2" t="s">
        <v>205</v>
      </c>
      <c r="R26" s="2" t="s">
        <v>206</v>
      </c>
      <c r="S26" s="2" t="s">
        <v>337</v>
      </c>
      <c r="T26" s="2" t="s">
        <v>292</v>
      </c>
      <c r="U26" s="2" t="s">
        <v>206</v>
      </c>
      <c r="V26" s="2" t="s">
        <v>209</v>
      </c>
      <c r="W26" s="2" t="s">
        <v>210</v>
      </c>
      <c r="X26" s="2" t="s">
        <v>206</v>
      </c>
      <c r="Y26" s="2" t="s">
        <v>211</v>
      </c>
      <c r="Z26" s="4">
        <v>149</v>
      </c>
      <c r="AA26" s="4">
        <f>=ROUNDDOWN(21.2857142857143,0)</f>
      </c>
      <c r="AB26" s="5">
        <v>7</v>
      </c>
      <c r="AC26" s="2" t="s">
        <v>113</v>
      </c>
      <c r="AD26" s="4">
        <v>50</v>
      </c>
      <c r="AE26" s="4">
        <v>170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206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206</v>
      </c>
      <c r="AW26" s="8" t="s">
        <v>206</v>
      </c>
      <c r="AX26" s="4" t="s">
        <v>206</v>
      </c>
      <c r="AY26" s="8" t="s">
        <v>206</v>
      </c>
      <c r="AZ26" s="7" t="s">
        <v>206</v>
      </c>
      <c r="BA26" s="7" t="s">
        <v>206</v>
      </c>
      <c r="BB26" s="7"/>
      <c r="BC26" s="4" t="s">
        <v>206</v>
      </c>
      <c r="BD26" s="8" t="s">
        <v>206</v>
      </c>
      <c r="BE26" s="4" t="s">
        <v>206</v>
      </c>
      <c r="BF26" s="8" t="s">
        <v>206</v>
      </c>
      <c r="BG26" s="7" t="s">
        <v>206</v>
      </c>
      <c r="BH26" s="7" t="s">
        <v>206</v>
      </c>
      <c r="BI26" s="7"/>
      <c r="BJ26" s="4">
        <v>25</v>
      </c>
      <c r="BK26" s="8">
        <v>387.99</v>
      </c>
      <c r="BL26" s="2" t="s">
        <v>342</v>
      </c>
      <c r="BM26" s="7"/>
      <c r="BN26" s="7"/>
      <c r="BO26" s="4"/>
      <c r="BP26" s="8"/>
      <c r="BQ26" s="4"/>
      <c r="BR26" s="8"/>
      <c r="BS26" s="7"/>
      <c r="BT26" s="7"/>
      <c r="BU26" s="2" t="s">
        <v>343</v>
      </c>
      <c r="BV26" s="2" t="s">
        <v>206</v>
      </c>
      <c r="BW26" s="2" t="s">
        <v>206</v>
      </c>
      <c r="BX26" s="2" t="s">
        <v>214</v>
      </c>
      <c r="BY26" s="2" t="s">
        <v>215</v>
      </c>
      <c r="BZ26" s="2" t="s">
        <v>203</v>
      </c>
      <c r="CA26" s="2" t="s">
        <v>216</v>
      </c>
      <c r="CB26" s="2" t="s">
        <v>344</v>
      </c>
      <c r="CC26" s="2" t="s">
        <v>218</v>
      </c>
      <c r="CD26" s="2" t="s">
        <v>206</v>
      </c>
      <c r="CE26" s="4">
        <v>149</v>
      </c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>
        <v>50</v>
      </c>
      <c r="DB26" s="4"/>
      <c r="DC26" s="4"/>
      <c r="DD26" s="4"/>
      <c r="DE26" s="4"/>
      <c r="DF26" s="4"/>
      <c r="DG26" s="4"/>
      <c r="DH26" s="4"/>
      <c r="DI26" s="4">
        <v>50</v>
      </c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>
        <v>70</v>
      </c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</row>
    <row r="27">
      <c r="A27" s="2" t="s">
        <v>345</v>
      </c>
      <c r="B27" s="2" t="s">
        <v>225</v>
      </c>
      <c r="C27" s="2" t="s">
        <v>287</v>
      </c>
      <c r="D27" s="2" t="s">
        <v>227</v>
      </c>
      <c r="E27" s="2" t="s">
        <v>228</v>
      </c>
      <c r="F27" s="2" t="s">
        <v>288</v>
      </c>
      <c r="G27" s="2" t="s">
        <v>288</v>
      </c>
      <c r="H27" s="2" t="s">
        <v>288</v>
      </c>
      <c r="I27" s="2" t="s">
        <v>289</v>
      </c>
      <c r="J27" s="2" t="s">
        <v>220</v>
      </c>
      <c r="K27" s="2" t="s">
        <v>336</v>
      </c>
      <c r="L27" s="3">
        <v>16.5</v>
      </c>
      <c r="M27" s="3">
        <v>17.32</v>
      </c>
      <c r="N27" s="3">
        <v>32.99</v>
      </c>
      <c r="O27" s="2" t="s">
        <v>203</v>
      </c>
      <c r="P27" s="2" t="s">
        <v>204</v>
      </c>
      <c r="Q27" s="2" t="s">
        <v>205</v>
      </c>
      <c r="R27" s="2" t="s">
        <v>206</v>
      </c>
      <c r="S27" s="2" t="s">
        <v>337</v>
      </c>
      <c r="T27" s="2" t="s">
        <v>292</v>
      </c>
      <c r="U27" s="2" t="s">
        <v>206</v>
      </c>
      <c r="V27" s="2" t="s">
        <v>209</v>
      </c>
      <c r="W27" s="2" t="s">
        <v>210</v>
      </c>
      <c r="X27" s="2" t="s">
        <v>206</v>
      </c>
      <c r="Y27" s="2" t="s">
        <v>211</v>
      </c>
      <c r="Z27" s="4">
        <v>149</v>
      </c>
      <c r="AA27" s="4">
        <f>=ROUNDDOWN(24.8333333333333,0)</f>
      </c>
      <c r="AB27" s="5">
        <v>6</v>
      </c>
      <c r="AC27" s="2" t="s">
        <v>121</v>
      </c>
      <c r="AD27" s="4">
        <v>20</v>
      </c>
      <c r="AE27" s="4">
        <v>80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206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206</v>
      </c>
      <c r="AW27" s="8" t="s">
        <v>206</v>
      </c>
      <c r="AX27" s="4" t="s">
        <v>206</v>
      </c>
      <c r="AY27" s="8" t="s">
        <v>206</v>
      </c>
      <c r="AZ27" s="7" t="s">
        <v>206</v>
      </c>
      <c r="BA27" s="7" t="s">
        <v>206</v>
      </c>
      <c r="BB27" s="7"/>
      <c r="BC27" s="4" t="s">
        <v>206</v>
      </c>
      <c r="BD27" s="8" t="s">
        <v>206</v>
      </c>
      <c r="BE27" s="4" t="s">
        <v>206</v>
      </c>
      <c r="BF27" s="8" t="s">
        <v>206</v>
      </c>
      <c r="BG27" s="7" t="s">
        <v>206</v>
      </c>
      <c r="BH27" s="7" t="s">
        <v>206</v>
      </c>
      <c r="BI27" s="7"/>
      <c r="BJ27" s="4">
        <v>27</v>
      </c>
      <c r="BK27" s="8">
        <v>450.29</v>
      </c>
      <c r="BL27" s="2" t="s">
        <v>221</v>
      </c>
      <c r="BM27" s="7"/>
      <c r="BN27" s="7"/>
      <c r="BO27" s="4"/>
      <c r="BP27" s="8"/>
      <c r="BQ27" s="4"/>
      <c r="BR27" s="8"/>
      <c r="BS27" s="7"/>
      <c r="BT27" s="7"/>
      <c r="BU27" s="2" t="s">
        <v>346</v>
      </c>
      <c r="BV27" s="2" t="s">
        <v>206</v>
      </c>
      <c r="BW27" s="2" t="s">
        <v>206</v>
      </c>
      <c r="BX27" s="2" t="s">
        <v>214</v>
      </c>
      <c r="BY27" s="2" t="s">
        <v>215</v>
      </c>
      <c r="BZ27" s="2" t="s">
        <v>203</v>
      </c>
      <c r="CA27" s="2" t="s">
        <v>216</v>
      </c>
      <c r="CB27" s="2" t="s">
        <v>347</v>
      </c>
      <c r="CC27" s="2" t="s">
        <v>218</v>
      </c>
      <c r="CD27" s="2" t="s">
        <v>206</v>
      </c>
      <c r="CE27" s="4">
        <v>149</v>
      </c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>
        <v>20</v>
      </c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>
        <v>60</v>
      </c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</row>
    <row r="28">
      <c r="A28" s="2" t="s">
        <v>348</v>
      </c>
      <c r="B28" s="2" t="s">
        <v>225</v>
      </c>
      <c r="C28" s="2" t="s">
        <v>287</v>
      </c>
      <c r="D28" s="2" t="s">
        <v>227</v>
      </c>
      <c r="E28" s="2" t="s">
        <v>228</v>
      </c>
      <c r="F28" s="2" t="s">
        <v>288</v>
      </c>
      <c r="G28" s="2" t="s">
        <v>288</v>
      </c>
      <c r="H28" s="2" t="s">
        <v>288</v>
      </c>
      <c r="I28" s="2" t="s">
        <v>289</v>
      </c>
      <c r="J28" s="2" t="s">
        <v>310</v>
      </c>
      <c r="K28" s="2" t="s">
        <v>336</v>
      </c>
      <c r="L28" s="3">
        <v>21.5</v>
      </c>
      <c r="M28" s="3">
        <v>22.58</v>
      </c>
      <c r="N28" s="3">
        <v>42.99</v>
      </c>
      <c r="O28" s="2" t="s">
        <v>203</v>
      </c>
      <c r="P28" s="2" t="s">
        <v>204</v>
      </c>
      <c r="Q28" s="2" t="s">
        <v>205</v>
      </c>
      <c r="R28" s="2" t="s">
        <v>206</v>
      </c>
      <c r="S28" s="2" t="s">
        <v>337</v>
      </c>
      <c r="T28" s="2" t="s">
        <v>292</v>
      </c>
      <c r="U28" s="2" t="s">
        <v>206</v>
      </c>
      <c r="V28" s="2" t="s">
        <v>209</v>
      </c>
      <c r="W28" s="2" t="s">
        <v>210</v>
      </c>
      <c r="X28" s="2" t="s">
        <v>206</v>
      </c>
      <c r="Y28" s="2" t="s">
        <v>211</v>
      </c>
      <c r="Z28" s="4">
        <v>128</v>
      </c>
      <c r="AA28" s="4">
        <f>=ROUNDDOWN(42.6666666666667,0)</f>
      </c>
      <c r="AB28" s="5">
        <v>3</v>
      </c>
      <c r="AC28" s="2" t="s">
        <v>206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206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206</v>
      </c>
      <c r="AW28" s="8" t="s">
        <v>206</v>
      </c>
      <c r="AX28" s="4" t="s">
        <v>206</v>
      </c>
      <c r="AY28" s="8" t="s">
        <v>206</v>
      </c>
      <c r="AZ28" s="7" t="s">
        <v>206</v>
      </c>
      <c r="BA28" s="7" t="s">
        <v>206</v>
      </c>
      <c r="BB28" s="7"/>
      <c r="BC28" s="4" t="s">
        <v>206</v>
      </c>
      <c r="BD28" s="8" t="s">
        <v>206</v>
      </c>
      <c r="BE28" s="4" t="s">
        <v>206</v>
      </c>
      <c r="BF28" s="8" t="s">
        <v>206</v>
      </c>
      <c r="BG28" s="7" t="s">
        <v>206</v>
      </c>
      <c r="BH28" s="7" t="s">
        <v>206</v>
      </c>
      <c r="BI28" s="7"/>
      <c r="BJ28" s="4">
        <v>15</v>
      </c>
      <c r="BK28" s="8">
        <v>322.4</v>
      </c>
      <c r="BL28" s="2" t="s">
        <v>349</v>
      </c>
      <c r="BM28" s="7"/>
      <c r="BN28" s="7"/>
      <c r="BO28" s="4"/>
      <c r="BP28" s="8"/>
      <c r="BQ28" s="4"/>
      <c r="BR28" s="8"/>
      <c r="BS28" s="7"/>
      <c r="BT28" s="7"/>
      <c r="BU28" s="2" t="s">
        <v>350</v>
      </c>
      <c r="BV28" s="2" t="s">
        <v>206</v>
      </c>
      <c r="BW28" s="2" t="s">
        <v>206</v>
      </c>
      <c r="BX28" s="2" t="s">
        <v>214</v>
      </c>
      <c r="BY28" s="2" t="s">
        <v>215</v>
      </c>
      <c r="BZ28" s="2" t="s">
        <v>203</v>
      </c>
      <c r="CA28" s="2" t="s">
        <v>216</v>
      </c>
      <c r="CB28" s="2" t="s">
        <v>351</v>
      </c>
      <c r="CC28" s="2" t="s">
        <v>218</v>
      </c>
      <c r="CD28" s="2" t="s">
        <v>206</v>
      </c>
      <c r="CE28" s="4">
        <v>128</v>
      </c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</row>
    <row r="29">
      <c r="A29" s="2" t="s">
        <v>352</v>
      </c>
      <c r="B29" s="2" t="s">
        <v>225</v>
      </c>
      <c r="C29" s="2" t="s">
        <v>287</v>
      </c>
      <c r="D29" s="2" t="s">
        <v>227</v>
      </c>
      <c r="E29" s="2" t="s">
        <v>228</v>
      </c>
      <c r="F29" s="2" t="s">
        <v>288</v>
      </c>
      <c r="G29" s="2" t="s">
        <v>288</v>
      </c>
      <c r="H29" s="2" t="s">
        <v>288</v>
      </c>
      <c r="I29" s="2" t="s">
        <v>289</v>
      </c>
      <c r="J29" s="2" t="s">
        <v>201</v>
      </c>
      <c r="K29" s="2" t="s">
        <v>353</v>
      </c>
      <c r="L29" s="3">
        <v>13.44</v>
      </c>
      <c r="M29" s="3">
        <v>14.11</v>
      </c>
      <c r="N29" s="3">
        <v>27.99</v>
      </c>
      <c r="O29" s="2" t="s">
        <v>203</v>
      </c>
      <c r="P29" s="2" t="s">
        <v>204</v>
      </c>
      <c r="Q29" s="2" t="s">
        <v>205</v>
      </c>
      <c r="R29" s="2" t="s">
        <v>206</v>
      </c>
      <c r="S29" s="2" t="s">
        <v>354</v>
      </c>
      <c r="T29" s="2" t="s">
        <v>292</v>
      </c>
      <c r="U29" s="2" t="s">
        <v>206</v>
      </c>
      <c r="V29" s="2" t="s">
        <v>209</v>
      </c>
      <c r="W29" s="2" t="s">
        <v>210</v>
      </c>
      <c r="X29" s="2" t="s">
        <v>206</v>
      </c>
      <c r="Y29" s="2" t="s">
        <v>211</v>
      </c>
      <c r="Z29" s="4">
        <v>86</v>
      </c>
      <c r="AA29" s="4">
        <f>=ROUNDDOWN(28.6666666666667,0)</f>
      </c>
      <c r="AB29" s="5">
        <v>3</v>
      </c>
      <c r="AC29" s="2" t="s">
        <v>206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206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206</v>
      </c>
      <c r="AW29" s="8" t="s">
        <v>206</v>
      </c>
      <c r="AX29" s="4" t="s">
        <v>206</v>
      </c>
      <c r="AY29" s="8" t="s">
        <v>206</v>
      </c>
      <c r="AZ29" s="7" t="s">
        <v>206</v>
      </c>
      <c r="BA29" s="7" t="s">
        <v>206</v>
      </c>
      <c r="BB29" s="7"/>
      <c r="BC29" s="4" t="s">
        <v>206</v>
      </c>
      <c r="BD29" s="8" t="s">
        <v>206</v>
      </c>
      <c r="BE29" s="4" t="s">
        <v>206</v>
      </c>
      <c r="BF29" s="8" t="s">
        <v>206</v>
      </c>
      <c r="BG29" s="7" t="s">
        <v>206</v>
      </c>
      <c r="BH29" s="7" t="s">
        <v>206</v>
      </c>
      <c r="BI29" s="7"/>
      <c r="BJ29" s="4">
        <v>18</v>
      </c>
      <c r="BK29" s="8">
        <v>254.78</v>
      </c>
      <c r="BL29" s="2" t="s">
        <v>355</v>
      </c>
      <c r="BM29" s="7"/>
      <c r="BN29" s="7"/>
      <c r="BO29" s="4"/>
      <c r="BP29" s="8"/>
      <c r="BQ29" s="4"/>
      <c r="BR29" s="8"/>
      <c r="BS29" s="7"/>
      <c r="BT29" s="7"/>
      <c r="BU29" s="2" t="s">
        <v>356</v>
      </c>
      <c r="BV29" s="2" t="s">
        <v>206</v>
      </c>
      <c r="BW29" s="2" t="s">
        <v>206</v>
      </c>
      <c r="BX29" s="2" t="s">
        <v>214</v>
      </c>
      <c r="BY29" s="2" t="s">
        <v>215</v>
      </c>
      <c r="BZ29" s="2" t="s">
        <v>203</v>
      </c>
      <c r="CA29" s="2" t="s">
        <v>216</v>
      </c>
      <c r="CB29" s="2" t="s">
        <v>357</v>
      </c>
      <c r="CC29" s="2" t="s">
        <v>218</v>
      </c>
      <c r="CD29" s="2" t="s">
        <v>206</v>
      </c>
      <c r="CE29" s="4">
        <v>86</v>
      </c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</row>
    <row r="30">
      <c r="A30" s="2" t="s">
        <v>358</v>
      </c>
      <c r="B30" s="2" t="s">
        <v>225</v>
      </c>
      <c r="C30" s="2" t="s">
        <v>287</v>
      </c>
      <c r="D30" s="2" t="s">
        <v>227</v>
      </c>
      <c r="E30" s="2" t="s">
        <v>228</v>
      </c>
      <c r="F30" s="2" t="s">
        <v>288</v>
      </c>
      <c r="G30" s="2" t="s">
        <v>288</v>
      </c>
      <c r="H30" s="2" t="s">
        <v>288</v>
      </c>
      <c r="I30" s="2" t="s">
        <v>289</v>
      </c>
      <c r="J30" s="2" t="s">
        <v>290</v>
      </c>
      <c r="K30" s="2" t="s">
        <v>353</v>
      </c>
      <c r="L30" s="3">
        <v>15.19</v>
      </c>
      <c r="M30" s="3">
        <v>15.95</v>
      </c>
      <c r="N30" s="3">
        <v>30.99</v>
      </c>
      <c r="O30" s="2" t="s">
        <v>203</v>
      </c>
      <c r="P30" s="2" t="s">
        <v>204</v>
      </c>
      <c r="Q30" s="2" t="s">
        <v>205</v>
      </c>
      <c r="R30" s="2" t="s">
        <v>206</v>
      </c>
      <c r="S30" s="2" t="s">
        <v>354</v>
      </c>
      <c r="T30" s="2" t="s">
        <v>292</v>
      </c>
      <c r="U30" s="2" t="s">
        <v>206</v>
      </c>
      <c r="V30" s="2" t="s">
        <v>209</v>
      </c>
      <c r="W30" s="2" t="s">
        <v>210</v>
      </c>
      <c r="X30" s="2" t="s">
        <v>206</v>
      </c>
      <c r="Y30" s="2" t="s">
        <v>211</v>
      </c>
      <c r="Z30" s="4">
        <v>351</v>
      </c>
      <c r="AA30" s="4">
        <f>=ROUNDDOWN(106.363636363636,0)</f>
      </c>
      <c r="AB30" s="5">
        <v>3.3</v>
      </c>
      <c r="AC30" s="2" t="s">
        <v>206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206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206</v>
      </c>
      <c r="AW30" s="8" t="s">
        <v>206</v>
      </c>
      <c r="AX30" s="4" t="s">
        <v>206</v>
      </c>
      <c r="AY30" s="8" t="s">
        <v>206</v>
      </c>
      <c r="AZ30" s="7" t="s">
        <v>206</v>
      </c>
      <c r="BA30" s="7" t="s">
        <v>206</v>
      </c>
      <c r="BB30" s="7"/>
      <c r="BC30" s="4" t="s">
        <v>206</v>
      </c>
      <c r="BD30" s="8" t="s">
        <v>206</v>
      </c>
      <c r="BE30" s="4" t="s">
        <v>206</v>
      </c>
      <c r="BF30" s="8" t="s">
        <v>206</v>
      </c>
      <c r="BG30" s="7" t="s">
        <v>206</v>
      </c>
      <c r="BH30" s="7" t="s">
        <v>206</v>
      </c>
      <c r="BI30" s="7"/>
      <c r="BJ30" s="4">
        <v>17</v>
      </c>
      <c r="BK30" s="8">
        <v>269.06</v>
      </c>
      <c r="BL30" s="2" t="s">
        <v>359</v>
      </c>
      <c r="BM30" s="7"/>
      <c r="BN30" s="7"/>
      <c r="BO30" s="4"/>
      <c r="BP30" s="8"/>
      <c r="BQ30" s="4"/>
      <c r="BR30" s="8"/>
      <c r="BS30" s="7"/>
      <c r="BT30" s="7"/>
      <c r="BU30" s="2" t="s">
        <v>360</v>
      </c>
      <c r="BV30" s="2" t="s">
        <v>206</v>
      </c>
      <c r="BW30" s="2" t="s">
        <v>206</v>
      </c>
      <c r="BX30" s="2" t="s">
        <v>214</v>
      </c>
      <c r="BY30" s="2" t="s">
        <v>215</v>
      </c>
      <c r="BZ30" s="2" t="s">
        <v>203</v>
      </c>
      <c r="CA30" s="2" t="s">
        <v>216</v>
      </c>
      <c r="CB30" s="2" t="s">
        <v>361</v>
      </c>
      <c r="CC30" s="2" t="s">
        <v>218</v>
      </c>
      <c r="CD30" s="2" t="s">
        <v>206</v>
      </c>
      <c r="CE30" s="4">
        <v>351</v>
      </c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</row>
    <row r="31">
      <c r="A31" s="2" t="s">
        <v>362</v>
      </c>
      <c r="B31" s="2" t="s">
        <v>225</v>
      </c>
      <c r="C31" s="2" t="s">
        <v>287</v>
      </c>
      <c r="D31" s="2" t="s">
        <v>227</v>
      </c>
      <c r="E31" s="2" t="s">
        <v>228</v>
      </c>
      <c r="F31" s="2" t="s">
        <v>288</v>
      </c>
      <c r="G31" s="2" t="s">
        <v>288</v>
      </c>
      <c r="H31" s="2" t="s">
        <v>288</v>
      </c>
      <c r="I31" s="2" t="s">
        <v>289</v>
      </c>
      <c r="J31" s="2" t="s">
        <v>220</v>
      </c>
      <c r="K31" s="2" t="s">
        <v>353</v>
      </c>
      <c r="L31" s="3">
        <v>16.5</v>
      </c>
      <c r="M31" s="3">
        <v>17.32</v>
      </c>
      <c r="N31" s="3">
        <v>32.99</v>
      </c>
      <c r="O31" s="2" t="s">
        <v>203</v>
      </c>
      <c r="P31" s="2" t="s">
        <v>204</v>
      </c>
      <c r="Q31" s="2" t="s">
        <v>205</v>
      </c>
      <c r="R31" s="2" t="s">
        <v>206</v>
      </c>
      <c r="S31" s="2" t="s">
        <v>354</v>
      </c>
      <c r="T31" s="2" t="s">
        <v>292</v>
      </c>
      <c r="U31" s="2" t="s">
        <v>206</v>
      </c>
      <c r="V31" s="2" t="s">
        <v>209</v>
      </c>
      <c r="W31" s="2" t="s">
        <v>210</v>
      </c>
      <c r="X31" s="2" t="s">
        <v>206</v>
      </c>
      <c r="Y31" s="2" t="s">
        <v>211</v>
      </c>
      <c r="Z31" s="4">
        <v>151</v>
      </c>
      <c r="AA31" s="4">
        <f>=ROUNDDOWN(30.2,0)</f>
      </c>
      <c r="AB31" s="5">
        <v>5</v>
      </c>
      <c r="AC31" s="2" t="s">
        <v>293</v>
      </c>
      <c r="AD31" s="4">
        <v>30</v>
      </c>
      <c r="AE31" s="4">
        <v>30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206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206</v>
      </c>
      <c r="AW31" s="8" t="s">
        <v>206</v>
      </c>
      <c r="AX31" s="4" t="s">
        <v>206</v>
      </c>
      <c r="AY31" s="8" t="s">
        <v>206</v>
      </c>
      <c r="AZ31" s="7" t="s">
        <v>206</v>
      </c>
      <c r="BA31" s="7" t="s">
        <v>206</v>
      </c>
      <c r="BB31" s="7"/>
      <c r="BC31" s="4" t="s">
        <v>206</v>
      </c>
      <c r="BD31" s="8" t="s">
        <v>206</v>
      </c>
      <c r="BE31" s="4" t="s">
        <v>206</v>
      </c>
      <c r="BF31" s="8" t="s">
        <v>206</v>
      </c>
      <c r="BG31" s="7" t="s">
        <v>206</v>
      </c>
      <c r="BH31" s="7" t="s">
        <v>206</v>
      </c>
      <c r="BI31" s="7"/>
      <c r="BJ31" s="4">
        <v>18</v>
      </c>
      <c r="BK31" s="8">
        <v>299.55</v>
      </c>
      <c r="BL31" s="2" t="s">
        <v>363</v>
      </c>
      <c r="BM31" s="7"/>
      <c r="BN31" s="7"/>
      <c r="BO31" s="4"/>
      <c r="BP31" s="8"/>
      <c r="BQ31" s="4"/>
      <c r="BR31" s="8"/>
      <c r="BS31" s="7"/>
      <c r="BT31" s="7"/>
      <c r="BU31" s="2" t="s">
        <v>364</v>
      </c>
      <c r="BV31" s="2" t="s">
        <v>206</v>
      </c>
      <c r="BW31" s="2" t="s">
        <v>206</v>
      </c>
      <c r="BX31" s="2" t="s">
        <v>214</v>
      </c>
      <c r="BY31" s="2" t="s">
        <v>215</v>
      </c>
      <c r="BZ31" s="2" t="s">
        <v>203</v>
      </c>
      <c r="CA31" s="2" t="s">
        <v>216</v>
      </c>
      <c r="CB31" s="2" t="s">
        <v>357</v>
      </c>
      <c r="CC31" s="2" t="s">
        <v>218</v>
      </c>
      <c r="CD31" s="2" t="s">
        <v>206</v>
      </c>
      <c r="CE31" s="4">
        <v>151</v>
      </c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>
        <v>30</v>
      </c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</row>
    <row r="32">
      <c r="A32" s="2" t="s">
        <v>365</v>
      </c>
      <c r="B32" s="2" t="s">
        <v>225</v>
      </c>
      <c r="C32" s="2" t="s">
        <v>287</v>
      </c>
      <c r="D32" s="2" t="s">
        <v>227</v>
      </c>
      <c r="E32" s="2" t="s">
        <v>228</v>
      </c>
      <c r="F32" s="2" t="s">
        <v>288</v>
      </c>
      <c r="G32" s="2" t="s">
        <v>288</v>
      </c>
      <c r="H32" s="2" t="s">
        <v>288</v>
      </c>
      <c r="I32" s="2" t="s">
        <v>289</v>
      </c>
      <c r="J32" s="2" t="s">
        <v>231</v>
      </c>
      <c r="K32" s="2" t="s">
        <v>353</v>
      </c>
      <c r="L32" s="3">
        <v>21.5</v>
      </c>
      <c r="M32" s="3">
        <v>22.58</v>
      </c>
      <c r="N32" s="3">
        <v>42.99</v>
      </c>
      <c r="O32" s="2" t="s">
        <v>203</v>
      </c>
      <c r="P32" s="2" t="s">
        <v>204</v>
      </c>
      <c r="Q32" s="2" t="s">
        <v>205</v>
      </c>
      <c r="R32" s="2" t="s">
        <v>206</v>
      </c>
      <c r="S32" s="2" t="s">
        <v>354</v>
      </c>
      <c r="T32" s="2" t="s">
        <v>292</v>
      </c>
      <c r="U32" s="2" t="s">
        <v>206</v>
      </c>
      <c r="V32" s="2" t="s">
        <v>209</v>
      </c>
      <c r="W32" s="2" t="s">
        <v>210</v>
      </c>
      <c r="X32" s="2" t="s">
        <v>206</v>
      </c>
      <c r="Y32" s="2" t="s">
        <v>211</v>
      </c>
      <c r="Z32" s="4">
        <v>115</v>
      </c>
      <c r="AA32" s="4">
        <f>=ROUNDDOWN(7.66666666666667,0)</f>
      </c>
      <c r="AB32" s="5">
        <v>15</v>
      </c>
      <c r="AC32" s="2" t="s">
        <v>113</v>
      </c>
      <c r="AD32" s="4">
        <v>150</v>
      </c>
      <c r="AE32" s="4">
        <v>540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206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206</v>
      </c>
      <c r="AW32" s="8" t="s">
        <v>206</v>
      </c>
      <c r="AX32" s="4" t="s">
        <v>206</v>
      </c>
      <c r="AY32" s="8" t="s">
        <v>206</v>
      </c>
      <c r="AZ32" s="7" t="s">
        <v>206</v>
      </c>
      <c r="BA32" s="7" t="s">
        <v>206</v>
      </c>
      <c r="BB32" s="7"/>
      <c r="BC32" s="4" t="s">
        <v>206</v>
      </c>
      <c r="BD32" s="8" t="s">
        <v>206</v>
      </c>
      <c r="BE32" s="4" t="s">
        <v>206</v>
      </c>
      <c r="BF32" s="8" t="s">
        <v>206</v>
      </c>
      <c r="BG32" s="7" t="s">
        <v>206</v>
      </c>
      <c r="BH32" s="7" t="s">
        <v>206</v>
      </c>
      <c r="BI32" s="7"/>
      <c r="BJ32" s="4">
        <v>38</v>
      </c>
      <c r="BK32" s="8">
        <v>839.88</v>
      </c>
      <c r="BL32" s="2" t="s">
        <v>366</v>
      </c>
      <c r="BM32" s="7"/>
      <c r="BN32" s="7"/>
      <c r="BO32" s="4"/>
      <c r="BP32" s="8"/>
      <c r="BQ32" s="4"/>
      <c r="BR32" s="8"/>
      <c r="BS32" s="7"/>
      <c r="BT32" s="7"/>
      <c r="BU32" s="2" t="s">
        <v>367</v>
      </c>
      <c r="BV32" s="2" t="s">
        <v>206</v>
      </c>
      <c r="BW32" s="2" t="s">
        <v>206</v>
      </c>
      <c r="BX32" s="2" t="s">
        <v>214</v>
      </c>
      <c r="BY32" s="2" t="s">
        <v>215</v>
      </c>
      <c r="BZ32" s="2" t="s">
        <v>203</v>
      </c>
      <c r="CA32" s="2" t="s">
        <v>216</v>
      </c>
      <c r="CB32" s="2" t="s">
        <v>368</v>
      </c>
      <c r="CC32" s="2" t="s">
        <v>218</v>
      </c>
      <c r="CD32" s="2" t="s">
        <v>206</v>
      </c>
      <c r="CE32" s="4">
        <v>115</v>
      </c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>
        <v>150</v>
      </c>
      <c r="DB32" s="4"/>
      <c r="DC32" s="4"/>
      <c r="DD32" s="4"/>
      <c r="DE32" s="4"/>
      <c r="DF32" s="4"/>
      <c r="DG32" s="4"/>
      <c r="DH32" s="4"/>
      <c r="DI32" s="4">
        <v>100</v>
      </c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>
        <v>190</v>
      </c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>
        <v>100</v>
      </c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</row>
    <row r="33">
      <c r="A33" s="2" t="s">
        <v>369</v>
      </c>
      <c r="B33" s="2" t="s">
        <v>225</v>
      </c>
      <c r="C33" s="2" t="s">
        <v>287</v>
      </c>
      <c r="D33" s="2" t="s">
        <v>227</v>
      </c>
      <c r="E33" s="2" t="s">
        <v>228</v>
      </c>
      <c r="F33" s="2" t="s">
        <v>288</v>
      </c>
      <c r="G33" s="2" t="s">
        <v>288</v>
      </c>
      <c r="H33" s="2" t="s">
        <v>288</v>
      </c>
      <c r="I33" s="2" t="s">
        <v>289</v>
      </c>
      <c r="J33" s="2" t="s">
        <v>310</v>
      </c>
      <c r="K33" s="2" t="s">
        <v>353</v>
      </c>
      <c r="L33" s="3">
        <v>21.5</v>
      </c>
      <c r="M33" s="3">
        <v>22.58</v>
      </c>
      <c r="N33" s="3">
        <v>42.99</v>
      </c>
      <c r="O33" s="2" t="s">
        <v>203</v>
      </c>
      <c r="P33" s="2" t="s">
        <v>204</v>
      </c>
      <c r="Q33" s="2" t="s">
        <v>205</v>
      </c>
      <c r="R33" s="2" t="s">
        <v>206</v>
      </c>
      <c r="S33" s="2" t="s">
        <v>354</v>
      </c>
      <c r="T33" s="2" t="s">
        <v>292</v>
      </c>
      <c r="U33" s="2" t="s">
        <v>206</v>
      </c>
      <c r="V33" s="2" t="s">
        <v>209</v>
      </c>
      <c r="W33" s="2" t="s">
        <v>210</v>
      </c>
      <c r="X33" s="2" t="s">
        <v>206</v>
      </c>
      <c r="Y33" s="2" t="s">
        <v>211</v>
      </c>
      <c r="Z33" s="4">
        <v>78</v>
      </c>
      <c r="AA33" s="4">
        <f>=ROUNDDOWN(37.1428571428571,0)</f>
      </c>
      <c r="AB33" s="5">
        <v>2.1</v>
      </c>
      <c r="AC33" s="2" t="s">
        <v>318</v>
      </c>
      <c r="AD33" s="4">
        <v>20</v>
      </c>
      <c r="AE33" s="4">
        <v>20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206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206</v>
      </c>
      <c r="AW33" s="8" t="s">
        <v>206</v>
      </c>
      <c r="AX33" s="4" t="s">
        <v>206</v>
      </c>
      <c r="AY33" s="8" t="s">
        <v>206</v>
      </c>
      <c r="AZ33" s="7" t="s">
        <v>206</v>
      </c>
      <c r="BA33" s="7" t="s">
        <v>206</v>
      </c>
      <c r="BB33" s="7"/>
      <c r="BC33" s="4" t="s">
        <v>206</v>
      </c>
      <c r="BD33" s="8" t="s">
        <v>206</v>
      </c>
      <c r="BE33" s="4" t="s">
        <v>206</v>
      </c>
      <c r="BF33" s="8" t="s">
        <v>206</v>
      </c>
      <c r="BG33" s="7" t="s">
        <v>206</v>
      </c>
      <c r="BH33" s="7" t="s">
        <v>206</v>
      </c>
      <c r="BI33" s="7"/>
      <c r="BJ33" s="4">
        <v>10</v>
      </c>
      <c r="BK33" s="8">
        <v>221.12</v>
      </c>
      <c r="BL33" s="2" t="s">
        <v>370</v>
      </c>
      <c r="BM33" s="7"/>
      <c r="BN33" s="7"/>
      <c r="BO33" s="4"/>
      <c r="BP33" s="8"/>
      <c r="BQ33" s="4"/>
      <c r="BR33" s="8"/>
      <c r="BS33" s="7"/>
      <c r="BT33" s="7"/>
      <c r="BU33" s="2" t="s">
        <v>371</v>
      </c>
      <c r="BV33" s="2" t="s">
        <v>206</v>
      </c>
      <c r="BW33" s="2" t="s">
        <v>206</v>
      </c>
      <c r="BX33" s="2" t="s">
        <v>214</v>
      </c>
      <c r="BY33" s="2" t="s">
        <v>215</v>
      </c>
      <c r="BZ33" s="2" t="s">
        <v>203</v>
      </c>
      <c r="CA33" s="2" t="s">
        <v>216</v>
      </c>
      <c r="CB33" s="2" t="s">
        <v>372</v>
      </c>
      <c r="CC33" s="2" t="s">
        <v>218</v>
      </c>
      <c r="CD33" s="2" t="s">
        <v>206</v>
      </c>
      <c r="CE33" s="4">
        <v>78</v>
      </c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>
        <v>20</v>
      </c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</row>
    <row r="34">
      <c r="A34" s="2" t="s">
        <v>373</v>
      </c>
      <c r="B34" s="2" t="s">
        <v>225</v>
      </c>
      <c r="C34" s="2" t="s">
        <v>287</v>
      </c>
      <c r="D34" s="2" t="s">
        <v>227</v>
      </c>
      <c r="E34" s="2" t="s">
        <v>228</v>
      </c>
      <c r="F34" s="2" t="s">
        <v>288</v>
      </c>
      <c r="G34" s="2" t="s">
        <v>288</v>
      </c>
      <c r="H34" s="2" t="s">
        <v>288</v>
      </c>
      <c r="I34" s="2" t="s">
        <v>289</v>
      </c>
      <c r="J34" s="2" t="s">
        <v>201</v>
      </c>
      <c r="K34" s="2" t="s">
        <v>374</v>
      </c>
      <c r="L34" s="3">
        <v>13.44</v>
      </c>
      <c r="M34" s="3">
        <v>14.11</v>
      </c>
      <c r="N34" s="3">
        <v>27.99</v>
      </c>
      <c r="O34" s="2" t="s">
        <v>203</v>
      </c>
      <c r="P34" s="2" t="s">
        <v>204</v>
      </c>
      <c r="Q34" s="2" t="s">
        <v>205</v>
      </c>
      <c r="R34" s="2" t="s">
        <v>206</v>
      </c>
      <c r="S34" s="2" t="s">
        <v>375</v>
      </c>
      <c r="T34" s="2" t="s">
        <v>292</v>
      </c>
      <c r="U34" s="2" t="s">
        <v>206</v>
      </c>
      <c r="V34" s="2" t="s">
        <v>209</v>
      </c>
      <c r="W34" s="2" t="s">
        <v>210</v>
      </c>
      <c r="X34" s="2" t="s">
        <v>206</v>
      </c>
      <c r="Y34" s="2" t="s">
        <v>211</v>
      </c>
      <c r="Z34" s="4">
        <v>112</v>
      </c>
      <c r="AA34" s="4">
        <f>=ROUNDDOWN(28,0)</f>
      </c>
      <c r="AB34" s="5">
        <v>4</v>
      </c>
      <c r="AC34" s="2" t="s">
        <v>293</v>
      </c>
      <c r="AD34" s="4">
        <v>70</v>
      </c>
      <c r="AE34" s="4">
        <v>70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206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206</v>
      </c>
      <c r="AW34" s="8" t="s">
        <v>206</v>
      </c>
      <c r="AX34" s="4" t="s">
        <v>206</v>
      </c>
      <c r="AY34" s="8" t="s">
        <v>206</v>
      </c>
      <c r="AZ34" s="7" t="s">
        <v>206</v>
      </c>
      <c r="BA34" s="7" t="s">
        <v>206</v>
      </c>
      <c r="BB34" s="7"/>
      <c r="BC34" s="4" t="s">
        <v>206</v>
      </c>
      <c r="BD34" s="8" t="s">
        <v>206</v>
      </c>
      <c r="BE34" s="4" t="s">
        <v>206</v>
      </c>
      <c r="BF34" s="8" t="s">
        <v>206</v>
      </c>
      <c r="BG34" s="7" t="s">
        <v>206</v>
      </c>
      <c r="BH34" s="7" t="s">
        <v>206</v>
      </c>
      <c r="BI34" s="7"/>
      <c r="BJ34" s="4">
        <v>5</v>
      </c>
      <c r="BK34" s="8">
        <v>68.91</v>
      </c>
      <c r="BL34" s="2" t="s">
        <v>376</v>
      </c>
      <c r="BM34" s="7"/>
      <c r="BN34" s="7"/>
      <c r="BO34" s="4"/>
      <c r="BP34" s="8"/>
      <c r="BQ34" s="4"/>
      <c r="BR34" s="8"/>
      <c r="BS34" s="7"/>
      <c r="BT34" s="7"/>
      <c r="BU34" s="2" t="s">
        <v>377</v>
      </c>
      <c r="BV34" s="2" t="s">
        <v>206</v>
      </c>
      <c r="BW34" s="2" t="s">
        <v>206</v>
      </c>
      <c r="BX34" s="2" t="s">
        <v>214</v>
      </c>
      <c r="BY34" s="2" t="s">
        <v>215</v>
      </c>
      <c r="BZ34" s="2" t="s">
        <v>203</v>
      </c>
      <c r="CA34" s="2" t="s">
        <v>216</v>
      </c>
      <c r="CB34" s="2" t="s">
        <v>378</v>
      </c>
      <c r="CC34" s="2" t="s">
        <v>218</v>
      </c>
      <c r="CD34" s="2" t="s">
        <v>206</v>
      </c>
      <c r="CE34" s="4">
        <v>112</v>
      </c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>
        <v>70</v>
      </c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</row>
    <row r="35">
      <c r="A35" s="2" t="s">
        <v>379</v>
      </c>
      <c r="B35" s="2" t="s">
        <v>225</v>
      </c>
      <c r="C35" s="2" t="s">
        <v>287</v>
      </c>
      <c r="D35" s="2" t="s">
        <v>227</v>
      </c>
      <c r="E35" s="2" t="s">
        <v>228</v>
      </c>
      <c r="F35" s="2" t="s">
        <v>288</v>
      </c>
      <c r="G35" s="2" t="s">
        <v>288</v>
      </c>
      <c r="H35" s="2" t="s">
        <v>288</v>
      </c>
      <c r="I35" s="2" t="s">
        <v>289</v>
      </c>
      <c r="J35" s="2" t="s">
        <v>220</v>
      </c>
      <c r="K35" s="2" t="s">
        <v>374</v>
      </c>
      <c r="L35" s="3">
        <v>16.5</v>
      </c>
      <c r="M35" s="3">
        <v>17.32</v>
      </c>
      <c r="N35" s="3">
        <v>32.99</v>
      </c>
      <c r="O35" s="2" t="s">
        <v>203</v>
      </c>
      <c r="P35" s="2" t="s">
        <v>204</v>
      </c>
      <c r="Q35" s="2" t="s">
        <v>205</v>
      </c>
      <c r="R35" s="2" t="s">
        <v>206</v>
      </c>
      <c r="S35" s="2" t="s">
        <v>375</v>
      </c>
      <c r="T35" s="2" t="s">
        <v>292</v>
      </c>
      <c r="U35" s="2" t="s">
        <v>206</v>
      </c>
      <c r="V35" s="2" t="s">
        <v>209</v>
      </c>
      <c r="W35" s="2" t="s">
        <v>210</v>
      </c>
      <c r="X35" s="2" t="s">
        <v>206</v>
      </c>
      <c r="Y35" s="2" t="s">
        <v>211</v>
      </c>
      <c r="Z35" s="4">
        <v>68</v>
      </c>
      <c r="AA35" s="4">
        <f>=ROUNDDOWN(19.4285714285714,0)</f>
      </c>
      <c r="AB35" s="5">
        <v>3.5</v>
      </c>
      <c r="AC35" s="2" t="s">
        <v>121</v>
      </c>
      <c r="AD35" s="4">
        <v>50</v>
      </c>
      <c r="AE35" s="4">
        <v>120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206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206</v>
      </c>
      <c r="AW35" s="8" t="s">
        <v>206</v>
      </c>
      <c r="AX35" s="4" t="s">
        <v>206</v>
      </c>
      <c r="AY35" s="8" t="s">
        <v>206</v>
      </c>
      <c r="AZ35" s="7" t="s">
        <v>206</v>
      </c>
      <c r="BA35" s="7" t="s">
        <v>206</v>
      </c>
      <c r="BB35" s="7"/>
      <c r="BC35" s="4" t="s">
        <v>206</v>
      </c>
      <c r="BD35" s="8" t="s">
        <v>206</v>
      </c>
      <c r="BE35" s="4" t="s">
        <v>206</v>
      </c>
      <c r="BF35" s="8" t="s">
        <v>206</v>
      </c>
      <c r="BG35" s="7" t="s">
        <v>206</v>
      </c>
      <c r="BH35" s="7" t="s">
        <v>206</v>
      </c>
      <c r="BI35" s="7"/>
      <c r="BJ35" s="4">
        <v>18</v>
      </c>
      <c r="BK35" s="8">
        <v>287.42</v>
      </c>
      <c r="BL35" s="2" t="s">
        <v>380</v>
      </c>
      <c r="BM35" s="7"/>
      <c r="BN35" s="7"/>
      <c r="BO35" s="4"/>
      <c r="BP35" s="8"/>
      <c r="BQ35" s="4"/>
      <c r="BR35" s="8"/>
      <c r="BS35" s="7"/>
      <c r="BT35" s="7"/>
      <c r="BU35" s="2" t="s">
        <v>381</v>
      </c>
      <c r="BV35" s="2" t="s">
        <v>206</v>
      </c>
      <c r="BW35" s="2" t="s">
        <v>206</v>
      </c>
      <c r="BX35" s="2" t="s">
        <v>214</v>
      </c>
      <c r="BY35" s="2" t="s">
        <v>215</v>
      </c>
      <c r="BZ35" s="2" t="s">
        <v>203</v>
      </c>
      <c r="CA35" s="2" t="s">
        <v>216</v>
      </c>
      <c r="CB35" s="2" t="s">
        <v>382</v>
      </c>
      <c r="CC35" s="2" t="s">
        <v>218</v>
      </c>
      <c r="CD35" s="2" t="s">
        <v>206</v>
      </c>
      <c r="CE35" s="4">
        <v>68</v>
      </c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>
        <v>50</v>
      </c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>
        <v>70</v>
      </c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</row>
    <row r="36">
      <c r="A36" s="2" t="s">
        <v>383</v>
      </c>
      <c r="B36" s="2" t="s">
        <v>225</v>
      </c>
      <c r="C36" s="2" t="s">
        <v>287</v>
      </c>
      <c r="D36" s="2" t="s">
        <v>227</v>
      </c>
      <c r="E36" s="2" t="s">
        <v>228</v>
      </c>
      <c r="F36" s="2" t="s">
        <v>288</v>
      </c>
      <c r="G36" s="2" t="s">
        <v>288</v>
      </c>
      <c r="H36" s="2" t="s">
        <v>288</v>
      </c>
      <c r="I36" s="2" t="s">
        <v>289</v>
      </c>
      <c r="J36" s="2" t="s">
        <v>231</v>
      </c>
      <c r="K36" s="2" t="s">
        <v>374</v>
      </c>
      <c r="L36" s="3">
        <v>21.5</v>
      </c>
      <c r="M36" s="3">
        <v>22.58</v>
      </c>
      <c r="N36" s="3">
        <v>42.99</v>
      </c>
      <c r="O36" s="2" t="s">
        <v>203</v>
      </c>
      <c r="P36" s="2" t="s">
        <v>204</v>
      </c>
      <c r="Q36" s="2" t="s">
        <v>205</v>
      </c>
      <c r="R36" s="2" t="s">
        <v>206</v>
      </c>
      <c r="S36" s="2" t="s">
        <v>375</v>
      </c>
      <c r="T36" s="2" t="s">
        <v>292</v>
      </c>
      <c r="U36" s="2" t="s">
        <v>206</v>
      </c>
      <c r="V36" s="2" t="s">
        <v>209</v>
      </c>
      <c r="W36" s="2" t="s">
        <v>210</v>
      </c>
      <c r="X36" s="2" t="s">
        <v>206</v>
      </c>
      <c r="Y36" s="2" t="s">
        <v>211</v>
      </c>
      <c r="Z36" s="4">
        <v>179</v>
      </c>
      <c r="AA36" s="4">
        <f>=ROUNDDOWN(13.4586466165414,0)</f>
      </c>
      <c r="AB36" s="5">
        <v>13.3</v>
      </c>
      <c r="AC36" s="2" t="s">
        <v>121</v>
      </c>
      <c r="AD36" s="4">
        <v>100</v>
      </c>
      <c r="AE36" s="4">
        <v>280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206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206</v>
      </c>
      <c r="AW36" s="8" t="s">
        <v>206</v>
      </c>
      <c r="AX36" s="4" t="s">
        <v>206</v>
      </c>
      <c r="AY36" s="8" t="s">
        <v>206</v>
      </c>
      <c r="AZ36" s="7" t="s">
        <v>206</v>
      </c>
      <c r="BA36" s="7" t="s">
        <v>206</v>
      </c>
      <c r="BB36" s="7"/>
      <c r="BC36" s="4" t="s">
        <v>206</v>
      </c>
      <c r="BD36" s="8" t="s">
        <v>206</v>
      </c>
      <c r="BE36" s="4" t="s">
        <v>206</v>
      </c>
      <c r="BF36" s="8" t="s">
        <v>206</v>
      </c>
      <c r="BG36" s="7" t="s">
        <v>206</v>
      </c>
      <c r="BH36" s="7" t="s">
        <v>206</v>
      </c>
      <c r="BI36" s="7"/>
      <c r="BJ36" s="4">
        <v>35</v>
      </c>
      <c r="BK36" s="8">
        <v>793.4</v>
      </c>
      <c r="BL36" s="2" t="s">
        <v>384</v>
      </c>
      <c r="BM36" s="7"/>
      <c r="BN36" s="7"/>
      <c r="BO36" s="4"/>
      <c r="BP36" s="8"/>
      <c r="BQ36" s="4"/>
      <c r="BR36" s="8"/>
      <c r="BS36" s="7"/>
      <c r="BT36" s="7"/>
      <c r="BU36" s="2" t="s">
        <v>385</v>
      </c>
      <c r="BV36" s="2" t="s">
        <v>206</v>
      </c>
      <c r="BW36" s="2" t="s">
        <v>206</v>
      </c>
      <c r="BX36" s="2" t="s">
        <v>214</v>
      </c>
      <c r="BY36" s="2" t="s">
        <v>215</v>
      </c>
      <c r="BZ36" s="2" t="s">
        <v>203</v>
      </c>
      <c r="CA36" s="2" t="s">
        <v>216</v>
      </c>
      <c r="CB36" s="2" t="s">
        <v>386</v>
      </c>
      <c r="CC36" s="2" t="s">
        <v>218</v>
      </c>
      <c r="CD36" s="2" t="s">
        <v>206</v>
      </c>
      <c r="CE36" s="4">
        <v>179</v>
      </c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>
        <v>100</v>
      </c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>
        <v>180</v>
      </c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</row>
    <row r="37">
      <c r="A37" s="2" t="s">
        <v>387</v>
      </c>
      <c r="B37" s="2" t="s">
        <v>225</v>
      </c>
      <c r="C37" s="2" t="s">
        <v>287</v>
      </c>
      <c r="D37" s="2" t="s">
        <v>227</v>
      </c>
      <c r="E37" s="2" t="s">
        <v>228</v>
      </c>
      <c r="F37" s="2" t="s">
        <v>288</v>
      </c>
      <c r="G37" s="2" t="s">
        <v>288</v>
      </c>
      <c r="H37" s="2" t="s">
        <v>288</v>
      </c>
      <c r="I37" s="2" t="s">
        <v>289</v>
      </c>
      <c r="J37" s="2" t="s">
        <v>310</v>
      </c>
      <c r="K37" s="2" t="s">
        <v>374</v>
      </c>
      <c r="L37" s="3">
        <v>21.5</v>
      </c>
      <c r="M37" s="3">
        <v>22.58</v>
      </c>
      <c r="N37" s="3">
        <v>42.99</v>
      </c>
      <c r="O37" s="2" t="s">
        <v>203</v>
      </c>
      <c r="P37" s="2" t="s">
        <v>204</v>
      </c>
      <c r="Q37" s="2" t="s">
        <v>205</v>
      </c>
      <c r="R37" s="2" t="s">
        <v>206</v>
      </c>
      <c r="S37" s="2" t="s">
        <v>375</v>
      </c>
      <c r="T37" s="2" t="s">
        <v>292</v>
      </c>
      <c r="U37" s="2" t="s">
        <v>206</v>
      </c>
      <c r="V37" s="2" t="s">
        <v>209</v>
      </c>
      <c r="W37" s="2" t="s">
        <v>210</v>
      </c>
      <c r="X37" s="2" t="s">
        <v>206</v>
      </c>
      <c r="Y37" s="2" t="s">
        <v>211</v>
      </c>
      <c r="Z37" s="4">
        <v>97</v>
      </c>
      <c r="AA37" s="4">
        <f>=ROUNDDOWN(40.4166666666667,0)</f>
      </c>
      <c r="AB37" s="5">
        <v>2.4</v>
      </c>
      <c r="AC37" s="2" t="s">
        <v>206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206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206</v>
      </c>
      <c r="AW37" s="8" t="s">
        <v>206</v>
      </c>
      <c r="AX37" s="4" t="s">
        <v>206</v>
      </c>
      <c r="AY37" s="8" t="s">
        <v>206</v>
      </c>
      <c r="AZ37" s="7" t="s">
        <v>206</v>
      </c>
      <c r="BA37" s="7" t="s">
        <v>206</v>
      </c>
      <c r="BB37" s="7"/>
      <c r="BC37" s="4" t="s">
        <v>206</v>
      </c>
      <c r="BD37" s="8" t="s">
        <v>206</v>
      </c>
      <c r="BE37" s="4" t="s">
        <v>206</v>
      </c>
      <c r="BF37" s="8" t="s">
        <v>206</v>
      </c>
      <c r="BG37" s="7" t="s">
        <v>206</v>
      </c>
      <c r="BH37" s="7" t="s">
        <v>206</v>
      </c>
      <c r="BI37" s="7"/>
      <c r="BJ37" s="4">
        <v>10</v>
      </c>
      <c r="BK37" s="8">
        <v>219.96</v>
      </c>
      <c r="BL37" s="2" t="s">
        <v>388</v>
      </c>
      <c r="BM37" s="7"/>
      <c r="BN37" s="7"/>
      <c r="BO37" s="4"/>
      <c r="BP37" s="8"/>
      <c r="BQ37" s="4"/>
      <c r="BR37" s="8"/>
      <c r="BS37" s="7"/>
      <c r="BT37" s="7"/>
      <c r="BU37" s="2" t="s">
        <v>389</v>
      </c>
      <c r="BV37" s="2" t="s">
        <v>206</v>
      </c>
      <c r="BW37" s="2" t="s">
        <v>206</v>
      </c>
      <c r="BX37" s="2" t="s">
        <v>214</v>
      </c>
      <c r="BY37" s="2" t="s">
        <v>215</v>
      </c>
      <c r="BZ37" s="2" t="s">
        <v>203</v>
      </c>
      <c r="CA37" s="2" t="s">
        <v>216</v>
      </c>
      <c r="CB37" s="2" t="s">
        <v>390</v>
      </c>
      <c r="CC37" s="2" t="s">
        <v>218</v>
      </c>
      <c r="CD37" s="2" t="s">
        <v>206</v>
      </c>
      <c r="CE37" s="4">
        <v>97</v>
      </c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</row>
    <row r="38">
      <c r="A38" s="2" t="s">
        <v>391</v>
      </c>
      <c r="B38" s="2" t="s">
        <v>225</v>
      </c>
      <c r="C38" s="2" t="s">
        <v>287</v>
      </c>
      <c r="D38" s="2" t="s">
        <v>227</v>
      </c>
      <c r="E38" s="2" t="s">
        <v>228</v>
      </c>
      <c r="F38" s="2" t="s">
        <v>288</v>
      </c>
      <c r="G38" s="2" t="s">
        <v>288</v>
      </c>
      <c r="H38" s="2" t="s">
        <v>288</v>
      </c>
      <c r="I38" s="2" t="s">
        <v>289</v>
      </c>
      <c r="J38" s="2" t="s">
        <v>201</v>
      </c>
      <c r="K38" s="2" t="s">
        <v>392</v>
      </c>
      <c r="L38" s="3">
        <v>13.44</v>
      </c>
      <c r="M38" s="3">
        <v>14.11</v>
      </c>
      <c r="N38" s="3">
        <v>27.99</v>
      </c>
      <c r="O38" s="2" t="s">
        <v>203</v>
      </c>
      <c r="P38" s="2" t="s">
        <v>204</v>
      </c>
      <c r="Q38" s="2" t="s">
        <v>205</v>
      </c>
      <c r="R38" s="2" t="s">
        <v>206</v>
      </c>
      <c r="S38" s="2" t="s">
        <v>393</v>
      </c>
      <c r="T38" s="2" t="s">
        <v>292</v>
      </c>
      <c r="U38" s="2" t="s">
        <v>206</v>
      </c>
      <c r="V38" s="2" t="s">
        <v>209</v>
      </c>
      <c r="W38" s="2" t="s">
        <v>210</v>
      </c>
      <c r="X38" s="2" t="s">
        <v>206</v>
      </c>
      <c r="Y38" s="2" t="s">
        <v>211</v>
      </c>
      <c r="Z38" s="4">
        <v>200</v>
      </c>
      <c r="AA38" s="4">
        <f>=ROUNDDOWN(28.5714285714286,0)</f>
      </c>
      <c r="AB38" s="5">
        <v>7</v>
      </c>
      <c r="AC38" s="2" t="s">
        <v>113</v>
      </c>
      <c r="AD38" s="4">
        <v>50</v>
      </c>
      <c r="AE38" s="4">
        <v>50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206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206</v>
      </c>
      <c r="AW38" s="8" t="s">
        <v>206</v>
      </c>
      <c r="AX38" s="4" t="s">
        <v>206</v>
      </c>
      <c r="AY38" s="8" t="s">
        <v>206</v>
      </c>
      <c r="AZ38" s="7" t="s">
        <v>206</v>
      </c>
      <c r="BA38" s="7" t="s">
        <v>206</v>
      </c>
      <c r="BB38" s="7"/>
      <c r="BC38" s="4" t="s">
        <v>206</v>
      </c>
      <c r="BD38" s="8" t="s">
        <v>206</v>
      </c>
      <c r="BE38" s="4" t="s">
        <v>206</v>
      </c>
      <c r="BF38" s="8" t="s">
        <v>206</v>
      </c>
      <c r="BG38" s="7" t="s">
        <v>206</v>
      </c>
      <c r="BH38" s="7" t="s">
        <v>206</v>
      </c>
      <c r="BI38" s="7"/>
      <c r="BJ38" s="4">
        <v>9</v>
      </c>
      <c r="BK38" s="8">
        <v>122.65</v>
      </c>
      <c r="BL38" s="2" t="s">
        <v>394</v>
      </c>
      <c r="BM38" s="7"/>
      <c r="BN38" s="7"/>
      <c r="BO38" s="4"/>
      <c r="BP38" s="8"/>
      <c r="BQ38" s="4"/>
      <c r="BR38" s="8"/>
      <c r="BS38" s="7"/>
      <c r="BT38" s="7"/>
      <c r="BU38" s="2" t="s">
        <v>395</v>
      </c>
      <c r="BV38" s="2" t="s">
        <v>206</v>
      </c>
      <c r="BW38" s="2" t="s">
        <v>206</v>
      </c>
      <c r="BX38" s="2" t="s">
        <v>214</v>
      </c>
      <c r="BY38" s="2" t="s">
        <v>215</v>
      </c>
      <c r="BZ38" s="2" t="s">
        <v>203</v>
      </c>
      <c r="CA38" s="2" t="s">
        <v>216</v>
      </c>
      <c r="CB38" s="2" t="s">
        <v>396</v>
      </c>
      <c r="CC38" s="2" t="s">
        <v>218</v>
      </c>
      <c r="CD38" s="2" t="s">
        <v>206</v>
      </c>
      <c r="CE38" s="4">
        <v>200</v>
      </c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>
        <v>50</v>
      </c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</row>
    <row r="39">
      <c r="A39" s="2" t="s">
        <v>397</v>
      </c>
      <c r="B39" s="2" t="s">
        <v>225</v>
      </c>
      <c r="C39" s="2" t="s">
        <v>287</v>
      </c>
      <c r="D39" s="2" t="s">
        <v>227</v>
      </c>
      <c r="E39" s="2" t="s">
        <v>228</v>
      </c>
      <c r="F39" s="2" t="s">
        <v>288</v>
      </c>
      <c r="G39" s="2" t="s">
        <v>288</v>
      </c>
      <c r="H39" s="2" t="s">
        <v>288</v>
      </c>
      <c r="I39" s="2" t="s">
        <v>289</v>
      </c>
      <c r="J39" s="2" t="s">
        <v>290</v>
      </c>
      <c r="K39" s="2" t="s">
        <v>392</v>
      </c>
      <c r="L39" s="3">
        <v>15.19</v>
      </c>
      <c r="M39" s="3">
        <v>15.95</v>
      </c>
      <c r="N39" s="3">
        <v>30.99</v>
      </c>
      <c r="O39" s="2" t="s">
        <v>203</v>
      </c>
      <c r="P39" s="2" t="s">
        <v>204</v>
      </c>
      <c r="Q39" s="2" t="s">
        <v>205</v>
      </c>
      <c r="R39" s="2" t="s">
        <v>206</v>
      </c>
      <c r="S39" s="2" t="s">
        <v>393</v>
      </c>
      <c r="T39" s="2" t="s">
        <v>292</v>
      </c>
      <c r="U39" s="2" t="s">
        <v>206</v>
      </c>
      <c r="V39" s="2" t="s">
        <v>209</v>
      </c>
      <c r="W39" s="2" t="s">
        <v>210</v>
      </c>
      <c r="X39" s="2" t="s">
        <v>206</v>
      </c>
      <c r="Y39" s="2" t="s">
        <v>211</v>
      </c>
      <c r="Z39" s="4">
        <v>562</v>
      </c>
      <c r="AA39" s="4">
        <f>=ROUNDDOWN(140.5,0)</f>
      </c>
      <c r="AB39" s="5">
        <v>4</v>
      </c>
      <c r="AC39" s="2" t="s">
        <v>206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206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206</v>
      </c>
      <c r="AW39" s="8" t="s">
        <v>206</v>
      </c>
      <c r="AX39" s="4" t="s">
        <v>206</v>
      </c>
      <c r="AY39" s="8" t="s">
        <v>206</v>
      </c>
      <c r="AZ39" s="7" t="s">
        <v>206</v>
      </c>
      <c r="BA39" s="7" t="s">
        <v>206</v>
      </c>
      <c r="BB39" s="7"/>
      <c r="BC39" s="4" t="s">
        <v>206</v>
      </c>
      <c r="BD39" s="8" t="s">
        <v>206</v>
      </c>
      <c r="BE39" s="4" t="s">
        <v>206</v>
      </c>
      <c r="BF39" s="8" t="s">
        <v>206</v>
      </c>
      <c r="BG39" s="7" t="s">
        <v>206</v>
      </c>
      <c r="BH39" s="7" t="s">
        <v>206</v>
      </c>
      <c r="BI39" s="7"/>
      <c r="BJ39" s="4">
        <v>17</v>
      </c>
      <c r="BK39" s="8">
        <v>283.5</v>
      </c>
      <c r="BL39" s="2" t="s">
        <v>398</v>
      </c>
      <c r="BM39" s="7"/>
      <c r="BN39" s="7"/>
      <c r="BO39" s="4"/>
      <c r="BP39" s="8"/>
      <c r="BQ39" s="4"/>
      <c r="BR39" s="8"/>
      <c r="BS39" s="7"/>
      <c r="BT39" s="7"/>
      <c r="BU39" s="2" t="s">
        <v>399</v>
      </c>
      <c r="BV39" s="2" t="s">
        <v>206</v>
      </c>
      <c r="BW39" s="2" t="s">
        <v>206</v>
      </c>
      <c r="BX39" s="2" t="s">
        <v>214</v>
      </c>
      <c r="BY39" s="2" t="s">
        <v>215</v>
      </c>
      <c r="BZ39" s="2" t="s">
        <v>203</v>
      </c>
      <c r="CA39" s="2" t="s">
        <v>216</v>
      </c>
      <c r="CB39" s="2" t="s">
        <v>400</v>
      </c>
      <c r="CC39" s="2" t="s">
        <v>218</v>
      </c>
      <c r="CD39" s="2" t="s">
        <v>206</v>
      </c>
      <c r="CE39" s="4">
        <v>562</v>
      </c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</row>
    <row r="40">
      <c r="A40" s="2" t="s">
        <v>401</v>
      </c>
      <c r="B40" s="2" t="s">
        <v>225</v>
      </c>
      <c r="C40" s="2" t="s">
        <v>287</v>
      </c>
      <c r="D40" s="2" t="s">
        <v>227</v>
      </c>
      <c r="E40" s="2" t="s">
        <v>228</v>
      </c>
      <c r="F40" s="2" t="s">
        <v>288</v>
      </c>
      <c r="G40" s="2" t="s">
        <v>288</v>
      </c>
      <c r="H40" s="2" t="s">
        <v>288</v>
      </c>
      <c r="I40" s="2" t="s">
        <v>289</v>
      </c>
      <c r="J40" s="2" t="s">
        <v>220</v>
      </c>
      <c r="K40" s="2" t="s">
        <v>392</v>
      </c>
      <c r="L40" s="3">
        <v>16.5</v>
      </c>
      <c r="M40" s="3">
        <v>17.32</v>
      </c>
      <c r="N40" s="3">
        <v>32.99</v>
      </c>
      <c r="O40" s="2" t="s">
        <v>203</v>
      </c>
      <c r="P40" s="2" t="s">
        <v>204</v>
      </c>
      <c r="Q40" s="2" t="s">
        <v>205</v>
      </c>
      <c r="R40" s="2" t="s">
        <v>206</v>
      </c>
      <c r="S40" s="2" t="s">
        <v>393</v>
      </c>
      <c r="T40" s="2" t="s">
        <v>292</v>
      </c>
      <c r="U40" s="2" t="s">
        <v>206</v>
      </c>
      <c r="V40" s="2" t="s">
        <v>209</v>
      </c>
      <c r="W40" s="2" t="s">
        <v>210</v>
      </c>
      <c r="X40" s="2" t="s">
        <v>206</v>
      </c>
      <c r="Y40" s="2" t="s">
        <v>211</v>
      </c>
      <c r="Z40" s="4">
        <v>153</v>
      </c>
      <c r="AA40" s="4">
        <f>=ROUNDDOWN(19.8701298701299,0)</f>
      </c>
      <c r="AB40" s="5">
        <v>7.7</v>
      </c>
      <c r="AC40" s="2" t="s">
        <v>113</v>
      </c>
      <c r="AD40" s="4">
        <v>30</v>
      </c>
      <c r="AE40" s="4">
        <v>110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206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206</v>
      </c>
      <c r="AW40" s="8" t="s">
        <v>206</v>
      </c>
      <c r="AX40" s="4" t="s">
        <v>206</v>
      </c>
      <c r="AY40" s="8" t="s">
        <v>206</v>
      </c>
      <c r="AZ40" s="7" t="s">
        <v>206</v>
      </c>
      <c r="BA40" s="7" t="s">
        <v>206</v>
      </c>
      <c r="BB40" s="7"/>
      <c r="BC40" s="4" t="s">
        <v>206</v>
      </c>
      <c r="BD40" s="8" t="s">
        <v>206</v>
      </c>
      <c r="BE40" s="4" t="s">
        <v>206</v>
      </c>
      <c r="BF40" s="8" t="s">
        <v>206</v>
      </c>
      <c r="BG40" s="7" t="s">
        <v>206</v>
      </c>
      <c r="BH40" s="7" t="s">
        <v>206</v>
      </c>
      <c r="BI40" s="7"/>
      <c r="BJ40" s="4">
        <v>24</v>
      </c>
      <c r="BK40" s="8">
        <v>419.44</v>
      </c>
      <c r="BL40" s="2" t="s">
        <v>402</v>
      </c>
      <c r="BM40" s="7"/>
      <c r="BN40" s="7"/>
      <c r="BO40" s="4"/>
      <c r="BP40" s="8"/>
      <c r="BQ40" s="4"/>
      <c r="BR40" s="8"/>
      <c r="BS40" s="7"/>
      <c r="BT40" s="7"/>
      <c r="BU40" s="2" t="s">
        <v>403</v>
      </c>
      <c r="BV40" s="2" t="s">
        <v>206</v>
      </c>
      <c r="BW40" s="2" t="s">
        <v>206</v>
      </c>
      <c r="BX40" s="2" t="s">
        <v>214</v>
      </c>
      <c r="BY40" s="2" t="s">
        <v>215</v>
      </c>
      <c r="BZ40" s="2" t="s">
        <v>203</v>
      </c>
      <c r="CA40" s="2" t="s">
        <v>216</v>
      </c>
      <c r="CB40" s="2" t="s">
        <v>404</v>
      </c>
      <c r="CC40" s="2" t="s">
        <v>218</v>
      </c>
      <c r="CD40" s="2" t="s">
        <v>206</v>
      </c>
      <c r="CE40" s="4">
        <v>153</v>
      </c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>
        <v>30</v>
      </c>
      <c r="DB40" s="4"/>
      <c r="DC40" s="4"/>
      <c r="DD40" s="4"/>
      <c r="DE40" s="4"/>
      <c r="DF40" s="4"/>
      <c r="DG40" s="4"/>
      <c r="DH40" s="4"/>
      <c r="DI40" s="4">
        <v>80</v>
      </c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</row>
    <row r="41">
      <c r="A41" s="2" t="s">
        <v>405</v>
      </c>
      <c r="B41" s="2" t="s">
        <v>225</v>
      </c>
      <c r="C41" s="2" t="s">
        <v>287</v>
      </c>
      <c r="D41" s="2" t="s">
        <v>227</v>
      </c>
      <c r="E41" s="2" t="s">
        <v>228</v>
      </c>
      <c r="F41" s="2" t="s">
        <v>288</v>
      </c>
      <c r="G41" s="2" t="s">
        <v>288</v>
      </c>
      <c r="H41" s="2" t="s">
        <v>288</v>
      </c>
      <c r="I41" s="2" t="s">
        <v>289</v>
      </c>
      <c r="J41" s="2" t="s">
        <v>231</v>
      </c>
      <c r="K41" s="2" t="s">
        <v>392</v>
      </c>
      <c r="L41" s="3">
        <v>21.5</v>
      </c>
      <c r="M41" s="3">
        <v>22.58</v>
      </c>
      <c r="N41" s="3">
        <v>42.99</v>
      </c>
      <c r="O41" s="2" t="s">
        <v>203</v>
      </c>
      <c r="P41" s="2" t="s">
        <v>204</v>
      </c>
      <c r="Q41" s="2" t="s">
        <v>205</v>
      </c>
      <c r="R41" s="2" t="s">
        <v>206</v>
      </c>
      <c r="S41" s="2" t="s">
        <v>393</v>
      </c>
      <c r="T41" s="2" t="s">
        <v>292</v>
      </c>
      <c r="U41" s="2" t="s">
        <v>206</v>
      </c>
      <c r="V41" s="2" t="s">
        <v>209</v>
      </c>
      <c r="W41" s="2" t="s">
        <v>210</v>
      </c>
      <c r="X41" s="2" t="s">
        <v>206</v>
      </c>
      <c r="Y41" s="2" t="s">
        <v>211</v>
      </c>
      <c r="Z41" s="4">
        <v>326</v>
      </c>
      <c r="AA41" s="4">
        <f>=ROUNDDOWN(21.7333333333333,0)</f>
      </c>
      <c r="AB41" s="5">
        <v>15</v>
      </c>
      <c r="AC41" s="2" t="s">
        <v>113</v>
      </c>
      <c r="AD41" s="4">
        <v>60</v>
      </c>
      <c r="AE41" s="4">
        <v>250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206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206</v>
      </c>
      <c r="AW41" s="8" t="s">
        <v>206</v>
      </c>
      <c r="AX41" s="4" t="s">
        <v>206</v>
      </c>
      <c r="AY41" s="8" t="s">
        <v>206</v>
      </c>
      <c r="AZ41" s="7" t="s">
        <v>206</v>
      </c>
      <c r="BA41" s="7" t="s">
        <v>206</v>
      </c>
      <c r="BB41" s="7"/>
      <c r="BC41" s="4" t="s">
        <v>206</v>
      </c>
      <c r="BD41" s="8" t="s">
        <v>206</v>
      </c>
      <c r="BE41" s="4" t="s">
        <v>206</v>
      </c>
      <c r="BF41" s="8" t="s">
        <v>206</v>
      </c>
      <c r="BG41" s="7" t="s">
        <v>206</v>
      </c>
      <c r="BH41" s="7" t="s">
        <v>206</v>
      </c>
      <c r="BI41" s="7"/>
      <c r="BJ41" s="4">
        <v>54</v>
      </c>
      <c r="BK41" s="8">
        <v>1221.06</v>
      </c>
      <c r="BL41" s="2" t="s">
        <v>406</v>
      </c>
      <c r="BM41" s="7"/>
      <c r="BN41" s="7"/>
      <c r="BO41" s="4"/>
      <c r="BP41" s="8"/>
      <c r="BQ41" s="4"/>
      <c r="BR41" s="8"/>
      <c r="BS41" s="7"/>
      <c r="BT41" s="7"/>
      <c r="BU41" s="2" t="s">
        <v>407</v>
      </c>
      <c r="BV41" s="2" t="s">
        <v>206</v>
      </c>
      <c r="BW41" s="2" t="s">
        <v>206</v>
      </c>
      <c r="BX41" s="2" t="s">
        <v>214</v>
      </c>
      <c r="BY41" s="2" t="s">
        <v>215</v>
      </c>
      <c r="BZ41" s="2" t="s">
        <v>203</v>
      </c>
      <c r="CA41" s="2" t="s">
        <v>216</v>
      </c>
      <c r="CB41" s="2" t="s">
        <v>408</v>
      </c>
      <c r="CC41" s="2" t="s">
        <v>218</v>
      </c>
      <c r="CD41" s="2" t="s">
        <v>206</v>
      </c>
      <c r="CE41" s="4">
        <v>325</v>
      </c>
      <c r="CF41" s="4"/>
      <c r="CG41" s="4"/>
      <c r="CH41" s="4"/>
      <c r="CI41" s="4"/>
      <c r="CJ41" s="4"/>
      <c r="CK41" s="4">
        <v>1</v>
      </c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>
        <v>60</v>
      </c>
      <c r="DB41" s="4"/>
      <c r="DC41" s="4"/>
      <c r="DD41" s="4"/>
      <c r="DE41" s="4"/>
      <c r="DF41" s="4"/>
      <c r="DG41" s="4"/>
      <c r="DH41" s="4"/>
      <c r="DI41" s="4">
        <v>190</v>
      </c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</row>
    <row r="42">
      <c r="A42" s="2" t="s">
        <v>409</v>
      </c>
      <c r="B42" s="2" t="s">
        <v>225</v>
      </c>
      <c r="C42" s="2" t="s">
        <v>287</v>
      </c>
      <c r="D42" s="2" t="s">
        <v>227</v>
      </c>
      <c r="E42" s="2" t="s">
        <v>228</v>
      </c>
      <c r="F42" s="2" t="s">
        <v>288</v>
      </c>
      <c r="G42" s="2" t="s">
        <v>288</v>
      </c>
      <c r="H42" s="2" t="s">
        <v>288</v>
      </c>
      <c r="I42" s="2" t="s">
        <v>289</v>
      </c>
      <c r="J42" s="2" t="s">
        <v>310</v>
      </c>
      <c r="K42" s="2" t="s">
        <v>392</v>
      </c>
      <c r="L42" s="3">
        <v>21.5</v>
      </c>
      <c r="M42" s="3">
        <v>22.58</v>
      </c>
      <c r="N42" s="3">
        <v>42.99</v>
      </c>
      <c r="O42" s="2" t="s">
        <v>203</v>
      </c>
      <c r="P42" s="2" t="s">
        <v>204</v>
      </c>
      <c r="Q42" s="2" t="s">
        <v>205</v>
      </c>
      <c r="R42" s="2" t="s">
        <v>206</v>
      </c>
      <c r="S42" s="2" t="s">
        <v>393</v>
      </c>
      <c r="T42" s="2" t="s">
        <v>292</v>
      </c>
      <c r="U42" s="2" t="s">
        <v>206</v>
      </c>
      <c r="V42" s="2" t="s">
        <v>209</v>
      </c>
      <c r="W42" s="2" t="s">
        <v>210</v>
      </c>
      <c r="X42" s="2" t="s">
        <v>206</v>
      </c>
      <c r="Y42" s="2" t="s">
        <v>211</v>
      </c>
      <c r="Z42" s="4">
        <v>114</v>
      </c>
      <c r="AA42" s="4">
        <f>=ROUNDDOWN(22.8,0)</f>
      </c>
      <c r="AB42" s="5">
        <v>5</v>
      </c>
      <c r="AC42" s="2" t="s">
        <v>113</v>
      </c>
      <c r="AD42" s="4">
        <v>40</v>
      </c>
      <c r="AE42" s="4">
        <v>90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206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206</v>
      </c>
      <c r="AW42" s="8" t="s">
        <v>206</v>
      </c>
      <c r="AX42" s="4" t="s">
        <v>206</v>
      </c>
      <c r="AY42" s="8" t="s">
        <v>206</v>
      </c>
      <c r="AZ42" s="7" t="s">
        <v>206</v>
      </c>
      <c r="BA42" s="7" t="s">
        <v>206</v>
      </c>
      <c r="BB42" s="7"/>
      <c r="BC42" s="4" t="s">
        <v>206</v>
      </c>
      <c r="BD42" s="8" t="s">
        <v>206</v>
      </c>
      <c r="BE42" s="4" t="s">
        <v>206</v>
      </c>
      <c r="BF42" s="8" t="s">
        <v>206</v>
      </c>
      <c r="BG42" s="7" t="s">
        <v>206</v>
      </c>
      <c r="BH42" s="7" t="s">
        <v>206</v>
      </c>
      <c r="BI42" s="7"/>
      <c r="BJ42" s="4">
        <v>9</v>
      </c>
      <c r="BK42" s="8">
        <v>201.39</v>
      </c>
      <c r="BL42" s="2" t="s">
        <v>410</v>
      </c>
      <c r="BM42" s="7"/>
      <c r="BN42" s="7"/>
      <c r="BO42" s="4"/>
      <c r="BP42" s="8"/>
      <c r="BQ42" s="4"/>
      <c r="BR42" s="8"/>
      <c r="BS42" s="7"/>
      <c r="BT42" s="7"/>
      <c r="BU42" s="2" t="s">
        <v>411</v>
      </c>
      <c r="BV42" s="2" t="s">
        <v>206</v>
      </c>
      <c r="BW42" s="2" t="s">
        <v>206</v>
      </c>
      <c r="BX42" s="2" t="s">
        <v>214</v>
      </c>
      <c r="BY42" s="2" t="s">
        <v>215</v>
      </c>
      <c r="BZ42" s="2" t="s">
        <v>203</v>
      </c>
      <c r="CA42" s="2" t="s">
        <v>216</v>
      </c>
      <c r="CB42" s="2" t="s">
        <v>347</v>
      </c>
      <c r="CC42" s="2" t="s">
        <v>218</v>
      </c>
      <c r="CD42" s="2" t="s">
        <v>206</v>
      </c>
      <c r="CE42" s="4">
        <v>114</v>
      </c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>
        <v>40</v>
      </c>
      <c r="DB42" s="4"/>
      <c r="DC42" s="4"/>
      <c r="DD42" s="4"/>
      <c r="DE42" s="4"/>
      <c r="DF42" s="4"/>
      <c r="DG42" s="4"/>
      <c r="DH42" s="4"/>
      <c r="DI42" s="4">
        <v>50</v>
      </c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</row>
    <row r="43">
      <c r="A43" s="2" t="s">
        <v>412</v>
      </c>
      <c r="B43" s="2" t="s">
        <v>225</v>
      </c>
      <c r="C43" s="2" t="s">
        <v>287</v>
      </c>
      <c r="D43" s="2" t="s">
        <v>227</v>
      </c>
      <c r="E43" s="2" t="s">
        <v>228</v>
      </c>
      <c r="F43" s="2" t="s">
        <v>288</v>
      </c>
      <c r="G43" s="2" t="s">
        <v>288</v>
      </c>
      <c r="H43" s="2" t="s">
        <v>288</v>
      </c>
      <c r="I43" s="2" t="s">
        <v>289</v>
      </c>
      <c r="J43" s="2" t="s">
        <v>201</v>
      </c>
      <c r="K43" s="2" t="s">
        <v>202</v>
      </c>
      <c r="L43" s="3">
        <v>13.44</v>
      </c>
      <c r="M43" s="3">
        <v>14.11</v>
      </c>
      <c r="N43" s="3">
        <v>27.99</v>
      </c>
      <c r="O43" s="2" t="s">
        <v>203</v>
      </c>
      <c r="P43" s="2" t="s">
        <v>204</v>
      </c>
      <c r="Q43" s="2" t="s">
        <v>205</v>
      </c>
      <c r="R43" s="2" t="s">
        <v>206</v>
      </c>
      <c r="S43" s="2" t="s">
        <v>413</v>
      </c>
      <c r="T43" s="2" t="s">
        <v>292</v>
      </c>
      <c r="U43" s="2" t="s">
        <v>206</v>
      </c>
      <c r="V43" s="2" t="s">
        <v>209</v>
      </c>
      <c r="W43" s="2" t="s">
        <v>210</v>
      </c>
      <c r="X43" s="2" t="s">
        <v>206</v>
      </c>
      <c r="Y43" s="2" t="s">
        <v>211</v>
      </c>
      <c r="Z43" s="4">
        <v>171</v>
      </c>
      <c r="AA43" s="4">
        <f>=ROUNDDOWN(42.75,0)</f>
      </c>
      <c r="AB43" s="5">
        <v>4</v>
      </c>
      <c r="AC43" s="2" t="s">
        <v>206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206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206</v>
      </c>
      <c r="AW43" s="8" t="s">
        <v>206</v>
      </c>
      <c r="AX43" s="4" t="s">
        <v>206</v>
      </c>
      <c r="AY43" s="8" t="s">
        <v>206</v>
      </c>
      <c r="AZ43" s="7" t="s">
        <v>206</v>
      </c>
      <c r="BA43" s="7" t="s">
        <v>206</v>
      </c>
      <c r="BB43" s="7"/>
      <c r="BC43" s="4" t="s">
        <v>206</v>
      </c>
      <c r="BD43" s="8" t="s">
        <v>206</v>
      </c>
      <c r="BE43" s="4" t="s">
        <v>206</v>
      </c>
      <c r="BF43" s="8" t="s">
        <v>206</v>
      </c>
      <c r="BG43" s="7" t="s">
        <v>206</v>
      </c>
      <c r="BH43" s="7" t="s">
        <v>206</v>
      </c>
      <c r="BI43" s="7"/>
      <c r="BJ43" s="4">
        <v>14</v>
      </c>
      <c r="BK43" s="8">
        <v>194.97</v>
      </c>
      <c r="BL43" s="2" t="s">
        <v>414</v>
      </c>
      <c r="BM43" s="7"/>
      <c r="BN43" s="7"/>
      <c r="BO43" s="4"/>
      <c r="BP43" s="8"/>
      <c r="BQ43" s="4"/>
      <c r="BR43" s="8"/>
      <c r="BS43" s="7"/>
      <c r="BT43" s="7"/>
      <c r="BU43" s="2" t="s">
        <v>415</v>
      </c>
      <c r="BV43" s="2" t="s">
        <v>206</v>
      </c>
      <c r="BW43" s="2" t="s">
        <v>206</v>
      </c>
      <c r="BX43" s="2" t="s">
        <v>214</v>
      </c>
      <c r="BY43" s="2" t="s">
        <v>215</v>
      </c>
      <c r="BZ43" s="2" t="s">
        <v>203</v>
      </c>
      <c r="CA43" s="2" t="s">
        <v>216</v>
      </c>
      <c r="CB43" s="2" t="s">
        <v>416</v>
      </c>
      <c r="CC43" s="2" t="s">
        <v>218</v>
      </c>
      <c r="CD43" s="2" t="s">
        <v>206</v>
      </c>
      <c r="CE43" s="4">
        <v>171</v>
      </c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</row>
    <row r="44">
      <c r="A44" s="2" t="s">
        <v>417</v>
      </c>
      <c r="B44" s="2" t="s">
        <v>225</v>
      </c>
      <c r="C44" s="2" t="s">
        <v>287</v>
      </c>
      <c r="D44" s="2" t="s">
        <v>227</v>
      </c>
      <c r="E44" s="2" t="s">
        <v>228</v>
      </c>
      <c r="F44" s="2" t="s">
        <v>288</v>
      </c>
      <c r="G44" s="2" t="s">
        <v>288</v>
      </c>
      <c r="H44" s="2" t="s">
        <v>288</v>
      </c>
      <c r="I44" s="2" t="s">
        <v>289</v>
      </c>
      <c r="J44" s="2" t="s">
        <v>310</v>
      </c>
      <c r="K44" s="2" t="s">
        <v>202</v>
      </c>
      <c r="L44" s="3">
        <v>21.5</v>
      </c>
      <c r="M44" s="3">
        <v>22.58</v>
      </c>
      <c r="N44" s="3">
        <v>42.99</v>
      </c>
      <c r="O44" s="2" t="s">
        <v>203</v>
      </c>
      <c r="P44" s="2" t="s">
        <v>204</v>
      </c>
      <c r="Q44" s="2" t="s">
        <v>205</v>
      </c>
      <c r="R44" s="2" t="s">
        <v>206</v>
      </c>
      <c r="S44" s="2" t="s">
        <v>413</v>
      </c>
      <c r="T44" s="2" t="s">
        <v>292</v>
      </c>
      <c r="U44" s="2" t="s">
        <v>206</v>
      </c>
      <c r="V44" s="2" t="s">
        <v>209</v>
      </c>
      <c r="W44" s="2" t="s">
        <v>210</v>
      </c>
      <c r="X44" s="2" t="s">
        <v>206</v>
      </c>
      <c r="Y44" s="2" t="s">
        <v>211</v>
      </c>
      <c r="Z44" s="4">
        <v>84</v>
      </c>
      <c r="AA44" s="4">
        <f>=ROUNDDOWN(35,0)</f>
      </c>
      <c r="AB44" s="5">
        <v>2.4</v>
      </c>
      <c r="AC44" s="2" t="s">
        <v>206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206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206</v>
      </c>
      <c r="AW44" s="8" t="s">
        <v>206</v>
      </c>
      <c r="AX44" s="4" t="s">
        <v>206</v>
      </c>
      <c r="AY44" s="8" t="s">
        <v>206</v>
      </c>
      <c r="AZ44" s="7" t="s">
        <v>206</v>
      </c>
      <c r="BA44" s="7" t="s">
        <v>206</v>
      </c>
      <c r="BB44" s="7"/>
      <c r="BC44" s="4" t="s">
        <v>206</v>
      </c>
      <c r="BD44" s="8" t="s">
        <v>206</v>
      </c>
      <c r="BE44" s="4" t="s">
        <v>206</v>
      </c>
      <c r="BF44" s="8" t="s">
        <v>206</v>
      </c>
      <c r="BG44" s="7" t="s">
        <v>206</v>
      </c>
      <c r="BH44" s="7" t="s">
        <v>206</v>
      </c>
      <c r="BI44" s="7"/>
      <c r="BJ44" s="4">
        <v>10</v>
      </c>
      <c r="BK44" s="8">
        <v>223.49</v>
      </c>
      <c r="BL44" s="2" t="s">
        <v>414</v>
      </c>
      <c r="BM44" s="7"/>
      <c r="BN44" s="7"/>
      <c r="BO44" s="4"/>
      <c r="BP44" s="8"/>
      <c r="BQ44" s="4"/>
      <c r="BR44" s="8"/>
      <c r="BS44" s="7"/>
      <c r="BT44" s="7"/>
      <c r="BU44" s="2" t="s">
        <v>418</v>
      </c>
      <c r="BV44" s="2" t="s">
        <v>206</v>
      </c>
      <c r="BW44" s="2" t="s">
        <v>206</v>
      </c>
      <c r="BX44" s="2" t="s">
        <v>214</v>
      </c>
      <c r="BY44" s="2" t="s">
        <v>215</v>
      </c>
      <c r="BZ44" s="2" t="s">
        <v>203</v>
      </c>
      <c r="CA44" s="2" t="s">
        <v>216</v>
      </c>
      <c r="CB44" s="2" t="s">
        <v>419</v>
      </c>
      <c r="CC44" s="2" t="s">
        <v>218</v>
      </c>
      <c r="CD44" s="2" t="s">
        <v>206</v>
      </c>
      <c r="CE44" s="4">
        <v>84</v>
      </c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</row>
    <row r="45">
      <c r="A45" s="2" t="s">
        <v>420</v>
      </c>
      <c r="B45" s="2" t="s">
        <v>195</v>
      </c>
      <c r="C45" s="2" t="s">
        <v>196</v>
      </c>
      <c r="D45" s="2" t="s">
        <v>197</v>
      </c>
      <c r="E45" s="2" t="s">
        <v>198</v>
      </c>
      <c r="F45" s="2" t="s">
        <v>421</v>
      </c>
      <c r="G45" s="2" t="s">
        <v>421</v>
      </c>
      <c r="H45" s="2" t="s">
        <v>421</v>
      </c>
      <c r="I45" s="2" t="s">
        <v>422</v>
      </c>
      <c r="J45" s="2" t="s">
        <v>201</v>
      </c>
      <c r="K45" s="2" t="s">
        <v>202</v>
      </c>
      <c r="L45" s="3">
        <v>73.14</v>
      </c>
      <c r="M45" s="3">
        <v>76.8</v>
      </c>
      <c r="N45" s="3">
        <v>139.99</v>
      </c>
      <c r="O45" s="2" t="s">
        <v>203</v>
      </c>
      <c r="P45" s="2" t="s">
        <v>204</v>
      </c>
      <c r="Q45" s="2" t="s">
        <v>205</v>
      </c>
      <c r="R45" s="2" t="s">
        <v>206</v>
      </c>
      <c r="S45" s="2" t="s">
        <v>423</v>
      </c>
      <c r="T45" s="2" t="s">
        <v>208</v>
      </c>
      <c r="U45" s="2" t="s">
        <v>206</v>
      </c>
      <c r="V45" s="2" t="s">
        <v>209</v>
      </c>
      <c r="W45" s="2" t="s">
        <v>210</v>
      </c>
      <c r="X45" s="2" t="s">
        <v>206</v>
      </c>
      <c r="Y45" s="2" t="s">
        <v>211</v>
      </c>
      <c r="Z45" s="4">
        <v>235</v>
      </c>
      <c r="AA45" s="4">
        <f>=ROUNDDOWN(47,0)</f>
      </c>
      <c r="AB45" s="5">
        <v>5</v>
      </c>
      <c r="AC45" s="2" t="s">
        <v>206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206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>
        <v>9</v>
      </c>
      <c r="BK45" s="8">
        <v>697.32</v>
      </c>
      <c r="BL45" s="2" t="s">
        <v>424</v>
      </c>
      <c r="BM45" s="7"/>
      <c r="BN45" s="7"/>
      <c r="BO45" s="4"/>
      <c r="BP45" s="8"/>
      <c r="BQ45" s="4"/>
      <c r="BR45" s="8"/>
      <c r="BS45" s="7"/>
      <c r="BT45" s="7"/>
      <c r="BU45" s="2" t="s">
        <v>425</v>
      </c>
      <c r="BV45" s="2" t="s">
        <v>206</v>
      </c>
      <c r="BW45" s="2" t="s">
        <v>206</v>
      </c>
      <c r="BX45" s="2" t="s">
        <v>426</v>
      </c>
      <c r="BY45" s="2" t="s">
        <v>215</v>
      </c>
      <c r="BZ45" s="2" t="s">
        <v>203</v>
      </c>
      <c r="CA45" s="2" t="s">
        <v>266</v>
      </c>
      <c r="CB45" s="2" t="s">
        <v>427</v>
      </c>
      <c r="CC45" s="2" t="s">
        <v>218</v>
      </c>
      <c r="CD45" s="2" t="s">
        <v>206</v>
      </c>
      <c r="CE45" s="4">
        <v>235</v>
      </c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</row>
    <row r="46">
      <c r="A46" s="2" t="s">
        <v>428</v>
      </c>
      <c r="B46" s="2" t="s">
        <v>429</v>
      </c>
      <c r="C46" s="2" t="s">
        <v>287</v>
      </c>
      <c r="D46" s="2" t="s">
        <v>430</v>
      </c>
      <c r="E46" s="2" t="s">
        <v>431</v>
      </c>
      <c r="F46" s="2" t="s">
        <v>432</v>
      </c>
      <c r="G46" s="2" t="s">
        <v>432</v>
      </c>
      <c r="H46" s="2" t="s">
        <v>432</v>
      </c>
      <c r="I46" s="2" t="s">
        <v>433</v>
      </c>
      <c r="J46" s="2" t="s">
        <v>434</v>
      </c>
      <c r="K46" s="2" t="s">
        <v>435</v>
      </c>
      <c r="L46" s="3">
        <v>42.43</v>
      </c>
      <c r="M46" s="3">
        <v>44.55</v>
      </c>
      <c r="N46" s="3">
        <v>89.99</v>
      </c>
      <c r="O46" s="2" t="s">
        <v>203</v>
      </c>
      <c r="P46" s="2" t="s">
        <v>204</v>
      </c>
      <c r="Q46" s="2" t="s">
        <v>205</v>
      </c>
      <c r="R46" s="2" t="s">
        <v>206</v>
      </c>
      <c r="S46" s="2" t="s">
        <v>436</v>
      </c>
      <c r="T46" s="2" t="s">
        <v>206</v>
      </c>
      <c r="U46" s="2" t="s">
        <v>437</v>
      </c>
      <c r="V46" s="2" t="s">
        <v>438</v>
      </c>
      <c r="W46" s="2" t="s">
        <v>439</v>
      </c>
      <c r="X46" s="2" t="s">
        <v>206</v>
      </c>
      <c r="Y46" s="2" t="s">
        <v>440</v>
      </c>
      <c r="Z46" s="4">
        <v>26</v>
      </c>
      <c r="AA46" s="4">
        <f>=ROUNDDOWN(4.33333333333333,0)</f>
      </c>
      <c r="AB46" s="5">
        <v>6</v>
      </c>
      <c r="AC46" s="2" t="s">
        <v>441</v>
      </c>
      <c r="AD46" s="4">
        <v>100</v>
      </c>
      <c r="AE46" s="4">
        <v>100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206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>
        <v>39</v>
      </c>
      <c r="BK46" s="8">
        <v>1780.11</v>
      </c>
      <c r="BL46" s="2" t="s">
        <v>442</v>
      </c>
      <c r="BM46" s="7"/>
      <c r="BN46" s="7"/>
      <c r="BO46" s="4"/>
      <c r="BP46" s="8"/>
      <c r="BQ46" s="4"/>
      <c r="BR46" s="8"/>
      <c r="BS46" s="7"/>
      <c r="BT46" s="7"/>
      <c r="BU46" s="2" t="s">
        <v>443</v>
      </c>
      <c r="BV46" s="2" t="s">
        <v>206</v>
      </c>
      <c r="BW46" s="2" t="s">
        <v>206</v>
      </c>
      <c r="BX46" s="2" t="s">
        <v>214</v>
      </c>
      <c r="BY46" s="2" t="s">
        <v>215</v>
      </c>
      <c r="BZ46" s="2" t="s">
        <v>203</v>
      </c>
      <c r="CA46" s="2" t="s">
        <v>444</v>
      </c>
      <c r="CB46" s="2" t="s">
        <v>445</v>
      </c>
      <c r="CC46" s="2" t="s">
        <v>218</v>
      </c>
      <c r="CD46" s="2" t="s">
        <v>206</v>
      </c>
      <c r="CE46" s="4"/>
      <c r="CF46" s="4">
        <v>26</v>
      </c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>
        <v>100</v>
      </c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</row>
    <row r="47">
      <c r="A47" s="2" t="s">
        <v>446</v>
      </c>
      <c r="B47" s="2" t="s">
        <v>429</v>
      </c>
      <c r="C47" s="2" t="s">
        <v>447</v>
      </c>
      <c r="D47" s="2" t="s">
        <v>430</v>
      </c>
      <c r="E47" s="2" t="s">
        <v>431</v>
      </c>
      <c r="F47" s="2" t="s">
        <v>448</v>
      </c>
      <c r="G47" s="2" t="s">
        <v>448</v>
      </c>
      <c r="H47" s="2" t="s">
        <v>448</v>
      </c>
      <c r="I47" s="2" t="s">
        <v>449</v>
      </c>
      <c r="J47" s="2" t="s">
        <v>434</v>
      </c>
      <c r="K47" s="2" t="s">
        <v>450</v>
      </c>
      <c r="L47" s="3">
        <v>15.17</v>
      </c>
      <c r="M47" s="3">
        <v>15.93</v>
      </c>
      <c r="N47" s="3">
        <v>38.24</v>
      </c>
      <c r="O47" s="2" t="s">
        <v>203</v>
      </c>
      <c r="P47" s="2" t="s">
        <v>204</v>
      </c>
      <c r="Q47" s="2" t="s">
        <v>205</v>
      </c>
      <c r="R47" s="2" t="s">
        <v>206</v>
      </c>
      <c r="S47" s="2" t="s">
        <v>451</v>
      </c>
      <c r="T47" s="2" t="s">
        <v>206</v>
      </c>
      <c r="U47" s="2" t="s">
        <v>437</v>
      </c>
      <c r="V47" s="2" t="s">
        <v>452</v>
      </c>
      <c r="W47" s="2" t="s">
        <v>453</v>
      </c>
      <c r="X47" s="2" t="s">
        <v>454</v>
      </c>
      <c r="Y47" s="2" t="s">
        <v>455</v>
      </c>
      <c r="Z47" s="4">
        <v>214</v>
      </c>
      <c r="AA47" s="4">
        <f>=ROUNDDOWN(17.8333333333333,0)</f>
      </c>
      <c r="AB47" s="5">
        <v>12</v>
      </c>
      <c r="AC47" s="2" t="s">
        <v>441</v>
      </c>
      <c r="AD47" s="4">
        <v>100</v>
      </c>
      <c r="AE47" s="4">
        <v>100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206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52</v>
      </c>
      <c r="BK47" s="8">
        <v>1008.9</v>
      </c>
      <c r="BL47" s="2" t="s">
        <v>456</v>
      </c>
      <c r="BM47" s="7"/>
      <c r="BN47" s="7"/>
      <c r="BO47" s="4"/>
      <c r="BP47" s="8"/>
      <c r="BQ47" s="4"/>
      <c r="BR47" s="8"/>
      <c r="BS47" s="7"/>
      <c r="BT47" s="7"/>
      <c r="BU47" s="2" t="s">
        <v>457</v>
      </c>
      <c r="BV47" s="2" t="s">
        <v>206</v>
      </c>
      <c r="BW47" s="2" t="s">
        <v>206</v>
      </c>
      <c r="BX47" s="2" t="s">
        <v>214</v>
      </c>
      <c r="BY47" s="2" t="s">
        <v>215</v>
      </c>
      <c r="BZ47" s="2" t="s">
        <v>203</v>
      </c>
      <c r="CA47" s="2" t="s">
        <v>458</v>
      </c>
      <c r="CB47" s="2" t="s">
        <v>459</v>
      </c>
      <c r="CC47" s="2" t="s">
        <v>218</v>
      </c>
      <c r="CD47" s="2" t="s">
        <v>206</v>
      </c>
      <c r="CE47" s="4"/>
      <c r="CF47" s="4">
        <v>214</v>
      </c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>
        <v>100</v>
      </c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</row>
    <row r="48">
      <c r="A48" s="2" t="s">
        <v>460</v>
      </c>
      <c r="B48" s="2" t="s">
        <v>461</v>
      </c>
      <c r="C48" s="2" t="s">
        <v>462</v>
      </c>
      <c r="D48" s="2" t="s">
        <v>463</v>
      </c>
      <c r="E48" s="2" t="s">
        <v>464</v>
      </c>
      <c r="F48" s="2" t="s">
        <v>465</v>
      </c>
      <c r="G48" s="2" t="s">
        <v>465</v>
      </c>
      <c r="H48" s="2" t="s">
        <v>465</v>
      </c>
      <c r="I48" s="2" t="s">
        <v>466</v>
      </c>
      <c r="J48" s="2" t="s">
        <v>434</v>
      </c>
      <c r="K48" s="2" t="s">
        <v>336</v>
      </c>
      <c r="L48" s="3">
        <v>85.5</v>
      </c>
      <c r="M48" s="3">
        <v>89.78</v>
      </c>
      <c r="N48" s="3">
        <v>179</v>
      </c>
      <c r="O48" s="2" t="s">
        <v>203</v>
      </c>
      <c r="P48" s="2" t="s">
        <v>467</v>
      </c>
      <c r="Q48" s="2" t="s">
        <v>205</v>
      </c>
      <c r="R48" s="2" t="s">
        <v>206</v>
      </c>
      <c r="S48" s="2" t="s">
        <v>206</v>
      </c>
      <c r="T48" s="2" t="s">
        <v>206</v>
      </c>
      <c r="U48" s="2" t="s">
        <v>437</v>
      </c>
      <c r="V48" s="2" t="s">
        <v>468</v>
      </c>
      <c r="W48" s="2" t="s">
        <v>439</v>
      </c>
      <c r="X48" s="2" t="s">
        <v>206</v>
      </c>
      <c r="Y48" s="2" t="s">
        <v>469</v>
      </c>
      <c r="Z48" s="4">
        <v>103</v>
      </c>
      <c r="AA48" s="4">
        <f>=ROUNDDOWN(34.3333333333333,0)</f>
      </c>
      <c r="AB48" s="5">
        <v>3</v>
      </c>
      <c r="AC48" s="2" t="s">
        <v>120</v>
      </c>
      <c r="AD48" s="4">
        <v>130</v>
      </c>
      <c r="AE48" s="4">
        <v>130</v>
      </c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206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>
        <v>7</v>
      </c>
      <c r="BK48" s="8">
        <v>685.88</v>
      </c>
      <c r="BL48" s="2" t="s">
        <v>470</v>
      </c>
      <c r="BM48" s="7"/>
      <c r="BN48" s="7"/>
      <c r="BO48" s="4"/>
      <c r="BP48" s="8"/>
      <c r="BQ48" s="4"/>
      <c r="BR48" s="8"/>
      <c r="BS48" s="7"/>
      <c r="BT48" s="7"/>
      <c r="BU48" s="2" t="s">
        <v>471</v>
      </c>
      <c r="BV48" s="2" t="s">
        <v>206</v>
      </c>
      <c r="BW48" s="2" t="s">
        <v>206</v>
      </c>
      <c r="BX48" s="2" t="s">
        <v>214</v>
      </c>
      <c r="BY48" s="2" t="s">
        <v>215</v>
      </c>
      <c r="BZ48" s="2" t="s">
        <v>203</v>
      </c>
      <c r="CA48" s="2" t="s">
        <v>472</v>
      </c>
      <c r="CB48" s="2" t="s">
        <v>473</v>
      </c>
      <c r="CC48" s="2" t="s">
        <v>218</v>
      </c>
      <c r="CD48" s="2" t="s">
        <v>206</v>
      </c>
      <c r="CE48" s="4"/>
      <c r="CF48" s="4">
        <v>103</v>
      </c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>
        <v>130</v>
      </c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</row>
    <row r="49">
      <c r="A49" s="2" t="s">
        <v>474</v>
      </c>
      <c r="B49" s="2" t="s">
        <v>475</v>
      </c>
      <c r="C49" s="2" t="s">
        <v>226</v>
      </c>
      <c r="D49" s="2" t="s">
        <v>476</v>
      </c>
      <c r="E49" s="2" t="s">
        <v>477</v>
      </c>
      <c r="F49" s="2" t="s">
        <v>478</v>
      </c>
      <c r="G49" s="2" t="s">
        <v>479</v>
      </c>
      <c r="H49" s="2" t="s">
        <v>480</v>
      </c>
      <c r="I49" s="2" t="s">
        <v>481</v>
      </c>
      <c r="J49" s="2" t="s">
        <v>482</v>
      </c>
      <c r="K49" s="2" t="s">
        <v>483</v>
      </c>
      <c r="L49" s="3">
        <v>18.4</v>
      </c>
      <c r="M49" s="3">
        <v>19.32</v>
      </c>
      <c r="N49" s="3">
        <v>39.99</v>
      </c>
      <c r="O49" s="2" t="s">
        <v>203</v>
      </c>
      <c r="P49" s="2" t="s">
        <v>204</v>
      </c>
      <c r="Q49" s="2" t="s">
        <v>205</v>
      </c>
      <c r="R49" s="2" t="s">
        <v>206</v>
      </c>
      <c r="S49" s="2" t="s">
        <v>484</v>
      </c>
      <c r="T49" s="2" t="s">
        <v>234</v>
      </c>
      <c r="U49" s="2" t="s">
        <v>485</v>
      </c>
      <c r="V49" s="2" t="s">
        <v>209</v>
      </c>
      <c r="W49" s="2" t="s">
        <v>210</v>
      </c>
      <c r="X49" s="2" t="s">
        <v>206</v>
      </c>
      <c r="Y49" s="2" t="s">
        <v>486</v>
      </c>
      <c r="Z49" s="4">
        <v>8</v>
      </c>
      <c r="AA49" s="4">
        <f>=ROUNDDOWN(0.275862068965517,0)</f>
      </c>
      <c r="AB49" s="5">
        <v>29</v>
      </c>
      <c r="AC49" s="2" t="s">
        <v>128</v>
      </c>
      <c r="AD49" s="4">
        <v>614</v>
      </c>
      <c r="AE49" s="4">
        <v>1234</v>
      </c>
      <c r="AF49" s="6">
        <v>73</v>
      </c>
      <c r="AG49" s="6"/>
      <c r="AH49" s="7">
        <v>0.2581</v>
      </c>
      <c r="AI49" s="4"/>
      <c r="AJ49" s="4">
        <f>=ROUNDDOWN({0},0)</f>
      </c>
      <c r="AK49" s="5"/>
      <c r="AL49" s="2" t="s">
        <v>206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206</v>
      </c>
      <c r="BD49" s="8" t="s">
        <v>206</v>
      </c>
      <c r="BE49" s="4" t="s">
        <v>206</v>
      </c>
      <c r="BF49" s="8" t="s">
        <v>206</v>
      </c>
      <c r="BG49" s="7" t="s">
        <v>206</v>
      </c>
      <c r="BH49" s="7" t="s">
        <v>206</v>
      </c>
      <c r="BI49" s="7"/>
      <c r="BJ49" s="4">
        <v>51</v>
      </c>
      <c r="BK49" s="8">
        <v>1009.02</v>
      </c>
      <c r="BL49" s="2" t="s">
        <v>487</v>
      </c>
      <c r="BM49" s="7"/>
      <c r="BN49" s="7"/>
      <c r="BO49" s="4"/>
      <c r="BP49" s="8"/>
      <c r="BQ49" s="4"/>
      <c r="BR49" s="8"/>
      <c r="BS49" s="7"/>
      <c r="BT49" s="7"/>
      <c r="BU49" s="2" t="s">
        <v>488</v>
      </c>
      <c r="BV49" s="2" t="s">
        <v>206</v>
      </c>
      <c r="BW49" s="2" t="s">
        <v>206</v>
      </c>
      <c r="BX49" s="2" t="s">
        <v>214</v>
      </c>
      <c r="BY49" s="2" t="s">
        <v>215</v>
      </c>
      <c r="BZ49" s="2" t="s">
        <v>203</v>
      </c>
      <c r="CA49" s="2" t="s">
        <v>240</v>
      </c>
      <c r="CB49" s="2" t="s">
        <v>489</v>
      </c>
      <c r="CC49" s="2" t="s">
        <v>218</v>
      </c>
      <c r="CD49" s="2" t="s">
        <v>206</v>
      </c>
      <c r="CE49" s="4">
        <v>8</v>
      </c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>
        <v>614</v>
      </c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>
        <v>310</v>
      </c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>
        <v>310</v>
      </c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</row>
    <row r="50">
      <c r="A50" s="2" t="s">
        <v>490</v>
      </c>
      <c r="B50" s="2" t="s">
        <v>475</v>
      </c>
      <c r="C50" s="2" t="s">
        <v>226</v>
      </c>
      <c r="D50" s="2" t="s">
        <v>476</v>
      </c>
      <c r="E50" s="2" t="s">
        <v>477</v>
      </c>
      <c r="F50" s="2" t="s">
        <v>478</v>
      </c>
      <c r="G50" s="2" t="s">
        <v>479</v>
      </c>
      <c r="H50" s="2" t="s">
        <v>480</v>
      </c>
      <c r="I50" s="2" t="s">
        <v>481</v>
      </c>
      <c r="J50" s="2" t="s">
        <v>482</v>
      </c>
      <c r="K50" s="2" t="s">
        <v>491</v>
      </c>
      <c r="L50" s="3">
        <v>18.4</v>
      </c>
      <c r="M50" s="3">
        <v>19.32</v>
      </c>
      <c r="N50" s="3">
        <v>39.99</v>
      </c>
      <c r="O50" s="2" t="s">
        <v>203</v>
      </c>
      <c r="P50" s="2" t="s">
        <v>492</v>
      </c>
      <c r="Q50" s="2" t="s">
        <v>205</v>
      </c>
      <c r="R50" s="2" t="s">
        <v>206</v>
      </c>
      <c r="S50" s="2" t="s">
        <v>206</v>
      </c>
      <c r="T50" s="2" t="s">
        <v>206</v>
      </c>
      <c r="U50" s="2" t="s">
        <v>485</v>
      </c>
      <c r="V50" s="2" t="s">
        <v>209</v>
      </c>
      <c r="W50" s="2" t="s">
        <v>210</v>
      </c>
      <c r="X50" s="2" t="s">
        <v>206</v>
      </c>
      <c r="Y50" s="2" t="s">
        <v>493</v>
      </c>
      <c r="Z50" s="4">
        <v>632</v>
      </c>
      <c r="AA50" s="4">
        <f>=ROUNDDOWN(10.8965517241379,0)</f>
      </c>
      <c r="AB50" s="5">
        <v>58</v>
      </c>
      <c r="AC50" s="2" t="s">
        <v>124</v>
      </c>
      <c r="AD50" s="4">
        <v>1216</v>
      </c>
      <c r="AE50" s="4">
        <v>2456</v>
      </c>
      <c r="AF50" s="6">
        <v>73</v>
      </c>
      <c r="AG50" s="6"/>
      <c r="AH50" s="7">
        <v>0.9032</v>
      </c>
      <c r="AI50" s="4"/>
      <c r="AJ50" s="4">
        <f>=ROUNDDOWN({0},0)</f>
      </c>
      <c r="AK50" s="5"/>
      <c r="AL50" s="2" t="s">
        <v>206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206</v>
      </c>
      <c r="BD50" s="8" t="s">
        <v>206</v>
      </c>
      <c r="BE50" s="4" t="s">
        <v>206</v>
      </c>
      <c r="BF50" s="8" t="s">
        <v>206</v>
      </c>
      <c r="BG50" s="7" t="s">
        <v>206</v>
      </c>
      <c r="BH50" s="7" t="s">
        <v>206</v>
      </c>
      <c r="BI50" s="7"/>
      <c r="BJ50" s="4">
        <v>173</v>
      </c>
      <c r="BK50" s="8">
        <v>3183.27</v>
      </c>
      <c r="BL50" s="2" t="s">
        <v>494</v>
      </c>
      <c r="BM50" s="7"/>
      <c r="BN50" s="7"/>
      <c r="BO50" s="4"/>
      <c r="BP50" s="8"/>
      <c r="BQ50" s="4"/>
      <c r="BR50" s="8"/>
      <c r="BS50" s="7"/>
      <c r="BT50" s="7"/>
      <c r="BU50" s="2" t="s">
        <v>495</v>
      </c>
      <c r="BV50" s="2" t="s">
        <v>206</v>
      </c>
      <c r="BW50" s="2" t="s">
        <v>206</v>
      </c>
      <c r="BX50" s="2" t="s">
        <v>214</v>
      </c>
      <c r="BY50" s="2" t="s">
        <v>215</v>
      </c>
      <c r="BZ50" s="2" t="s">
        <v>203</v>
      </c>
      <c r="CA50" s="2" t="s">
        <v>496</v>
      </c>
      <c r="CB50" s="2" t="s">
        <v>497</v>
      </c>
      <c r="CC50" s="2" t="s">
        <v>218</v>
      </c>
      <c r="CD50" s="2" t="s">
        <v>206</v>
      </c>
      <c r="CE50" s="4">
        <v>632</v>
      </c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>
        <v>1216</v>
      </c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>
        <v>620</v>
      </c>
      <c r="EI50" s="4"/>
      <c r="EJ50" s="4"/>
      <c r="EK50" s="4"/>
      <c r="EL50" s="4"/>
      <c r="EM50" s="4">
        <v>620</v>
      </c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</row>
    <row r="51">
      <c r="A51" s="2" t="s">
        <v>498</v>
      </c>
      <c r="B51" s="2" t="s">
        <v>475</v>
      </c>
      <c r="C51" s="2" t="s">
        <v>226</v>
      </c>
      <c r="D51" s="2" t="s">
        <v>476</v>
      </c>
      <c r="E51" s="2" t="s">
        <v>477</v>
      </c>
      <c r="F51" s="2" t="s">
        <v>478</v>
      </c>
      <c r="G51" s="2" t="s">
        <v>479</v>
      </c>
      <c r="H51" s="2" t="s">
        <v>480</v>
      </c>
      <c r="I51" s="2" t="s">
        <v>481</v>
      </c>
      <c r="J51" s="2" t="s">
        <v>482</v>
      </c>
      <c r="K51" s="2" t="s">
        <v>499</v>
      </c>
      <c r="L51" s="3">
        <v>18.4</v>
      </c>
      <c r="M51" s="3">
        <v>19.32</v>
      </c>
      <c r="N51" s="3">
        <v>39.99</v>
      </c>
      <c r="O51" s="2" t="s">
        <v>203</v>
      </c>
      <c r="P51" s="2" t="s">
        <v>204</v>
      </c>
      <c r="Q51" s="2" t="s">
        <v>205</v>
      </c>
      <c r="R51" s="2" t="s">
        <v>206</v>
      </c>
      <c r="S51" s="2" t="s">
        <v>500</v>
      </c>
      <c r="T51" s="2" t="s">
        <v>234</v>
      </c>
      <c r="U51" s="2" t="s">
        <v>485</v>
      </c>
      <c r="V51" s="2" t="s">
        <v>209</v>
      </c>
      <c r="W51" s="2" t="s">
        <v>210</v>
      </c>
      <c r="X51" s="2" t="s">
        <v>206</v>
      </c>
      <c r="Y51" s="2" t="s">
        <v>501</v>
      </c>
      <c r="Z51" s="4">
        <v>450</v>
      </c>
      <c r="AA51" s="4">
        <f>=ROUNDDOWN(13.2352941176471,0)</f>
      </c>
      <c r="AB51" s="5">
        <v>34</v>
      </c>
      <c r="AC51" s="2" t="s">
        <v>124</v>
      </c>
      <c r="AD51" s="4">
        <v>920</v>
      </c>
      <c r="AE51" s="4">
        <v>1540</v>
      </c>
      <c r="AF51" s="6">
        <v>73</v>
      </c>
      <c r="AG51" s="6"/>
      <c r="AH51" s="7">
        <v>1</v>
      </c>
      <c r="AI51" s="4"/>
      <c r="AJ51" s="4">
        <f>=ROUNDDOWN({0},0)</f>
      </c>
      <c r="AK51" s="5"/>
      <c r="AL51" s="2" t="s">
        <v>206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206</v>
      </c>
      <c r="BD51" s="8" t="s">
        <v>206</v>
      </c>
      <c r="BE51" s="4" t="s">
        <v>206</v>
      </c>
      <c r="BF51" s="8" t="s">
        <v>206</v>
      </c>
      <c r="BG51" s="7" t="s">
        <v>206</v>
      </c>
      <c r="BH51" s="7" t="s">
        <v>206</v>
      </c>
      <c r="BI51" s="7"/>
      <c r="BJ51" s="4">
        <v>111</v>
      </c>
      <c r="BK51" s="8">
        <v>2104.57</v>
      </c>
      <c r="BL51" s="2" t="s">
        <v>502</v>
      </c>
      <c r="BM51" s="7"/>
      <c r="BN51" s="7"/>
      <c r="BO51" s="4"/>
      <c r="BP51" s="8"/>
      <c r="BQ51" s="4"/>
      <c r="BR51" s="8"/>
      <c r="BS51" s="7"/>
      <c r="BT51" s="7"/>
      <c r="BU51" s="2" t="s">
        <v>503</v>
      </c>
      <c r="BV51" s="2" t="s">
        <v>206</v>
      </c>
      <c r="BW51" s="2" t="s">
        <v>206</v>
      </c>
      <c r="BX51" s="2" t="s">
        <v>214</v>
      </c>
      <c r="BY51" s="2" t="s">
        <v>215</v>
      </c>
      <c r="BZ51" s="2" t="s">
        <v>203</v>
      </c>
      <c r="CA51" s="2" t="s">
        <v>504</v>
      </c>
      <c r="CB51" s="2" t="s">
        <v>505</v>
      </c>
      <c r="CC51" s="2" t="s">
        <v>218</v>
      </c>
      <c r="CD51" s="2" t="s">
        <v>206</v>
      </c>
      <c r="CE51" s="4">
        <v>450</v>
      </c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>
        <v>920</v>
      </c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>
        <v>310</v>
      </c>
      <c r="EI51" s="4"/>
      <c r="EJ51" s="4"/>
      <c r="EK51" s="4"/>
      <c r="EL51" s="4"/>
      <c r="EM51" s="4">
        <v>310</v>
      </c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</row>
    <row r="52">
      <c r="A52" s="2" t="s">
        <v>506</v>
      </c>
      <c r="B52" s="2" t="s">
        <v>507</v>
      </c>
      <c r="C52" s="2" t="s">
        <v>447</v>
      </c>
      <c r="D52" s="2" t="s">
        <v>508</v>
      </c>
      <c r="E52" s="2" t="s">
        <v>509</v>
      </c>
      <c r="F52" s="2" t="s">
        <v>510</v>
      </c>
      <c r="G52" s="2" t="s">
        <v>510</v>
      </c>
      <c r="H52" s="2" t="s">
        <v>510</v>
      </c>
      <c r="I52" s="2" t="s">
        <v>511</v>
      </c>
      <c r="J52" s="2" t="s">
        <v>434</v>
      </c>
      <c r="K52" s="2" t="s">
        <v>512</v>
      </c>
      <c r="L52" s="3">
        <v>39.85</v>
      </c>
      <c r="M52" s="3">
        <v>41.84</v>
      </c>
      <c r="N52" s="3">
        <v>79.99</v>
      </c>
      <c r="O52" s="2" t="s">
        <v>203</v>
      </c>
      <c r="P52" s="2" t="s">
        <v>204</v>
      </c>
      <c r="Q52" s="2" t="s">
        <v>205</v>
      </c>
      <c r="R52" s="2" t="s">
        <v>206</v>
      </c>
      <c r="S52" s="2" t="s">
        <v>206</v>
      </c>
      <c r="T52" s="2" t="s">
        <v>206</v>
      </c>
      <c r="U52" s="2" t="s">
        <v>437</v>
      </c>
      <c r="V52" s="2" t="s">
        <v>468</v>
      </c>
      <c r="W52" s="2" t="s">
        <v>453</v>
      </c>
      <c r="X52" s="2" t="s">
        <v>454</v>
      </c>
      <c r="Y52" s="2" t="s">
        <v>513</v>
      </c>
      <c r="Z52" s="4">
        <v>10</v>
      </c>
      <c r="AA52" s="4">
        <f>=ROUNDDOWN(3.33333333333333,0)</f>
      </c>
      <c r="AB52" s="5">
        <v>3</v>
      </c>
      <c r="AC52" s="2" t="s">
        <v>514</v>
      </c>
      <c r="AD52" s="4">
        <v>100</v>
      </c>
      <c r="AE52" s="4">
        <v>100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206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>
        <v>3</v>
      </c>
      <c r="BK52" s="8">
        <v>139.75</v>
      </c>
      <c r="BL52" s="2" t="s">
        <v>515</v>
      </c>
      <c r="BM52" s="7"/>
      <c r="BN52" s="7"/>
      <c r="BO52" s="4"/>
      <c r="BP52" s="8"/>
      <c r="BQ52" s="4"/>
      <c r="BR52" s="8"/>
      <c r="BS52" s="7"/>
      <c r="BT52" s="7"/>
      <c r="BU52" s="2" t="s">
        <v>516</v>
      </c>
      <c r="BV52" s="2" t="s">
        <v>206</v>
      </c>
      <c r="BW52" s="2" t="s">
        <v>206</v>
      </c>
      <c r="BX52" s="2" t="s">
        <v>214</v>
      </c>
      <c r="BY52" s="2" t="s">
        <v>215</v>
      </c>
      <c r="BZ52" s="2" t="s">
        <v>203</v>
      </c>
      <c r="CA52" s="2" t="s">
        <v>517</v>
      </c>
      <c r="CB52" s="2" t="s">
        <v>518</v>
      </c>
      <c r="CC52" s="2" t="s">
        <v>218</v>
      </c>
      <c r="CD52" s="2" t="s">
        <v>206</v>
      </c>
      <c r="CE52" s="4"/>
      <c r="CF52" s="4">
        <v>10</v>
      </c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>
        <v>100</v>
      </c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</row>
    <row r="53">
      <c r="A53" s="2" t="s">
        <v>519</v>
      </c>
      <c r="B53" s="2" t="s">
        <v>507</v>
      </c>
      <c r="C53" s="2" t="s">
        <v>462</v>
      </c>
      <c r="D53" s="2" t="s">
        <v>508</v>
      </c>
      <c r="E53" s="2" t="s">
        <v>509</v>
      </c>
      <c r="F53" s="2" t="s">
        <v>520</v>
      </c>
      <c r="G53" s="2" t="s">
        <v>520</v>
      </c>
      <c r="H53" s="2" t="s">
        <v>520</v>
      </c>
      <c r="I53" s="2" t="s">
        <v>521</v>
      </c>
      <c r="J53" s="2" t="s">
        <v>434</v>
      </c>
      <c r="K53" s="2" t="s">
        <v>202</v>
      </c>
      <c r="L53" s="3">
        <v>46.17</v>
      </c>
      <c r="M53" s="3">
        <v>48.48</v>
      </c>
      <c r="N53" s="3">
        <v>104.99</v>
      </c>
      <c r="O53" s="2" t="s">
        <v>203</v>
      </c>
      <c r="P53" s="2" t="s">
        <v>204</v>
      </c>
      <c r="Q53" s="2" t="s">
        <v>205</v>
      </c>
      <c r="R53" s="2" t="s">
        <v>206</v>
      </c>
      <c r="S53" s="2" t="s">
        <v>206</v>
      </c>
      <c r="T53" s="2" t="s">
        <v>206</v>
      </c>
      <c r="U53" s="2" t="s">
        <v>437</v>
      </c>
      <c r="V53" s="2" t="s">
        <v>468</v>
      </c>
      <c r="W53" s="2" t="s">
        <v>439</v>
      </c>
      <c r="X53" s="2" t="s">
        <v>206</v>
      </c>
      <c r="Y53" s="2" t="s">
        <v>522</v>
      </c>
      <c r="Z53" s="4">
        <v>1</v>
      </c>
      <c r="AA53" s="4">
        <f>=ROUNDDOWN(0.344827586206897,0)</f>
      </c>
      <c r="AB53" s="5">
        <v>2.9</v>
      </c>
      <c r="AC53" s="2" t="s">
        <v>514</v>
      </c>
      <c r="AD53" s="4">
        <v>100</v>
      </c>
      <c r="AE53" s="4">
        <v>100</v>
      </c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206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5</v>
      </c>
      <c r="BK53" s="8">
        <v>231.54</v>
      </c>
      <c r="BL53" s="2" t="s">
        <v>523</v>
      </c>
      <c r="BM53" s="7"/>
      <c r="BN53" s="7"/>
      <c r="BO53" s="4"/>
      <c r="BP53" s="8"/>
      <c r="BQ53" s="4"/>
      <c r="BR53" s="8"/>
      <c r="BS53" s="7"/>
      <c r="BT53" s="7"/>
      <c r="BU53" s="2" t="s">
        <v>524</v>
      </c>
      <c r="BV53" s="2" t="s">
        <v>206</v>
      </c>
      <c r="BW53" s="2" t="s">
        <v>206</v>
      </c>
      <c r="BX53" s="2" t="s">
        <v>214</v>
      </c>
      <c r="BY53" s="2" t="s">
        <v>215</v>
      </c>
      <c r="BZ53" s="2" t="s">
        <v>203</v>
      </c>
      <c r="CA53" s="2" t="s">
        <v>525</v>
      </c>
      <c r="CB53" s="2" t="s">
        <v>526</v>
      </c>
      <c r="CC53" s="2" t="s">
        <v>218</v>
      </c>
      <c r="CD53" s="2" t="s">
        <v>206</v>
      </c>
      <c r="CE53" s="4"/>
      <c r="CF53" s="4">
        <v>1</v>
      </c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>
        <v>100</v>
      </c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</row>
    <row r="54">
      <c r="A54" s="2" t="s">
        <v>527</v>
      </c>
      <c r="B54" s="2" t="s">
        <v>528</v>
      </c>
      <c r="C54" s="2" t="s">
        <v>226</v>
      </c>
      <c r="D54" s="2" t="s">
        <v>529</v>
      </c>
      <c r="E54" s="2" t="s">
        <v>530</v>
      </c>
      <c r="F54" s="2" t="s">
        <v>531</v>
      </c>
      <c r="G54" s="2" t="s">
        <v>532</v>
      </c>
      <c r="H54" s="2" t="s">
        <v>533</v>
      </c>
      <c r="I54" s="2" t="s">
        <v>534</v>
      </c>
      <c r="J54" s="2" t="s">
        <v>310</v>
      </c>
      <c r="K54" s="2" t="s">
        <v>535</v>
      </c>
      <c r="L54" s="3">
        <v>35.71</v>
      </c>
      <c r="M54" s="3">
        <v>37.5</v>
      </c>
      <c r="N54" s="3">
        <v>74.99</v>
      </c>
      <c r="O54" s="2" t="s">
        <v>203</v>
      </c>
      <c r="P54" s="2" t="s">
        <v>204</v>
      </c>
      <c r="Q54" s="2" t="s">
        <v>205</v>
      </c>
      <c r="R54" s="2" t="s">
        <v>206</v>
      </c>
      <c r="S54" s="2" t="s">
        <v>536</v>
      </c>
      <c r="T54" s="2" t="s">
        <v>292</v>
      </c>
      <c r="U54" s="2" t="s">
        <v>537</v>
      </c>
      <c r="V54" s="2" t="s">
        <v>538</v>
      </c>
      <c r="W54" s="2" t="s">
        <v>539</v>
      </c>
      <c r="X54" s="2" t="s">
        <v>210</v>
      </c>
      <c r="Y54" s="2" t="s">
        <v>540</v>
      </c>
      <c r="Z54" s="4">
        <v>261</v>
      </c>
      <c r="AA54" s="4">
        <f>=ROUNDDOWN(60.6976744186047,0)</f>
      </c>
      <c r="AB54" s="5">
        <v>4.3</v>
      </c>
      <c r="AC54" s="2" t="s">
        <v>206</v>
      </c>
      <c r="AD54" s="4"/>
      <c r="AE54" s="4"/>
      <c r="AF54" s="6">
        <v>64</v>
      </c>
      <c r="AG54" s="6"/>
      <c r="AH54" s="7">
        <v>1</v>
      </c>
      <c r="AI54" s="4"/>
      <c r="AJ54" s="4">
        <f>=ROUNDDOWN({0},0)</f>
      </c>
      <c r="AK54" s="5"/>
      <c r="AL54" s="2" t="s">
        <v>206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>
        <v>27</v>
      </c>
      <c r="BK54" s="8">
        <v>1094.74</v>
      </c>
      <c r="BL54" s="2" t="s">
        <v>541</v>
      </c>
      <c r="BM54" s="7"/>
      <c r="BN54" s="7"/>
      <c r="BO54" s="4"/>
      <c r="BP54" s="8"/>
      <c r="BQ54" s="4"/>
      <c r="BR54" s="8"/>
      <c r="BS54" s="7"/>
      <c r="BT54" s="7"/>
      <c r="BU54" s="2" t="s">
        <v>542</v>
      </c>
      <c r="BV54" s="2" t="s">
        <v>206</v>
      </c>
      <c r="BW54" s="2" t="s">
        <v>206</v>
      </c>
      <c r="BX54" s="2" t="s">
        <v>214</v>
      </c>
      <c r="BY54" s="2" t="s">
        <v>215</v>
      </c>
      <c r="BZ54" s="2" t="s">
        <v>203</v>
      </c>
      <c r="CA54" s="2" t="s">
        <v>543</v>
      </c>
      <c r="CB54" s="2" t="s">
        <v>544</v>
      </c>
      <c r="CC54" s="2" t="s">
        <v>218</v>
      </c>
      <c r="CD54" s="2" t="s">
        <v>206</v>
      </c>
      <c r="CE54" s="4">
        <v>261</v>
      </c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</row>
    <row r="55">
      <c r="A55" s="2" t="s">
        <v>545</v>
      </c>
      <c r="B55" s="2" t="s">
        <v>546</v>
      </c>
      <c r="C55" s="2" t="s">
        <v>547</v>
      </c>
      <c r="D55" s="2" t="s">
        <v>548</v>
      </c>
      <c r="E55" s="2" t="s">
        <v>549</v>
      </c>
      <c r="F55" s="2" t="s">
        <v>550</v>
      </c>
      <c r="G55" s="2" t="s">
        <v>551</v>
      </c>
      <c r="H55" s="2" t="s">
        <v>552</v>
      </c>
      <c r="I55" s="2" t="s">
        <v>553</v>
      </c>
      <c r="J55" s="2" t="s">
        <v>290</v>
      </c>
      <c r="K55" s="2" t="s">
        <v>554</v>
      </c>
      <c r="L55" s="3">
        <v>21.15</v>
      </c>
      <c r="M55" s="3">
        <v>22.21</v>
      </c>
      <c r="N55" s="3">
        <v>44.99</v>
      </c>
      <c r="O55" s="2" t="s">
        <v>203</v>
      </c>
      <c r="P55" s="2" t="s">
        <v>204</v>
      </c>
      <c r="Q55" s="2" t="s">
        <v>205</v>
      </c>
      <c r="R55" s="2" t="s">
        <v>206</v>
      </c>
      <c r="S55" s="2" t="s">
        <v>555</v>
      </c>
      <c r="T55" s="2" t="s">
        <v>292</v>
      </c>
      <c r="U55" s="2" t="s">
        <v>556</v>
      </c>
      <c r="V55" s="2" t="s">
        <v>538</v>
      </c>
      <c r="W55" s="2" t="s">
        <v>210</v>
      </c>
      <c r="X55" s="2" t="s">
        <v>539</v>
      </c>
      <c r="Y55" s="2" t="s">
        <v>211</v>
      </c>
      <c r="Z55" s="4">
        <v>199</v>
      </c>
      <c r="AA55" s="4">
        <f>=ROUNDDOWN(49.75,0)</f>
      </c>
      <c r="AB55" s="5">
        <v>4</v>
      </c>
      <c r="AC55" s="2" t="s">
        <v>206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206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>
        <v>2</v>
      </c>
      <c r="BK55" s="8">
        <v>37.78</v>
      </c>
      <c r="BL55" s="2" t="s">
        <v>557</v>
      </c>
      <c r="BM55" s="7"/>
      <c r="BN55" s="7"/>
      <c r="BO55" s="4"/>
      <c r="BP55" s="8"/>
      <c r="BQ55" s="4"/>
      <c r="BR55" s="8"/>
      <c r="BS55" s="7"/>
      <c r="BT55" s="7"/>
      <c r="BU55" s="2" t="s">
        <v>558</v>
      </c>
      <c r="BV55" s="2" t="s">
        <v>206</v>
      </c>
      <c r="BW55" s="2" t="s">
        <v>206</v>
      </c>
      <c r="BX55" s="2" t="s">
        <v>214</v>
      </c>
      <c r="BY55" s="2" t="s">
        <v>215</v>
      </c>
      <c r="BZ55" s="2" t="s">
        <v>203</v>
      </c>
      <c r="CA55" s="2" t="s">
        <v>216</v>
      </c>
      <c r="CB55" s="2" t="s">
        <v>559</v>
      </c>
      <c r="CC55" s="2" t="s">
        <v>218</v>
      </c>
      <c r="CD55" s="2" t="s">
        <v>206</v>
      </c>
      <c r="CE55" s="4">
        <v>199</v>
      </c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</row>
    <row r="56">
      <c r="A56" s="2" t="s">
        <v>560</v>
      </c>
      <c r="B56" s="2" t="s">
        <v>561</v>
      </c>
      <c r="C56" s="2" t="s">
        <v>562</v>
      </c>
      <c r="D56" s="2" t="s">
        <v>563</v>
      </c>
      <c r="E56" s="2" t="s">
        <v>564</v>
      </c>
      <c r="F56" s="2" t="s">
        <v>565</v>
      </c>
      <c r="G56" s="2" t="s">
        <v>565</v>
      </c>
      <c r="H56" s="2" t="s">
        <v>565</v>
      </c>
      <c r="I56" s="2" t="s">
        <v>566</v>
      </c>
      <c r="J56" s="2" t="s">
        <v>567</v>
      </c>
      <c r="K56" s="2" t="s">
        <v>374</v>
      </c>
      <c r="L56" s="3">
        <v>22.49</v>
      </c>
      <c r="M56" s="3">
        <v>23.61</v>
      </c>
      <c r="N56" s="3">
        <v>49.99</v>
      </c>
      <c r="O56" s="2" t="s">
        <v>203</v>
      </c>
      <c r="P56" s="2" t="s">
        <v>204</v>
      </c>
      <c r="Q56" s="2" t="s">
        <v>205</v>
      </c>
      <c r="R56" s="2" t="s">
        <v>206</v>
      </c>
      <c r="S56" s="2" t="s">
        <v>206</v>
      </c>
      <c r="T56" s="2" t="s">
        <v>206</v>
      </c>
      <c r="U56" s="2" t="s">
        <v>437</v>
      </c>
      <c r="V56" s="2" t="s">
        <v>468</v>
      </c>
      <c r="W56" s="2" t="s">
        <v>210</v>
      </c>
      <c r="X56" s="2" t="s">
        <v>206</v>
      </c>
      <c r="Y56" s="2" t="s">
        <v>568</v>
      </c>
      <c r="Z56" s="4">
        <v>9</v>
      </c>
      <c r="AA56" s="4">
        <f>=ROUNDDOWN(3.6,0)</f>
      </c>
      <c r="AB56" s="5">
        <v>2.5</v>
      </c>
      <c r="AC56" s="2" t="s">
        <v>206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206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206</v>
      </c>
      <c r="AW56" s="8" t="s">
        <v>206</v>
      </c>
      <c r="AX56" s="4" t="s">
        <v>206</v>
      </c>
      <c r="AY56" s="8" t="s">
        <v>206</v>
      </c>
      <c r="AZ56" s="7" t="s">
        <v>206</v>
      </c>
      <c r="BA56" s="7" t="s">
        <v>206</v>
      </c>
      <c r="BB56" s="7"/>
      <c r="BC56" s="4" t="s">
        <v>206</v>
      </c>
      <c r="BD56" s="8" t="s">
        <v>206</v>
      </c>
      <c r="BE56" s="4" t="s">
        <v>206</v>
      </c>
      <c r="BF56" s="8" t="s">
        <v>206</v>
      </c>
      <c r="BG56" s="7" t="s">
        <v>206</v>
      </c>
      <c r="BH56" s="7" t="s">
        <v>206</v>
      </c>
      <c r="BI56" s="7"/>
      <c r="BJ56" s="4">
        <v>46</v>
      </c>
      <c r="BK56" s="8">
        <v>1461.54</v>
      </c>
      <c r="BL56" s="2" t="s">
        <v>569</v>
      </c>
      <c r="BM56" s="7"/>
      <c r="BN56" s="7"/>
      <c r="BO56" s="4"/>
      <c r="BP56" s="8"/>
      <c r="BQ56" s="4"/>
      <c r="BR56" s="8"/>
      <c r="BS56" s="7"/>
      <c r="BT56" s="7"/>
      <c r="BU56" s="2" t="s">
        <v>570</v>
      </c>
      <c r="BV56" s="2" t="s">
        <v>206</v>
      </c>
      <c r="BW56" s="2" t="s">
        <v>206</v>
      </c>
      <c r="BX56" s="2" t="s">
        <v>214</v>
      </c>
      <c r="BY56" s="2" t="s">
        <v>215</v>
      </c>
      <c r="BZ56" s="2" t="s">
        <v>203</v>
      </c>
      <c r="CA56" s="2" t="s">
        <v>571</v>
      </c>
      <c r="CB56" s="2" t="s">
        <v>517</v>
      </c>
      <c r="CC56" s="2" t="s">
        <v>218</v>
      </c>
      <c r="CD56" s="2" t="s">
        <v>206</v>
      </c>
      <c r="CE56" s="4">
        <v>9</v>
      </c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</row>
    <row r="57">
      <c r="A57" s="2" t="s">
        <v>572</v>
      </c>
      <c r="B57" s="2" t="s">
        <v>561</v>
      </c>
      <c r="C57" s="2" t="s">
        <v>562</v>
      </c>
      <c r="D57" s="2" t="s">
        <v>563</v>
      </c>
      <c r="E57" s="2" t="s">
        <v>564</v>
      </c>
      <c r="F57" s="2" t="s">
        <v>565</v>
      </c>
      <c r="G57" s="2" t="s">
        <v>565</v>
      </c>
      <c r="H57" s="2" t="s">
        <v>565</v>
      </c>
      <c r="I57" s="2" t="s">
        <v>573</v>
      </c>
      <c r="J57" s="2" t="s">
        <v>574</v>
      </c>
      <c r="K57" s="2" t="s">
        <v>374</v>
      </c>
      <c r="L57" s="3">
        <v>34.46</v>
      </c>
      <c r="M57" s="3">
        <v>36.18</v>
      </c>
      <c r="N57" s="3">
        <v>76.99</v>
      </c>
      <c r="O57" s="2" t="s">
        <v>203</v>
      </c>
      <c r="P57" s="2" t="s">
        <v>204</v>
      </c>
      <c r="Q57" s="2" t="s">
        <v>205</v>
      </c>
      <c r="R57" s="2" t="s">
        <v>206</v>
      </c>
      <c r="S57" s="2" t="s">
        <v>206</v>
      </c>
      <c r="T57" s="2" t="s">
        <v>206</v>
      </c>
      <c r="U57" s="2" t="s">
        <v>437</v>
      </c>
      <c r="V57" s="2" t="s">
        <v>468</v>
      </c>
      <c r="W57" s="2" t="s">
        <v>210</v>
      </c>
      <c r="X57" s="2" t="s">
        <v>206</v>
      </c>
      <c r="Y57" s="2" t="s">
        <v>568</v>
      </c>
      <c r="Z57" s="4">
        <v>352</v>
      </c>
      <c r="AA57" s="4">
        <f>=ROUNDDOWN(176,0)</f>
      </c>
      <c r="AB57" s="5">
        <v>2</v>
      </c>
      <c r="AC57" s="2" t="s">
        <v>206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206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206</v>
      </c>
      <c r="AW57" s="8" t="s">
        <v>206</v>
      </c>
      <c r="AX57" s="4" t="s">
        <v>206</v>
      </c>
      <c r="AY57" s="8" t="s">
        <v>206</v>
      </c>
      <c r="AZ57" s="7" t="s">
        <v>206</v>
      </c>
      <c r="BA57" s="7" t="s">
        <v>206</v>
      </c>
      <c r="BB57" s="7"/>
      <c r="BC57" s="4" t="s">
        <v>206</v>
      </c>
      <c r="BD57" s="8" t="s">
        <v>206</v>
      </c>
      <c r="BE57" s="4" t="s">
        <v>206</v>
      </c>
      <c r="BF57" s="8" t="s">
        <v>206</v>
      </c>
      <c r="BG57" s="7" t="s">
        <v>206</v>
      </c>
      <c r="BH57" s="7" t="s">
        <v>206</v>
      </c>
      <c r="BI57" s="7"/>
      <c r="BJ57" s="4">
        <v>9</v>
      </c>
      <c r="BK57" s="8">
        <v>413</v>
      </c>
      <c r="BL57" s="2" t="s">
        <v>575</v>
      </c>
      <c r="BM57" s="7"/>
      <c r="BN57" s="7"/>
      <c r="BO57" s="4"/>
      <c r="BP57" s="8"/>
      <c r="BQ57" s="4"/>
      <c r="BR57" s="8"/>
      <c r="BS57" s="7"/>
      <c r="BT57" s="7"/>
      <c r="BU57" s="2" t="s">
        <v>576</v>
      </c>
      <c r="BV57" s="2" t="s">
        <v>206</v>
      </c>
      <c r="BW57" s="2" t="s">
        <v>206</v>
      </c>
      <c r="BX57" s="2" t="s">
        <v>214</v>
      </c>
      <c r="BY57" s="2" t="s">
        <v>215</v>
      </c>
      <c r="BZ57" s="2" t="s">
        <v>203</v>
      </c>
      <c r="CA57" s="2" t="s">
        <v>571</v>
      </c>
      <c r="CB57" s="2" t="s">
        <v>577</v>
      </c>
      <c r="CC57" s="2" t="s">
        <v>218</v>
      </c>
      <c r="CD57" s="2" t="s">
        <v>206</v>
      </c>
      <c r="CE57" s="4">
        <v>352</v>
      </c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</row>
    <row r="58">
      <c r="A58" s="2" t="s">
        <v>578</v>
      </c>
      <c r="B58" s="2" t="s">
        <v>528</v>
      </c>
      <c r="C58" s="2" t="s">
        <v>462</v>
      </c>
      <c r="D58" s="2" t="s">
        <v>548</v>
      </c>
      <c r="E58" s="2" t="s">
        <v>579</v>
      </c>
      <c r="F58" s="2" t="s">
        <v>580</v>
      </c>
      <c r="G58" s="2" t="s">
        <v>580</v>
      </c>
      <c r="H58" s="2" t="s">
        <v>580</v>
      </c>
      <c r="I58" s="2" t="s">
        <v>581</v>
      </c>
      <c r="J58" s="2" t="s">
        <v>582</v>
      </c>
      <c r="K58" s="2" t="s">
        <v>583</v>
      </c>
      <c r="L58" s="3">
        <v>58.5</v>
      </c>
      <c r="M58" s="3">
        <v>61.42</v>
      </c>
      <c r="N58" s="3">
        <v>119.99</v>
      </c>
      <c r="O58" s="2" t="s">
        <v>203</v>
      </c>
      <c r="P58" s="2" t="s">
        <v>204</v>
      </c>
      <c r="Q58" s="2" t="s">
        <v>205</v>
      </c>
      <c r="R58" s="2" t="s">
        <v>206</v>
      </c>
      <c r="S58" s="2" t="s">
        <v>584</v>
      </c>
      <c r="T58" s="2" t="s">
        <v>234</v>
      </c>
      <c r="U58" s="2" t="s">
        <v>556</v>
      </c>
      <c r="V58" s="2" t="s">
        <v>585</v>
      </c>
      <c r="W58" s="2" t="s">
        <v>586</v>
      </c>
      <c r="X58" s="2" t="s">
        <v>587</v>
      </c>
      <c r="Y58" s="2" t="s">
        <v>211</v>
      </c>
      <c r="Z58" s="4">
        <v>118</v>
      </c>
      <c r="AA58" s="4">
        <f>=ROUNDDOWN(59,0)</f>
      </c>
      <c r="AB58" s="5">
        <v>2</v>
      </c>
      <c r="AC58" s="2" t="s">
        <v>206</v>
      </c>
      <c r="AD58" s="4"/>
      <c r="AE58" s="4"/>
      <c r="AF58" s="6">
        <v>65</v>
      </c>
      <c r="AG58" s="6">
        <v>73</v>
      </c>
      <c r="AH58" s="7">
        <v>1</v>
      </c>
      <c r="AI58" s="4"/>
      <c r="AJ58" s="4">
        <f>=ROUNDDOWN({0},0)</f>
      </c>
      <c r="AK58" s="5"/>
      <c r="AL58" s="2" t="s">
        <v>206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206</v>
      </c>
      <c r="BD58" s="8" t="s">
        <v>206</v>
      </c>
      <c r="BE58" s="4" t="s">
        <v>206</v>
      </c>
      <c r="BF58" s="8" t="s">
        <v>206</v>
      </c>
      <c r="BG58" s="7" t="s">
        <v>206</v>
      </c>
      <c r="BH58" s="7" t="s">
        <v>206</v>
      </c>
      <c r="BI58" s="7"/>
      <c r="BJ58" s="4">
        <v>10</v>
      </c>
      <c r="BK58" s="8">
        <v>629.58</v>
      </c>
      <c r="BL58" s="2" t="s">
        <v>588</v>
      </c>
      <c r="BM58" s="7"/>
      <c r="BN58" s="7"/>
      <c r="BO58" s="4"/>
      <c r="BP58" s="8"/>
      <c r="BQ58" s="4"/>
      <c r="BR58" s="8"/>
      <c r="BS58" s="7"/>
      <c r="BT58" s="7"/>
      <c r="BU58" s="2" t="s">
        <v>589</v>
      </c>
      <c r="BV58" s="2" t="s">
        <v>206</v>
      </c>
      <c r="BW58" s="2" t="s">
        <v>206</v>
      </c>
      <c r="BX58" s="2" t="s">
        <v>214</v>
      </c>
      <c r="BY58" s="2" t="s">
        <v>215</v>
      </c>
      <c r="BZ58" s="2" t="s">
        <v>203</v>
      </c>
      <c r="CA58" s="2" t="s">
        <v>590</v>
      </c>
      <c r="CB58" s="2" t="s">
        <v>591</v>
      </c>
      <c r="CC58" s="2" t="s">
        <v>218</v>
      </c>
      <c r="CD58" s="2" t="s">
        <v>206</v>
      </c>
      <c r="CE58" s="4">
        <v>77</v>
      </c>
      <c r="CF58" s="4">
        <v>30</v>
      </c>
      <c r="CG58" s="4"/>
      <c r="CH58" s="4">
        <v>11</v>
      </c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</row>
    <row r="59">
      <c r="A59" s="2" t="s">
        <v>592</v>
      </c>
      <c r="B59" s="2" t="s">
        <v>528</v>
      </c>
      <c r="C59" s="2" t="s">
        <v>462</v>
      </c>
      <c r="D59" s="2" t="s">
        <v>548</v>
      </c>
      <c r="E59" s="2" t="s">
        <v>579</v>
      </c>
      <c r="F59" s="2" t="s">
        <v>580</v>
      </c>
      <c r="G59" s="2" t="s">
        <v>580</v>
      </c>
      <c r="H59" s="2" t="s">
        <v>580</v>
      </c>
      <c r="I59" s="2" t="s">
        <v>581</v>
      </c>
      <c r="J59" s="2" t="s">
        <v>593</v>
      </c>
      <c r="K59" s="2" t="s">
        <v>554</v>
      </c>
      <c r="L59" s="3">
        <v>44.1</v>
      </c>
      <c r="M59" s="3">
        <v>46.3</v>
      </c>
      <c r="N59" s="3">
        <v>89.99</v>
      </c>
      <c r="O59" s="2" t="s">
        <v>203</v>
      </c>
      <c r="P59" s="2" t="s">
        <v>204</v>
      </c>
      <c r="Q59" s="2" t="s">
        <v>205</v>
      </c>
      <c r="R59" s="2" t="s">
        <v>206</v>
      </c>
      <c r="S59" s="2" t="s">
        <v>594</v>
      </c>
      <c r="T59" s="2" t="s">
        <v>234</v>
      </c>
      <c r="U59" s="2" t="s">
        <v>556</v>
      </c>
      <c r="V59" s="2" t="s">
        <v>585</v>
      </c>
      <c r="W59" s="2" t="s">
        <v>586</v>
      </c>
      <c r="X59" s="2" t="s">
        <v>587</v>
      </c>
      <c r="Y59" s="2" t="s">
        <v>211</v>
      </c>
      <c r="Z59" s="4">
        <v>196</v>
      </c>
      <c r="AA59" s="4">
        <f>=ROUNDDOWN(70,0)</f>
      </c>
      <c r="AB59" s="5">
        <v>2.8</v>
      </c>
      <c r="AC59" s="2" t="s">
        <v>206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206</v>
      </c>
      <c r="AM59" s="4"/>
      <c r="AN59" s="4"/>
      <c r="AO59" s="7"/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206</v>
      </c>
      <c r="BD59" s="8" t="s">
        <v>206</v>
      </c>
      <c r="BE59" s="4" t="s">
        <v>206</v>
      </c>
      <c r="BF59" s="8" t="s">
        <v>206</v>
      </c>
      <c r="BG59" s="7" t="s">
        <v>206</v>
      </c>
      <c r="BH59" s="7" t="s">
        <v>206</v>
      </c>
      <c r="BI59" s="7"/>
      <c r="BJ59" s="4">
        <v>12</v>
      </c>
      <c r="BK59" s="8">
        <v>602.07</v>
      </c>
      <c r="BL59" s="2" t="s">
        <v>595</v>
      </c>
      <c r="BM59" s="7"/>
      <c r="BN59" s="7"/>
      <c r="BO59" s="4"/>
      <c r="BP59" s="8"/>
      <c r="BQ59" s="4"/>
      <c r="BR59" s="8"/>
      <c r="BS59" s="7"/>
      <c r="BT59" s="7"/>
      <c r="BU59" s="2" t="s">
        <v>596</v>
      </c>
      <c r="BV59" s="2" t="s">
        <v>206</v>
      </c>
      <c r="BW59" s="2" t="s">
        <v>206</v>
      </c>
      <c r="BX59" s="2" t="s">
        <v>214</v>
      </c>
      <c r="BY59" s="2" t="s">
        <v>215</v>
      </c>
      <c r="BZ59" s="2" t="s">
        <v>203</v>
      </c>
      <c r="CA59" s="2" t="s">
        <v>590</v>
      </c>
      <c r="CB59" s="2" t="s">
        <v>597</v>
      </c>
      <c r="CC59" s="2" t="s">
        <v>218</v>
      </c>
      <c r="CD59" s="2" t="s">
        <v>206</v>
      </c>
      <c r="CE59" s="4">
        <v>196</v>
      </c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</row>
    <row r="60">
      <c r="A60" s="2" t="s">
        <v>598</v>
      </c>
      <c r="B60" s="2" t="s">
        <v>461</v>
      </c>
      <c r="C60" s="2" t="s">
        <v>287</v>
      </c>
      <c r="D60" s="2" t="s">
        <v>599</v>
      </c>
      <c r="E60" s="2" t="s">
        <v>600</v>
      </c>
      <c r="F60" s="2" t="s">
        <v>601</v>
      </c>
      <c r="G60" s="2" t="s">
        <v>602</v>
      </c>
      <c r="H60" s="2" t="s">
        <v>603</v>
      </c>
      <c r="I60" s="2" t="s">
        <v>604</v>
      </c>
      <c r="J60" s="2" t="s">
        <v>282</v>
      </c>
      <c r="K60" s="2" t="s">
        <v>605</v>
      </c>
      <c r="L60" s="3">
        <v>180.5</v>
      </c>
      <c r="M60" s="3">
        <v>189.52</v>
      </c>
      <c r="N60" s="3">
        <v>379</v>
      </c>
      <c r="O60" s="2" t="s">
        <v>203</v>
      </c>
      <c r="P60" s="2" t="s">
        <v>204</v>
      </c>
      <c r="Q60" s="2" t="s">
        <v>205</v>
      </c>
      <c r="R60" s="2" t="s">
        <v>206</v>
      </c>
      <c r="S60" s="2" t="s">
        <v>206</v>
      </c>
      <c r="T60" s="2" t="s">
        <v>206</v>
      </c>
      <c r="U60" s="2" t="s">
        <v>437</v>
      </c>
      <c r="V60" s="2" t="s">
        <v>209</v>
      </c>
      <c r="W60" s="2" t="s">
        <v>539</v>
      </c>
      <c r="X60" s="2" t="s">
        <v>206</v>
      </c>
      <c r="Y60" s="2" t="s">
        <v>606</v>
      </c>
      <c r="Z60" s="4">
        <v>102</v>
      </c>
      <c r="AA60" s="4">
        <f>=ROUNDDOWN(14.5714285714286,0)</f>
      </c>
      <c r="AB60" s="5">
        <v>7</v>
      </c>
      <c r="AC60" s="2" t="s">
        <v>607</v>
      </c>
      <c r="AD60" s="4">
        <v>60</v>
      </c>
      <c r="AE60" s="4">
        <v>110</v>
      </c>
      <c r="AF60" s="6">
        <v>74</v>
      </c>
      <c r="AG60" s="6"/>
      <c r="AH60" s="7">
        <v>1</v>
      </c>
      <c r="AI60" s="4"/>
      <c r="AJ60" s="4">
        <f>=ROUNDDOWN({0},0)</f>
      </c>
      <c r="AK60" s="5"/>
      <c r="AL60" s="2" t="s">
        <v>206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29</v>
      </c>
      <c r="BK60" s="8">
        <v>4815.18</v>
      </c>
      <c r="BL60" s="2" t="s">
        <v>608</v>
      </c>
      <c r="BM60" s="7"/>
      <c r="BN60" s="7"/>
      <c r="BO60" s="4"/>
      <c r="BP60" s="8"/>
      <c r="BQ60" s="4"/>
      <c r="BR60" s="8"/>
      <c r="BS60" s="7"/>
      <c r="BT60" s="7"/>
      <c r="BU60" s="2" t="s">
        <v>609</v>
      </c>
      <c r="BV60" s="2" t="s">
        <v>206</v>
      </c>
      <c r="BW60" s="2" t="s">
        <v>206</v>
      </c>
      <c r="BX60" s="2" t="s">
        <v>426</v>
      </c>
      <c r="BY60" s="2" t="s">
        <v>215</v>
      </c>
      <c r="BZ60" s="2" t="s">
        <v>203</v>
      </c>
      <c r="CA60" s="2" t="s">
        <v>610</v>
      </c>
      <c r="CB60" s="2" t="s">
        <v>611</v>
      </c>
      <c r="CC60" s="2" t="s">
        <v>218</v>
      </c>
      <c r="CD60" s="2" t="s">
        <v>206</v>
      </c>
      <c r="CE60" s="4"/>
      <c r="CF60" s="4">
        <v>102</v>
      </c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>
        <v>60</v>
      </c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>
        <v>50</v>
      </c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</row>
    <row r="61">
      <c r="A61" s="2" t="s">
        <v>612</v>
      </c>
      <c r="B61" s="2" t="s">
        <v>613</v>
      </c>
      <c r="C61" s="2" t="s">
        <v>287</v>
      </c>
      <c r="D61" s="2" t="s">
        <v>614</v>
      </c>
      <c r="E61" s="2" t="s">
        <v>615</v>
      </c>
      <c r="F61" s="2" t="s">
        <v>616</v>
      </c>
      <c r="G61" s="2" t="s">
        <v>617</v>
      </c>
      <c r="H61" s="2" t="s">
        <v>618</v>
      </c>
      <c r="I61" s="2" t="s">
        <v>619</v>
      </c>
      <c r="J61" s="2" t="s">
        <v>620</v>
      </c>
      <c r="K61" s="2" t="s">
        <v>483</v>
      </c>
      <c r="L61" s="3">
        <v>10</v>
      </c>
      <c r="M61" s="3">
        <v>10.5</v>
      </c>
      <c r="N61" s="3">
        <v>24.99</v>
      </c>
      <c r="O61" s="2" t="s">
        <v>203</v>
      </c>
      <c r="P61" s="2" t="s">
        <v>204</v>
      </c>
      <c r="Q61" s="2" t="s">
        <v>205</v>
      </c>
      <c r="R61" s="2" t="s">
        <v>206</v>
      </c>
      <c r="S61" s="2" t="s">
        <v>621</v>
      </c>
      <c r="T61" s="2" t="s">
        <v>206</v>
      </c>
      <c r="U61" s="2" t="s">
        <v>206</v>
      </c>
      <c r="V61" s="2" t="s">
        <v>622</v>
      </c>
      <c r="W61" s="2" t="s">
        <v>539</v>
      </c>
      <c r="X61" s="2" t="s">
        <v>206</v>
      </c>
      <c r="Y61" s="2" t="s">
        <v>211</v>
      </c>
      <c r="Z61" s="4">
        <v>809</v>
      </c>
      <c r="AA61" s="4">
        <f>=ROUNDDOWN(28.8928571428571,0)</f>
      </c>
      <c r="AB61" s="5">
        <v>28</v>
      </c>
      <c r="AC61" s="2" t="s">
        <v>623</v>
      </c>
      <c r="AD61" s="4">
        <v>156</v>
      </c>
      <c r="AE61" s="4">
        <v>156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206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206</v>
      </c>
      <c r="BD61" s="8" t="s">
        <v>206</v>
      </c>
      <c r="BE61" s="4" t="s">
        <v>206</v>
      </c>
      <c r="BF61" s="8" t="s">
        <v>206</v>
      </c>
      <c r="BG61" s="7" t="s">
        <v>206</v>
      </c>
      <c r="BH61" s="7" t="s">
        <v>206</v>
      </c>
      <c r="BI61" s="7"/>
      <c r="BJ61" s="4">
        <v>144</v>
      </c>
      <c r="BK61" s="8">
        <v>1446.26</v>
      </c>
      <c r="BL61" s="2" t="s">
        <v>624</v>
      </c>
      <c r="BM61" s="7"/>
      <c r="BN61" s="7"/>
      <c r="BO61" s="4"/>
      <c r="BP61" s="8"/>
      <c r="BQ61" s="4"/>
      <c r="BR61" s="8"/>
      <c r="BS61" s="7"/>
      <c r="BT61" s="7"/>
      <c r="BU61" s="2" t="s">
        <v>625</v>
      </c>
      <c r="BV61" s="2" t="s">
        <v>206</v>
      </c>
      <c r="BW61" s="2" t="s">
        <v>206</v>
      </c>
      <c r="BX61" s="2" t="s">
        <v>214</v>
      </c>
      <c r="BY61" s="2" t="s">
        <v>215</v>
      </c>
      <c r="BZ61" s="2" t="s">
        <v>203</v>
      </c>
      <c r="CA61" s="2" t="s">
        <v>216</v>
      </c>
      <c r="CB61" s="2" t="s">
        <v>626</v>
      </c>
      <c r="CC61" s="2" t="s">
        <v>218</v>
      </c>
      <c r="CD61" s="2" t="s">
        <v>206</v>
      </c>
      <c r="CE61" s="4">
        <v>809</v>
      </c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>
        <v>156</v>
      </c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</row>
    <row r="62">
      <c r="A62" s="2" t="s">
        <v>627</v>
      </c>
      <c r="B62" s="2" t="s">
        <v>613</v>
      </c>
      <c r="C62" s="2" t="s">
        <v>287</v>
      </c>
      <c r="D62" s="2" t="s">
        <v>628</v>
      </c>
      <c r="E62" s="2" t="s">
        <v>629</v>
      </c>
      <c r="F62" s="2" t="s">
        <v>616</v>
      </c>
      <c r="G62" s="2" t="s">
        <v>617</v>
      </c>
      <c r="H62" s="2" t="s">
        <v>618</v>
      </c>
      <c r="I62" s="2" t="s">
        <v>630</v>
      </c>
      <c r="J62" s="2" t="s">
        <v>631</v>
      </c>
      <c r="K62" s="2" t="s">
        <v>262</v>
      </c>
      <c r="L62" s="3">
        <v>15.75</v>
      </c>
      <c r="M62" s="3">
        <v>16.54</v>
      </c>
      <c r="N62" s="3">
        <v>34.99</v>
      </c>
      <c r="O62" s="2" t="s">
        <v>203</v>
      </c>
      <c r="P62" s="2" t="s">
        <v>204</v>
      </c>
      <c r="Q62" s="2" t="s">
        <v>205</v>
      </c>
      <c r="R62" s="2" t="s">
        <v>206</v>
      </c>
      <c r="S62" s="2" t="s">
        <v>632</v>
      </c>
      <c r="T62" s="2" t="s">
        <v>206</v>
      </c>
      <c r="U62" s="2" t="s">
        <v>206</v>
      </c>
      <c r="V62" s="2" t="s">
        <v>622</v>
      </c>
      <c r="W62" s="2" t="s">
        <v>539</v>
      </c>
      <c r="X62" s="2" t="s">
        <v>633</v>
      </c>
      <c r="Y62" s="2" t="s">
        <v>211</v>
      </c>
      <c r="Z62" s="4">
        <v>276</v>
      </c>
      <c r="AA62" s="4">
        <f>=ROUNDDOWN(25.0909090909091,0)</f>
      </c>
      <c r="AB62" s="5">
        <v>11</v>
      </c>
      <c r="AC62" s="2" t="s">
        <v>119</v>
      </c>
      <c r="AD62" s="4">
        <v>100</v>
      </c>
      <c r="AE62" s="4">
        <v>300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206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206</v>
      </c>
      <c r="AW62" s="8" t="s">
        <v>206</v>
      </c>
      <c r="AX62" s="4" t="s">
        <v>206</v>
      </c>
      <c r="AY62" s="8" t="s">
        <v>206</v>
      </c>
      <c r="AZ62" s="7" t="s">
        <v>206</v>
      </c>
      <c r="BA62" s="7" t="s">
        <v>206</v>
      </c>
      <c r="BB62" s="7"/>
      <c r="BC62" s="4" t="s">
        <v>206</v>
      </c>
      <c r="BD62" s="8" t="s">
        <v>206</v>
      </c>
      <c r="BE62" s="4" t="s">
        <v>206</v>
      </c>
      <c r="BF62" s="8" t="s">
        <v>206</v>
      </c>
      <c r="BG62" s="7" t="s">
        <v>206</v>
      </c>
      <c r="BH62" s="7" t="s">
        <v>206</v>
      </c>
      <c r="BI62" s="7"/>
      <c r="BJ62" s="4">
        <v>52</v>
      </c>
      <c r="BK62" s="8">
        <v>871.62</v>
      </c>
      <c r="BL62" s="2" t="s">
        <v>634</v>
      </c>
      <c r="BM62" s="7"/>
      <c r="BN62" s="7"/>
      <c r="BO62" s="4"/>
      <c r="BP62" s="8"/>
      <c r="BQ62" s="4"/>
      <c r="BR62" s="8"/>
      <c r="BS62" s="7"/>
      <c r="BT62" s="7"/>
      <c r="BU62" s="2" t="s">
        <v>635</v>
      </c>
      <c r="BV62" s="2" t="s">
        <v>206</v>
      </c>
      <c r="BW62" s="2" t="s">
        <v>206</v>
      </c>
      <c r="BX62" s="2" t="s">
        <v>214</v>
      </c>
      <c r="BY62" s="2" t="s">
        <v>215</v>
      </c>
      <c r="BZ62" s="2" t="s">
        <v>203</v>
      </c>
      <c r="CA62" s="2" t="s">
        <v>216</v>
      </c>
      <c r="CB62" s="2" t="s">
        <v>636</v>
      </c>
      <c r="CC62" s="2" t="s">
        <v>218</v>
      </c>
      <c r="CD62" s="2" t="s">
        <v>206</v>
      </c>
      <c r="CE62" s="4">
        <v>276</v>
      </c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>
        <v>100</v>
      </c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>
        <v>200</v>
      </c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</row>
    <row r="63">
      <c r="A63" s="2" t="s">
        <v>637</v>
      </c>
      <c r="B63" s="2" t="s">
        <v>613</v>
      </c>
      <c r="C63" s="2" t="s">
        <v>287</v>
      </c>
      <c r="D63" s="2" t="s">
        <v>614</v>
      </c>
      <c r="E63" s="2" t="s">
        <v>615</v>
      </c>
      <c r="F63" s="2" t="s">
        <v>616</v>
      </c>
      <c r="G63" s="2" t="s">
        <v>617</v>
      </c>
      <c r="H63" s="2" t="s">
        <v>618</v>
      </c>
      <c r="I63" s="2" t="s">
        <v>619</v>
      </c>
      <c r="J63" s="2" t="s">
        <v>620</v>
      </c>
      <c r="K63" s="2" t="s">
        <v>262</v>
      </c>
      <c r="L63" s="3">
        <v>10</v>
      </c>
      <c r="M63" s="3">
        <v>10.5</v>
      </c>
      <c r="N63" s="3">
        <v>24.99</v>
      </c>
      <c r="O63" s="2" t="s">
        <v>203</v>
      </c>
      <c r="P63" s="2" t="s">
        <v>204</v>
      </c>
      <c r="Q63" s="2" t="s">
        <v>205</v>
      </c>
      <c r="R63" s="2" t="s">
        <v>206</v>
      </c>
      <c r="S63" s="2" t="s">
        <v>632</v>
      </c>
      <c r="T63" s="2" t="s">
        <v>206</v>
      </c>
      <c r="U63" s="2" t="s">
        <v>206</v>
      </c>
      <c r="V63" s="2" t="s">
        <v>622</v>
      </c>
      <c r="W63" s="2" t="s">
        <v>539</v>
      </c>
      <c r="X63" s="2" t="s">
        <v>206</v>
      </c>
      <c r="Y63" s="2" t="s">
        <v>211</v>
      </c>
      <c r="Z63" s="4">
        <v>756</v>
      </c>
      <c r="AA63" s="4">
        <f>=ROUNDDOWN(75.6,0)</f>
      </c>
      <c r="AB63" s="5">
        <v>10</v>
      </c>
      <c r="AC63" s="2" t="s">
        <v>206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206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206</v>
      </c>
      <c r="AW63" s="8" t="s">
        <v>206</v>
      </c>
      <c r="AX63" s="4" t="s">
        <v>206</v>
      </c>
      <c r="AY63" s="8" t="s">
        <v>206</v>
      </c>
      <c r="AZ63" s="7" t="s">
        <v>206</v>
      </c>
      <c r="BA63" s="7" t="s">
        <v>206</v>
      </c>
      <c r="BB63" s="7"/>
      <c r="BC63" s="4" t="s">
        <v>206</v>
      </c>
      <c r="BD63" s="8" t="s">
        <v>206</v>
      </c>
      <c r="BE63" s="4" t="s">
        <v>206</v>
      </c>
      <c r="BF63" s="8" t="s">
        <v>206</v>
      </c>
      <c r="BG63" s="7" t="s">
        <v>206</v>
      </c>
      <c r="BH63" s="7" t="s">
        <v>206</v>
      </c>
      <c r="BI63" s="7"/>
      <c r="BJ63" s="4">
        <v>22</v>
      </c>
      <c r="BK63" s="8">
        <v>213.87</v>
      </c>
      <c r="BL63" s="2" t="s">
        <v>638</v>
      </c>
      <c r="BM63" s="7"/>
      <c r="BN63" s="7"/>
      <c r="BO63" s="4"/>
      <c r="BP63" s="8"/>
      <c r="BQ63" s="4"/>
      <c r="BR63" s="8"/>
      <c r="BS63" s="7"/>
      <c r="BT63" s="7"/>
      <c r="BU63" s="2" t="s">
        <v>639</v>
      </c>
      <c r="BV63" s="2" t="s">
        <v>206</v>
      </c>
      <c r="BW63" s="2" t="s">
        <v>206</v>
      </c>
      <c r="BX63" s="2" t="s">
        <v>214</v>
      </c>
      <c r="BY63" s="2" t="s">
        <v>215</v>
      </c>
      <c r="BZ63" s="2" t="s">
        <v>203</v>
      </c>
      <c r="CA63" s="2" t="s">
        <v>216</v>
      </c>
      <c r="CB63" s="2" t="s">
        <v>640</v>
      </c>
      <c r="CC63" s="2" t="s">
        <v>218</v>
      </c>
      <c r="CD63" s="2" t="s">
        <v>206</v>
      </c>
      <c r="CE63" s="4">
        <v>756</v>
      </c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</row>
    <row r="64">
      <c r="A64" s="2" t="s">
        <v>641</v>
      </c>
      <c r="B64" s="2" t="s">
        <v>613</v>
      </c>
      <c r="C64" s="2" t="s">
        <v>287</v>
      </c>
      <c r="D64" s="2" t="s">
        <v>614</v>
      </c>
      <c r="E64" s="2" t="s">
        <v>615</v>
      </c>
      <c r="F64" s="2" t="s">
        <v>616</v>
      </c>
      <c r="G64" s="2" t="s">
        <v>617</v>
      </c>
      <c r="H64" s="2" t="s">
        <v>618</v>
      </c>
      <c r="I64" s="2" t="s">
        <v>642</v>
      </c>
      <c r="J64" s="2" t="s">
        <v>620</v>
      </c>
      <c r="K64" s="2" t="s">
        <v>491</v>
      </c>
      <c r="L64" s="3">
        <v>10</v>
      </c>
      <c r="M64" s="3">
        <v>10.5</v>
      </c>
      <c r="N64" s="3">
        <v>24.99</v>
      </c>
      <c r="O64" s="2" t="s">
        <v>203</v>
      </c>
      <c r="P64" s="2" t="s">
        <v>204</v>
      </c>
      <c r="Q64" s="2" t="s">
        <v>205</v>
      </c>
      <c r="R64" s="2" t="s">
        <v>206</v>
      </c>
      <c r="S64" s="2" t="s">
        <v>643</v>
      </c>
      <c r="T64" s="2" t="s">
        <v>206</v>
      </c>
      <c r="U64" s="2" t="s">
        <v>206</v>
      </c>
      <c r="V64" s="2" t="s">
        <v>622</v>
      </c>
      <c r="W64" s="2" t="s">
        <v>539</v>
      </c>
      <c r="X64" s="2" t="s">
        <v>206</v>
      </c>
      <c r="Y64" s="2" t="s">
        <v>644</v>
      </c>
      <c r="Z64" s="4">
        <v>436</v>
      </c>
      <c r="AA64" s="4">
        <f>=ROUNDDOWN(21.8,0)</f>
      </c>
      <c r="AB64" s="5">
        <v>20</v>
      </c>
      <c r="AC64" s="2" t="s">
        <v>645</v>
      </c>
      <c r="AD64" s="4">
        <v>460</v>
      </c>
      <c r="AE64" s="4">
        <v>460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206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206</v>
      </c>
      <c r="BD64" s="8" t="s">
        <v>206</v>
      </c>
      <c r="BE64" s="4" t="s">
        <v>206</v>
      </c>
      <c r="BF64" s="8" t="s">
        <v>206</v>
      </c>
      <c r="BG64" s="7" t="s">
        <v>206</v>
      </c>
      <c r="BH64" s="7" t="s">
        <v>206</v>
      </c>
      <c r="BI64" s="7"/>
      <c r="BJ64" s="4">
        <v>42</v>
      </c>
      <c r="BK64" s="8">
        <v>445.53</v>
      </c>
      <c r="BL64" s="2" t="s">
        <v>646</v>
      </c>
      <c r="BM64" s="7"/>
      <c r="BN64" s="7"/>
      <c r="BO64" s="4"/>
      <c r="BP64" s="8"/>
      <c r="BQ64" s="4"/>
      <c r="BR64" s="8"/>
      <c r="BS64" s="7"/>
      <c r="BT64" s="7"/>
      <c r="BU64" s="2" t="s">
        <v>647</v>
      </c>
      <c r="BV64" s="2" t="s">
        <v>206</v>
      </c>
      <c r="BW64" s="2" t="s">
        <v>206</v>
      </c>
      <c r="BX64" s="2" t="s">
        <v>214</v>
      </c>
      <c r="BY64" s="2" t="s">
        <v>215</v>
      </c>
      <c r="BZ64" s="2" t="s">
        <v>203</v>
      </c>
      <c r="CA64" s="2" t="s">
        <v>648</v>
      </c>
      <c r="CB64" s="2" t="s">
        <v>649</v>
      </c>
      <c r="CC64" s="2" t="s">
        <v>218</v>
      </c>
      <c r="CD64" s="2" t="s">
        <v>206</v>
      </c>
      <c r="CE64" s="4">
        <v>436</v>
      </c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>
        <v>460</v>
      </c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</row>
    <row r="65">
      <c r="A65" s="2" t="s">
        <v>650</v>
      </c>
      <c r="B65" s="2" t="s">
        <v>613</v>
      </c>
      <c r="C65" s="2" t="s">
        <v>287</v>
      </c>
      <c r="D65" s="2" t="s">
        <v>628</v>
      </c>
      <c r="E65" s="2" t="s">
        <v>629</v>
      </c>
      <c r="F65" s="2" t="s">
        <v>616</v>
      </c>
      <c r="G65" s="2" t="s">
        <v>617</v>
      </c>
      <c r="H65" s="2" t="s">
        <v>618</v>
      </c>
      <c r="I65" s="2" t="s">
        <v>630</v>
      </c>
      <c r="J65" s="2" t="s">
        <v>631</v>
      </c>
      <c r="K65" s="2" t="s">
        <v>336</v>
      </c>
      <c r="L65" s="3">
        <v>15.75</v>
      </c>
      <c r="M65" s="3">
        <v>16.54</v>
      </c>
      <c r="N65" s="3">
        <v>34.99</v>
      </c>
      <c r="O65" s="2" t="s">
        <v>203</v>
      </c>
      <c r="P65" s="2" t="s">
        <v>204</v>
      </c>
      <c r="Q65" s="2" t="s">
        <v>205</v>
      </c>
      <c r="R65" s="2" t="s">
        <v>206</v>
      </c>
      <c r="S65" s="2" t="s">
        <v>651</v>
      </c>
      <c r="T65" s="2" t="s">
        <v>206</v>
      </c>
      <c r="U65" s="2" t="s">
        <v>206</v>
      </c>
      <c r="V65" s="2" t="s">
        <v>622</v>
      </c>
      <c r="W65" s="2" t="s">
        <v>539</v>
      </c>
      <c r="X65" s="2" t="s">
        <v>633</v>
      </c>
      <c r="Y65" s="2" t="s">
        <v>644</v>
      </c>
      <c r="Z65" s="4">
        <v>255</v>
      </c>
      <c r="AA65" s="4">
        <f>=ROUNDDOWN(11.5909090909091,0)</f>
      </c>
      <c r="AB65" s="5">
        <v>22</v>
      </c>
      <c r="AC65" s="2" t="s">
        <v>119</v>
      </c>
      <c r="AD65" s="4">
        <v>192</v>
      </c>
      <c r="AE65" s="4">
        <v>472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206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206</v>
      </c>
      <c r="BD65" s="8" t="s">
        <v>206</v>
      </c>
      <c r="BE65" s="4" t="s">
        <v>206</v>
      </c>
      <c r="BF65" s="8" t="s">
        <v>206</v>
      </c>
      <c r="BG65" s="7" t="s">
        <v>206</v>
      </c>
      <c r="BH65" s="7" t="s">
        <v>206</v>
      </c>
      <c r="BI65" s="7"/>
      <c r="BJ65" s="4">
        <v>75</v>
      </c>
      <c r="BK65" s="8">
        <v>1208.49</v>
      </c>
      <c r="BL65" s="2" t="s">
        <v>652</v>
      </c>
      <c r="BM65" s="7"/>
      <c r="BN65" s="7"/>
      <c r="BO65" s="4"/>
      <c r="BP65" s="8"/>
      <c r="BQ65" s="4"/>
      <c r="BR65" s="8"/>
      <c r="BS65" s="7"/>
      <c r="BT65" s="7"/>
      <c r="BU65" s="2" t="s">
        <v>653</v>
      </c>
      <c r="BV65" s="2" t="s">
        <v>206</v>
      </c>
      <c r="BW65" s="2" t="s">
        <v>206</v>
      </c>
      <c r="BX65" s="2" t="s">
        <v>214</v>
      </c>
      <c r="BY65" s="2" t="s">
        <v>215</v>
      </c>
      <c r="BZ65" s="2" t="s">
        <v>203</v>
      </c>
      <c r="CA65" s="2" t="s">
        <v>321</v>
      </c>
      <c r="CB65" s="2" t="s">
        <v>654</v>
      </c>
      <c r="CC65" s="2" t="s">
        <v>218</v>
      </c>
      <c r="CD65" s="2" t="s">
        <v>206</v>
      </c>
      <c r="CE65" s="4">
        <v>255</v>
      </c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>
        <v>192</v>
      </c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>
        <v>180</v>
      </c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>
        <v>100</v>
      </c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</row>
    <row r="66">
      <c r="A66" s="2" t="s">
        <v>655</v>
      </c>
      <c r="B66" s="2" t="s">
        <v>613</v>
      </c>
      <c r="C66" s="2" t="s">
        <v>287</v>
      </c>
      <c r="D66" s="2" t="s">
        <v>628</v>
      </c>
      <c r="E66" s="2" t="s">
        <v>629</v>
      </c>
      <c r="F66" s="2" t="s">
        <v>616</v>
      </c>
      <c r="G66" s="2" t="s">
        <v>617</v>
      </c>
      <c r="H66" s="2" t="s">
        <v>618</v>
      </c>
      <c r="I66" s="2" t="s">
        <v>630</v>
      </c>
      <c r="J66" s="2" t="s">
        <v>631</v>
      </c>
      <c r="K66" s="2" t="s">
        <v>656</v>
      </c>
      <c r="L66" s="3">
        <v>15.75</v>
      </c>
      <c r="M66" s="3">
        <v>16.54</v>
      </c>
      <c r="N66" s="3">
        <v>34.99</v>
      </c>
      <c r="O66" s="2" t="s">
        <v>203</v>
      </c>
      <c r="P66" s="2" t="s">
        <v>204</v>
      </c>
      <c r="Q66" s="2" t="s">
        <v>205</v>
      </c>
      <c r="R66" s="2" t="s">
        <v>206</v>
      </c>
      <c r="S66" s="2" t="s">
        <v>657</v>
      </c>
      <c r="T66" s="2" t="s">
        <v>206</v>
      </c>
      <c r="U66" s="2" t="s">
        <v>206</v>
      </c>
      <c r="V66" s="2" t="s">
        <v>622</v>
      </c>
      <c r="W66" s="2" t="s">
        <v>539</v>
      </c>
      <c r="X66" s="2" t="s">
        <v>633</v>
      </c>
      <c r="Y66" s="2" t="s">
        <v>211</v>
      </c>
      <c r="Z66" s="4">
        <v>322</v>
      </c>
      <c r="AA66" s="4">
        <f>=ROUNDDOWN(21.4666666666667,0)</f>
      </c>
      <c r="AB66" s="5">
        <v>15</v>
      </c>
      <c r="AC66" s="2" t="s">
        <v>111</v>
      </c>
      <c r="AD66" s="4">
        <v>156</v>
      </c>
      <c r="AE66" s="4">
        <v>268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206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206</v>
      </c>
      <c r="BD66" s="8" t="s">
        <v>206</v>
      </c>
      <c r="BE66" s="4" t="s">
        <v>206</v>
      </c>
      <c r="BF66" s="8" t="s">
        <v>206</v>
      </c>
      <c r="BG66" s="7" t="s">
        <v>206</v>
      </c>
      <c r="BH66" s="7" t="s">
        <v>206</v>
      </c>
      <c r="BI66" s="7"/>
      <c r="BJ66" s="4">
        <v>65</v>
      </c>
      <c r="BK66" s="8">
        <v>1136.44</v>
      </c>
      <c r="BL66" s="2" t="s">
        <v>658</v>
      </c>
      <c r="BM66" s="7"/>
      <c r="BN66" s="7"/>
      <c r="BO66" s="4"/>
      <c r="BP66" s="8"/>
      <c r="BQ66" s="4"/>
      <c r="BR66" s="8"/>
      <c r="BS66" s="7"/>
      <c r="BT66" s="7"/>
      <c r="BU66" s="2" t="s">
        <v>659</v>
      </c>
      <c r="BV66" s="2" t="s">
        <v>206</v>
      </c>
      <c r="BW66" s="2" t="s">
        <v>206</v>
      </c>
      <c r="BX66" s="2" t="s">
        <v>214</v>
      </c>
      <c r="BY66" s="2" t="s">
        <v>215</v>
      </c>
      <c r="BZ66" s="2" t="s">
        <v>203</v>
      </c>
      <c r="CA66" s="2" t="s">
        <v>216</v>
      </c>
      <c r="CB66" s="2" t="s">
        <v>660</v>
      </c>
      <c r="CC66" s="2" t="s">
        <v>218</v>
      </c>
      <c r="CD66" s="2" t="s">
        <v>206</v>
      </c>
      <c r="CE66" s="4">
        <v>322</v>
      </c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>
        <v>156</v>
      </c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>
        <v>112</v>
      </c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</row>
    <row r="67">
      <c r="A67" s="2" t="s">
        <v>661</v>
      </c>
      <c r="B67" s="2" t="s">
        <v>662</v>
      </c>
      <c r="C67" s="2" t="s">
        <v>287</v>
      </c>
      <c r="D67" s="2" t="s">
        <v>663</v>
      </c>
      <c r="E67" s="2" t="s">
        <v>664</v>
      </c>
      <c r="F67" s="2" t="s">
        <v>616</v>
      </c>
      <c r="G67" s="2" t="s">
        <v>617</v>
      </c>
      <c r="H67" s="2" t="s">
        <v>618</v>
      </c>
      <c r="I67" s="2" t="s">
        <v>665</v>
      </c>
      <c r="J67" s="2" t="s">
        <v>666</v>
      </c>
      <c r="K67" s="2" t="s">
        <v>605</v>
      </c>
      <c r="L67" s="3">
        <v>20.64</v>
      </c>
      <c r="M67" s="3">
        <v>21.67</v>
      </c>
      <c r="N67" s="3">
        <v>42.99</v>
      </c>
      <c r="O67" s="2" t="s">
        <v>203</v>
      </c>
      <c r="P67" s="2" t="s">
        <v>204</v>
      </c>
      <c r="Q67" s="2" t="s">
        <v>205</v>
      </c>
      <c r="R67" s="2" t="s">
        <v>206</v>
      </c>
      <c r="S67" s="2" t="s">
        <v>667</v>
      </c>
      <c r="T67" s="2" t="s">
        <v>234</v>
      </c>
      <c r="U67" s="2" t="s">
        <v>437</v>
      </c>
      <c r="V67" s="2" t="s">
        <v>668</v>
      </c>
      <c r="W67" s="2" t="s">
        <v>539</v>
      </c>
      <c r="X67" s="2" t="s">
        <v>206</v>
      </c>
      <c r="Y67" s="2" t="s">
        <v>669</v>
      </c>
      <c r="Z67" s="4">
        <v>159</v>
      </c>
      <c r="AA67" s="4">
        <f>=ROUNDDOWN(17.6666666666667,0)</f>
      </c>
      <c r="AB67" s="5">
        <v>9</v>
      </c>
      <c r="AC67" s="2" t="s">
        <v>112</v>
      </c>
      <c r="AD67" s="4">
        <v>96</v>
      </c>
      <c r="AE67" s="4">
        <v>354</v>
      </c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206</v>
      </c>
      <c r="AM67" s="4"/>
      <c r="AN67" s="4"/>
      <c r="AO67" s="7"/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206</v>
      </c>
      <c r="BD67" s="8" t="s">
        <v>206</v>
      </c>
      <c r="BE67" s="4" t="s">
        <v>206</v>
      </c>
      <c r="BF67" s="8" t="s">
        <v>206</v>
      </c>
      <c r="BG67" s="7" t="s">
        <v>206</v>
      </c>
      <c r="BH67" s="7" t="s">
        <v>206</v>
      </c>
      <c r="BI67" s="7"/>
      <c r="BJ67" s="4">
        <v>48</v>
      </c>
      <c r="BK67" s="8">
        <v>1083.87</v>
      </c>
      <c r="BL67" s="2" t="s">
        <v>670</v>
      </c>
      <c r="BM67" s="7"/>
      <c r="BN67" s="7"/>
      <c r="BO67" s="4"/>
      <c r="BP67" s="8"/>
      <c r="BQ67" s="4"/>
      <c r="BR67" s="8"/>
      <c r="BS67" s="7"/>
      <c r="BT67" s="7"/>
      <c r="BU67" s="2" t="s">
        <v>671</v>
      </c>
      <c r="BV67" s="2" t="s">
        <v>206</v>
      </c>
      <c r="BW67" s="2" t="s">
        <v>206</v>
      </c>
      <c r="BX67" s="2" t="s">
        <v>214</v>
      </c>
      <c r="BY67" s="2" t="s">
        <v>215</v>
      </c>
      <c r="BZ67" s="2" t="s">
        <v>203</v>
      </c>
      <c r="CA67" s="2" t="s">
        <v>669</v>
      </c>
      <c r="CB67" s="2" t="s">
        <v>672</v>
      </c>
      <c r="CC67" s="2" t="s">
        <v>218</v>
      </c>
      <c r="CD67" s="2" t="s">
        <v>206</v>
      </c>
      <c r="CE67" s="4">
        <v>159</v>
      </c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>
        <v>96</v>
      </c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>
        <v>54</v>
      </c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>
        <v>204</v>
      </c>
      <c r="GB67" s="4"/>
      <c r="GC67" s="4"/>
      <c r="GD67" s="4"/>
      <c r="GE67" s="4"/>
      <c r="GF67" s="4"/>
    </row>
    <row r="68">
      <c r="A68" s="2" t="s">
        <v>673</v>
      </c>
      <c r="B68" s="2" t="s">
        <v>613</v>
      </c>
      <c r="C68" s="2" t="s">
        <v>287</v>
      </c>
      <c r="D68" s="2" t="s">
        <v>628</v>
      </c>
      <c r="E68" s="2" t="s">
        <v>629</v>
      </c>
      <c r="F68" s="2" t="s">
        <v>616</v>
      </c>
      <c r="G68" s="2" t="s">
        <v>617</v>
      </c>
      <c r="H68" s="2" t="s">
        <v>618</v>
      </c>
      <c r="I68" s="2" t="s">
        <v>630</v>
      </c>
      <c r="J68" s="2" t="s">
        <v>631</v>
      </c>
      <c r="K68" s="2" t="s">
        <v>674</v>
      </c>
      <c r="L68" s="3">
        <v>15.75</v>
      </c>
      <c r="M68" s="3">
        <v>16.54</v>
      </c>
      <c r="N68" s="3">
        <v>34.99</v>
      </c>
      <c r="O68" s="2" t="s">
        <v>203</v>
      </c>
      <c r="P68" s="2" t="s">
        <v>204</v>
      </c>
      <c r="Q68" s="2" t="s">
        <v>205</v>
      </c>
      <c r="R68" s="2" t="s">
        <v>206</v>
      </c>
      <c r="S68" s="2" t="s">
        <v>675</v>
      </c>
      <c r="T68" s="2" t="s">
        <v>206</v>
      </c>
      <c r="U68" s="2" t="s">
        <v>206</v>
      </c>
      <c r="V68" s="2" t="s">
        <v>622</v>
      </c>
      <c r="W68" s="2" t="s">
        <v>539</v>
      </c>
      <c r="X68" s="2" t="s">
        <v>633</v>
      </c>
      <c r="Y68" s="2" t="s">
        <v>211</v>
      </c>
      <c r="Z68" s="4">
        <v>459</v>
      </c>
      <c r="AA68" s="4">
        <f>=ROUNDDOWN(32.7857142857143,0)</f>
      </c>
      <c r="AB68" s="5">
        <v>14</v>
      </c>
      <c r="AC68" s="2" t="s">
        <v>126</v>
      </c>
      <c r="AD68" s="4">
        <v>280</v>
      </c>
      <c r="AE68" s="4">
        <v>280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206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206</v>
      </c>
      <c r="AW68" s="8" t="s">
        <v>206</v>
      </c>
      <c r="AX68" s="4" t="s">
        <v>206</v>
      </c>
      <c r="AY68" s="8" t="s">
        <v>206</v>
      </c>
      <c r="AZ68" s="7" t="s">
        <v>206</v>
      </c>
      <c r="BA68" s="7" t="s">
        <v>206</v>
      </c>
      <c r="BB68" s="7"/>
      <c r="BC68" s="4" t="s">
        <v>206</v>
      </c>
      <c r="BD68" s="8" t="s">
        <v>206</v>
      </c>
      <c r="BE68" s="4" t="s">
        <v>206</v>
      </c>
      <c r="BF68" s="8" t="s">
        <v>206</v>
      </c>
      <c r="BG68" s="7" t="s">
        <v>206</v>
      </c>
      <c r="BH68" s="7" t="s">
        <v>206</v>
      </c>
      <c r="BI68" s="7"/>
      <c r="BJ68" s="4">
        <v>85</v>
      </c>
      <c r="BK68" s="8">
        <v>1344.67</v>
      </c>
      <c r="BL68" s="2" t="s">
        <v>676</v>
      </c>
      <c r="BM68" s="7"/>
      <c r="BN68" s="7"/>
      <c r="BO68" s="4"/>
      <c r="BP68" s="8"/>
      <c r="BQ68" s="4"/>
      <c r="BR68" s="8"/>
      <c r="BS68" s="7"/>
      <c r="BT68" s="7"/>
      <c r="BU68" s="2" t="s">
        <v>677</v>
      </c>
      <c r="BV68" s="2" t="s">
        <v>206</v>
      </c>
      <c r="BW68" s="2" t="s">
        <v>206</v>
      </c>
      <c r="BX68" s="2" t="s">
        <v>214</v>
      </c>
      <c r="BY68" s="2" t="s">
        <v>215</v>
      </c>
      <c r="BZ68" s="2" t="s">
        <v>203</v>
      </c>
      <c r="CA68" s="2" t="s">
        <v>216</v>
      </c>
      <c r="CB68" s="2" t="s">
        <v>678</v>
      </c>
      <c r="CC68" s="2" t="s">
        <v>218</v>
      </c>
      <c r="CD68" s="2" t="s">
        <v>206</v>
      </c>
      <c r="CE68" s="4">
        <v>459</v>
      </c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>
        <v>280</v>
      </c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</row>
    <row r="69">
      <c r="A69" s="2" t="s">
        <v>679</v>
      </c>
      <c r="B69" s="2" t="s">
        <v>613</v>
      </c>
      <c r="C69" s="2" t="s">
        <v>287</v>
      </c>
      <c r="D69" s="2" t="s">
        <v>614</v>
      </c>
      <c r="E69" s="2" t="s">
        <v>615</v>
      </c>
      <c r="F69" s="2" t="s">
        <v>616</v>
      </c>
      <c r="G69" s="2" t="s">
        <v>617</v>
      </c>
      <c r="H69" s="2" t="s">
        <v>618</v>
      </c>
      <c r="I69" s="2" t="s">
        <v>619</v>
      </c>
      <c r="J69" s="2" t="s">
        <v>620</v>
      </c>
      <c r="K69" s="2" t="s">
        <v>674</v>
      </c>
      <c r="L69" s="3">
        <v>10</v>
      </c>
      <c r="M69" s="3">
        <v>10.5</v>
      </c>
      <c r="N69" s="3">
        <v>24.99</v>
      </c>
      <c r="O69" s="2" t="s">
        <v>203</v>
      </c>
      <c r="P69" s="2" t="s">
        <v>204</v>
      </c>
      <c r="Q69" s="2" t="s">
        <v>205</v>
      </c>
      <c r="R69" s="2" t="s">
        <v>206</v>
      </c>
      <c r="S69" s="2" t="s">
        <v>675</v>
      </c>
      <c r="T69" s="2" t="s">
        <v>206</v>
      </c>
      <c r="U69" s="2" t="s">
        <v>206</v>
      </c>
      <c r="V69" s="2" t="s">
        <v>622</v>
      </c>
      <c r="W69" s="2" t="s">
        <v>539</v>
      </c>
      <c r="X69" s="2" t="s">
        <v>206</v>
      </c>
      <c r="Y69" s="2" t="s">
        <v>211</v>
      </c>
      <c r="Z69" s="4">
        <v>244</v>
      </c>
      <c r="AA69" s="4">
        <f>=ROUNDDOWN(17.4285714285714,0)</f>
      </c>
      <c r="AB69" s="5">
        <v>14</v>
      </c>
      <c r="AC69" s="2" t="s">
        <v>126</v>
      </c>
      <c r="AD69" s="4">
        <v>580</v>
      </c>
      <c r="AE69" s="4">
        <v>580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206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206</v>
      </c>
      <c r="AW69" s="8" t="s">
        <v>206</v>
      </c>
      <c r="AX69" s="4" t="s">
        <v>206</v>
      </c>
      <c r="AY69" s="8" t="s">
        <v>206</v>
      </c>
      <c r="AZ69" s="7" t="s">
        <v>206</v>
      </c>
      <c r="BA69" s="7" t="s">
        <v>206</v>
      </c>
      <c r="BB69" s="7"/>
      <c r="BC69" s="4" t="s">
        <v>206</v>
      </c>
      <c r="BD69" s="8" t="s">
        <v>206</v>
      </c>
      <c r="BE69" s="4" t="s">
        <v>206</v>
      </c>
      <c r="BF69" s="8" t="s">
        <v>206</v>
      </c>
      <c r="BG69" s="7" t="s">
        <v>206</v>
      </c>
      <c r="BH69" s="7" t="s">
        <v>206</v>
      </c>
      <c r="BI69" s="7"/>
      <c r="BJ69" s="4">
        <v>94</v>
      </c>
      <c r="BK69" s="8">
        <v>945.57</v>
      </c>
      <c r="BL69" s="2" t="s">
        <v>680</v>
      </c>
      <c r="BM69" s="7"/>
      <c r="BN69" s="7"/>
      <c r="BO69" s="4"/>
      <c r="BP69" s="8"/>
      <c r="BQ69" s="4"/>
      <c r="BR69" s="8"/>
      <c r="BS69" s="7"/>
      <c r="BT69" s="7"/>
      <c r="BU69" s="2" t="s">
        <v>681</v>
      </c>
      <c r="BV69" s="2" t="s">
        <v>206</v>
      </c>
      <c r="BW69" s="2" t="s">
        <v>206</v>
      </c>
      <c r="BX69" s="2" t="s">
        <v>214</v>
      </c>
      <c r="BY69" s="2" t="s">
        <v>215</v>
      </c>
      <c r="BZ69" s="2" t="s">
        <v>203</v>
      </c>
      <c r="CA69" s="2" t="s">
        <v>216</v>
      </c>
      <c r="CB69" s="2" t="s">
        <v>682</v>
      </c>
      <c r="CC69" s="2" t="s">
        <v>218</v>
      </c>
      <c r="CD69" s="2" t="s">
        <v>206</v>
      </c>
      <c r="CE69" s="4">
        <v>244</v>
      </c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>
        <v>580</v>
      </c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</row>
    <row r="70">
      <c r="A70" s="2" t="s">
        <v>683</v>
      </c>
      <c r="B70" s="2" t="s">
        <v>662</v>
      </c>
      <c r="C70" s="2" t="s">
        <v>287</v>
      </c>
      <c r="D70" s="2" t="s">
        <v>684</v>
      </c>
      <c r="E70" s="2" t="s">
        <v>685</v>
      </c>
      <c r="F70" s="2" t="s">
        <v>616</v>
      </c>
      <c r="G70" s="2" t="s">
        <v>617</v>
      </c>
      <c r="H70" s="2" t="s">
        <v>618</v>
      </c>
      <c r="I70" s="2" t="s">
        <v>686</v>
      </c>
      <c r="J70" s="2" t="s">
        <v>687</v>
      </c>
      <c r="K70" s="2" t="s">
        <v>674</v>
      </c>
      <c r="L70" s="3">
        <v>13.2</v>
      </c>
      <c r="M70" s="3">
        <v>13.86</v>
      </c>
      <c r="N70" s="3">
        <v>29.99</v>
      </c>
      <c r="O70" s="2" t="s">
        <v>203</v>
      </c>
      <c r="P70" s="2" t="s">
        <v>204</v>
      </c>
      <c r="Q70" s="2" t="s">
        <v>205</v>
      </c>
      <c r="R70" s="2" t="s">
        <v>206</v>
      </c>
      <c r="S70" s="2" t="s">
        <v>675</v>
      </c>
      <c r="T70" s="2" t="s">
        <v>206</v>
      </c>
      <c r="U70" s="2" t="s">
        <v>206</v>
      </c>
      <c r="V70" s="2" t="s">
        <v>622</v>
      </c>
      <c r="W70" s="2" t="s">
        <v>539</v>
      </c>
      <c r="X70" s="2" t="s">
        <v>206</v>
      </c>
      <c r="Y70" s="2" t="s">
        <v>211</v>
      </c>
      <c r="Z70" s="4">
        <v>159</v>
      </c>
      <c r="AA70" s="4">
        <f>=ROUNDDOWN(8.83333333333333,0)</f>
      </c>
      <c r="AB70" s="5">
        <v>18</v>
      </c>
      <c r="AC70" s="2" t="s">
        <v>318</v>
      </c>
      <c r="AD70" s="4">
        <v>200</v>
      </c>
      <c r="AE70" s="4">
        <v>420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206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206</v>
      </c>
      <c r="AW70" s="8" t="s">
        <v>206</v>
      </c>
      <c r="AX70" s="4" t="s">
        <v>206</v>
      </c>
      <c r="AY70" s="8" t="s">
        <v>206</v>
      </c>
      <c r="AZ70" s="7" t="s">
        <v>206</v>
      </c>
      <c r="BA70" s="7" t="s">
        <v>206</v>
      </c>
      <c r="BB70" s="7"/>
      <c r="BC70" s="4" t="s">
        <v>206</v>
      </c>
      <c r="BD70" s="8" t="s">
        <v>206</v>
      </c>
      <c r="BE70" s="4" t="s">
        <v>206</v>
      </c>
      <c r="BF70" s="8" t="s">
        <v>206</v>
      </c>
      <c r="BG70" s="7" t="s">
        <v>206</v>
      </c>
      <c r="BH70" s="7" t="s">
        <v>206</v>
      </c>
      <c r="BI70" s="7"/>
      <c r="BJ70" s="4">
        <v>153</v>
      </c>
      <c r="BK70" s="8">
        <v>2290.26</v>
      </c>
      <c r="BL70" s="2" t="s">
        <v>688</v>
      </c>
      <c r="BM70" s="7"/>
      <c r="BN70" s="7"/>
      <c r="BO70" s="4"/>
      <c r="BP70" s="8"/>
      <c r="BQ70" s="4"/>
      <c r="BR70" s="8"/>
      <c r="BS70" s="7"/>
      <c r="BT70" s="7"/>
      <c r="BU70" s="2" t="s">
        <v>689</v>
      </c>
      <c r="BV70" s="2" t="s">
        <v>206</v>
      </c>
      <c r="BW70" s="2" t="s">
        <v>206</v>
      </c>
      <c r="BX70" s="2" t="s">
        <v>426</v>
      </c>
      <c r="BY70" s="2" t="s">
        <v>215</v>
      </c>
      <c r="BZ70" s="2" t="s">
        <v>203</v>
      </c>
      <c r="CA70" s="2" t="s">
        <v>216</v>
      </c>
      <c r="CB70" s="2" t="s">
        <v>690</v>
      </c>
      <c r="CC70" s="2" t="s">
        <v>218</v>
      </c>
      <c r="CD70" s="2" t="s">
        <v>206</v>
      </c>
      <c r="CE70" s="4">
        <v>159</v>
      </c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>
        <v>200</v>
      </c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>
        <v>220</v>
      </c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</row>
    <row r="71">
      <c r="A71" s="2" t="s">
        <v>691</v>
      </c>
      <c r="B71" s="2" t="s">
        <v>613</v>
      </c>
      <c r="C71" s="2" t="s">
        <v>287</v>
      </c>
      <c r="D71" s="2" t="s">
        <v>628</v>
      </c>
      <c r="E71" s="2" t="s">
        <v>629</v>
      </c>
      <c r="F71" s="2" t="s">
        <v>692</v>
      </c>
      <c r="G71" s="2" t="s">
        <v>693</v>
      </c>
      <c r="H71" s="2" t="s">
        <v>694</v>
      </c>
      <c r="I71" s="2" t="s">
        <v>695</v>
      </c>
      <c r="J71" s="2" t="s">
        <v>631</v>
      </c>
      <c r="K71" s="2" t="s">
        <v>696</v>
      </c>
      <c r="L71" s="3">
        <v>18.24</v>
      </c>
      <c r="M71" s="3">
        <v>19.15</v>
      </c>
      <c r="N71" s="3">
        <v>37.99</v>
      </c>
      <c r="O71" s="2" t="s">
        <v>203</v>
      </c>
      <c r="P71" s="2" t="s">
        <v>492</v>
      </c>
      <c r="Q71" s="2" t="s">
        <v>205</v>
      </c>
      <c r="R71" s="2" t="s">
        <v>206</v>
      </c>
      <c r="S71" s="2" t="s">
        <v>697</v>
      </c>
      <c r="T71" s="2" t="s">
        <v>206</v>
      </c>
      <c r="U71" s="2" t="s">
        <v>437</v>
      </c>
      <c r="V71" s="2" t="s">
        <v>698</v>
      </c>
      <c r="W71" s="2" t="s">
        <v>210</v>
      </c>
      <c r="X71" s="2" t="s">
        <v>633</v>
      </c>
      <c r="Y71" s="2" t="s">
        <v>699</v>
      </c>
      <c r="Z71" s="4">
        <v>340</v>
      </c>
      <c r="AA71" s="4">
        <f>=ROUNDDOWN(10,0)</f>
      </c>
      <c r="AB71" s="5">
        <v>34</v>
      </c>
      <c r="AC71" s="2" t="s">
        <v>127</v>
      </c>
      <c r="AD71" s="4">
        <v>200</v>
      </c>
      <c r="AE71" s="4">
        <v>740</v>
      </c>
      <c r="AF71" s="6">
        <v>65</v>
      </c>
      <c r="AG71" s="6"/>
      <c r="AH71" s="7">
        <v>0.9032</v>
      </c>
      <c r="AI71" s="4"/>
      <c r="AJ71" s="4">
        <f>=ROUNDDOWN({0},0)</f>
      </c>
      <c r="AK71" s="5"/>
      <c r="AL71" s="2" t="s">
        <v>206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206</v>
      </c>
      <c r="AW71" s="8" t="s">
        <v>206</v>
      </c>
      <c r="AX71" s="4" t="s">
        <v>206</v>
      </c>
      <c r="AY71" s="8" t="s">
        <v>206</v>
      </c>
      <c r="AZ71" s="7" t="s">
        <v>206</v>
      </c>
      <c r="BA71" s="7" t="s">
        <v>206</v>
      </c>
      <c r="BB71" s="7" t="s">
        <v>206</v>
      </c>
      <c r="BC71" s="4" t="s">
        <v>206</v>
      </c>
      <c r="BD71" s="8" t="s">
        <v>206</v>
      </c>
      <c r="BE71" s="4" t="s">
        <v>206</v>
      </c>
      <c r="BF71" s="8" t="s">
        <v>206</v>
      </c>
      <c r="BG71" s="7" t="s">
        <v>206</v>
      </c>
      <c r="BH71" s="7" t="s">
        <v>206</v>
      </c>
      <c r="BI71" s="7"/>
      <c r="BJ71" s="4">
        <v>37</v>
      </c>
      <c r="BK71" s="8">
        <v>715.82</v>
      </c>
      <c r="BL71" s="2" t="s">
        <v>700</v>
      </c>
      <c r="BM71" s="7"/>
      <c r="BN71" s="7"/>
      <c r="BO71" s="4"/>
      <c r="BP71" s="8"/>
      <c r="BQ71" s="4"/>
      <c r="BR71" s="8"/>
      <c r="BS71" s="7"/>
      <c r="BT71" s="7"/>
      <c r="BU71" s="2" t="s">
        <v>701</v>
      </c>
      <c r="BV71" s="2" t="s">
        <v>206</v>
      </c>
      <c r="BW71" s="2" t="s">
        <v>206</v>
      </c>
      <c r="BX71" s="2" t="s">
        <v>426</v>
      </c>
      <c r="BY71" s="2" t="s">
        <v>215</v>
      </c>
      <c r="BZ71" s="2" t="s">
        <v>203</v>
      </c>
      <c r="CA71" s="2" t="s">
        <v>702</v>
      </c>
      <c r="CB71" s="2" t="s">
        <v>703</v>
      </c>
      <c r="CC71" s="2" t="s">
        <v>218</v>
      </c>
      <c r="CD71" s="2" t="s">
        <v>206</v>
      </c>
      <c r="CE71" s="4">
        <v>340</v>
      </c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>
        <v>200</v>
      </c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>
        <v>220</v>
      </c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>
        <v>280</v>
      </c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>
        <v>40</v>
      </c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</row>
    <row r="72">
      <c r="A72" s="2" t="s">
        <v>704</v>
      </c>
      <c r="B72" s="2" t="s">
        <v>613</v>
      </c>
      <c r="C72" s="2" t="s">
        <v>287</v>
      </c>
      <c r="D72" s="2" t="s">
        <v>628</v>
      </c>
      <c r="E72" s="2" t="s">
        <v>629</v>
      </c>
      <c r="F72" s="2" t="s">
        <v>692</v>
      </c>
      <c r="G72" s="2" t="s">
        <v>693</v>
      </c>
      <c r="H72" s="2" t="s">
        <v>694</v>
      </c>
      <c r="I72" s="2" t="s">
        <v>705</v>
      </c>
      <c r="J72" s="2" t="s">
        <v>631</v>
      </c>
      <c r="K72" s="2" t="s">
        <v>696</v>
      </c>
      <c r="L72" s="3">
        <v>17.48</v>
      </c>
      <c r="M72" s="3">
        <v>18.35</v>
      </c>
      <c r="N72" s="3">
        <v>37.99</v>
      </c>
      <c r="O72" s="2" t="s">
        <v>203</v>
      </c>
      <c r="P72" s="2" t="s">
        <v>492</v>
      </c>
      <c r="Q72" s="2" t="s">
        <v>205</v>
      </c>
      <c r="R72" s="2" t="s">
        <v>206</v>
      </c>
      <c r="S72" s="2" t="s">
        <v>697</v>
      </c>
      <c r="T72" s="2" t="s">
        <v>206</v>
      </c>
      <c r="U72" s="2" t="s">
        <v>437</v>
      </c>
      <c r="V72" s="2" t="s">
        <v>698</v>
      </c>
      <c r="W72" s="2" t="s">
        <v>210</v>
      </c>
      <c r="X72" s="2" t="s">
        <v>633</v>
      </c>
      <c r="Y72" s="2" t="s">
        <v>699</v>
      </c>
      <c r="Z72" s="4">
        <v>1119</v>
      </c>
      <c r="AA72" s="4">
        <f>=ROUNDDOWN(6.01612903225806,0)</f>
      </c>
      <c r="AB72" s="5">
        <v>186</v>
      </c>
      <c r="AC72" s="2" t="s">
        <v>5</v>
      </c>
      <c r="AD72" s="4">
        <v>600</v>
      </c>
      <c r="AE72" s="4">
        <v>4360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206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206</v>
      </c>
      <c r="AW72" s="8" t="s">
        <v>206</v>
      </c>
      <c r="AX72" s="4" t="s">
        <v>206</v>
      </c>
      <c r="AY72" s="8" t="s">
        <v>206</v>
      </c>
      <c r="AZ72" s="7" t="s">
        <v>206</v>
      </c>
      <c r="BA72" s="7" t="s">
        <v>206</v>
      </c>
      <c r="BB72" s="7" t="s">
        <v>206</v>
      </c>
      <c r="BC72" s="4" t="s">
        <v>206</v>
      </c>
      <c r="BD72" s="8" t="s">
        <v>206</v>
      </c>
      <c r="BE72" s="4" t="s">
        <v>206</v>
      </c>
      <c r="BF72" s="8" t="s">
        <v>206</v>
      </c>
      <c r="BG72" s="7" t="s">
        <v>206</v>
      </c>
      <c r="BH72" s="7" t="s">
        <v>206</v>
      </c>
      <c r="BI72" s="7"/>
      <c r="BJ72" s="4">
        <v>1125</v>
      </c>
      <c r="BK72" s="8">
        <v>21209.45</v>
      </c>
      <c r="BL72" s="2" t="s">
        <v>706</v>
      </c>
      <c r="BM72" s="7"/>
      <c r="BN72" s="7"/>
      <c r="BO72" s="4"/>
      <c r="BP72" s="8"/>
      <c r="BQ72" s="4"/>
      <c r="BR72" s="8"/>
      <c r="BS72" s="7"/>
      <c r="BT72" s="7"/>
      <c r="BU72" s="2" t="s">
        <v>707</v>
      </c>
      <c r="BV72" s="2" t="s">
        <v>206</v>
      </c>
      <c r="BW72" s="2" t="s">
        <v>206</v>
      </c>
      <c r="BX72" s="2" t="s">
        <v>426</v>
      </c>
      <c r="BY72" s="2" t="s">
        <v>215</v>
      </c>
      <c r="BZ72" s="2" t="s">
        <v>203</v>
      </c>
      <c r="CA72" s="2" t="s">
        <v>702</v>
      </c>
      <c r="CB72" s="2" t="s">
        <v>703</v>
      </c>
      <c r="CC72" s="2" t="s">
        <v>218</v>
      </c>
      <c r="CD72" s="2" t="s">
        <v>206</v>
      </c>
      <c r="CE72" s="4">
        <v>1119</v>
      </c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>
        <v>600</v>
      </c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>
        <v>1200</v>
      </c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>
        <v>1400</v>
      </c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>
        <v>360</v>
      </c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>
        <v>800</v>
      </c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</row>
    <row r="73">
      <c r="A73" s="2" t="s">
        <v>708</v>
      </c>
      <c r="B73" s="2" t="s">
        <v>613</v>
      </c>
      <c r="C73" s="2" t="s">
        <v>287</v>
      </c>
      <c r="D73" s="2" t="s">
        <v>628</v>
      </c>
      <c r="E73" s="2" t="s">
        <v>629</v>
      </c>
      <c r="F73" s="2" t="s">
        <v>692</v>
      </c>
      <c r="G73" s="2" t="s">
        <v>693</v>
      </c>
      <c r="H73" s="2" t="s">
        <v>694</v>
      </c>
      <c r="I73" s="2" t="s">
        <v>705</v>
      </c>
      <c r="J73" s="2" t="s">
        <v>631</v>
      </c>
      <c r="K73" s="2" t="s">
        <v>709</v>
      </c>
      <c r="L73" s="3">
        <v>17.48</v>
      </c>
      <c r="M73" s="3">
        <v>18.35</v>
      </c>
      <c r="N73" s="3">
        <v>37.99</v>
      </c>
      <c r="O73" s="2" t="s">
        <v>203</v>
      </c>
      <c r="P73" s="2" t="s">
        <v>204</v>
      </c>
      <c r="Q73" s="2" t="s">
        <v>205</v>
      </c>
      <c r="R73" s="2" t="s">
        <v>206</v>
      </c>
      <c r="S73" s="2" t="s">
        <v>710</v>
      </c>
      <c r="T73" s="2" t="s">
        <v>206</v>
      </c>
      <c r="U73" s="2" t="s">
        <v>437</v>
      </c>
      <c r="V73" s="2" t="s">
        <v>698</v>
      </c>
      <c r="W73" s="2" t="s">
        <v>210</v>
      </c>
      <c r="X73" s="2" t="s">
        <v>633</v>
      </c>
      <c r="Y73" s="2" t="s">
        <v>711</v>
      </c>
      <c r="Z73" s="4">
        <v>112</v>
      </c>
      <c r="AA73" s="4">
        <f>=ROUNDDOWN(1.09803921568627,0)</f>
      </c>
      <c r="AB73" s="5">
        <v>102</v>
      </c>
      <c r="AC73" s="2" t="s">
        <v>108</v>
      </c>
      <c r="AD73" s="4">
        <v>380</v>
      </c>
      <c r="AE73" s="4">
        <v>3256</v>
      </c>
      <c r="AF73" s="6">
        <v>65</v>
      </c>
      <c r="AG73" s="6"/>
      <c r="AH73" s="7">
        <v>0.9677</v>
      </c>
      <c r="AI73" s="4"/>
      <c r="AJ73" s="4">
        <f>=ROUNDDOWN({0},0)</f>
      </c>
      <c r="AK73" s="5"/>
      <c r="AL73" s="2" t="s">
        <v>206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206</v>
      </c>
      <c r="BD73" s="8" t="s">
        <v>206</v>
      </c>
      <c r="BE73" s="4" t="s">
        <v>206</v>
      </c>
      <c r="BF73" s="8" t="s">
        <v>206</v>
      </c>
      <c r="BG73" s="7" t="s">
        <v>206</v>
      </c>
      <c r="BH73" s="7" t="s">
        <v>206</v>
      </c>
      <c r="BI73" s="7"/>
      <c r="BJ73" s="4">
        <v>1114</v>
      </c>
      <c r="BK73" s="8">
        <v>21184.26</v>
      </c>
      <c r="BL73" s="2" t="s">
        <v>712</v>
      </c>
      <c r="BM73" s="7"/>
      <c r="BN73" s="7"/>
      <c r="BO73" s="4"/>
      <c r="BP73" s="8"/>
      <c r="BQ73" s="4"/>
      <c r="BR73" s="8"/>
      <c r="BS73" s="7"/>
      <c r="BT73" s="7"/>
      <c r="BU73" s="2" t="s">
        <v>713</v>
      </c>
      <c r="BV73" s="2" t="s">
        <v>206</v>
      </c>
      <c r="BW73" s="2" t="s">
        <v>206</v>
      </c>
      <c r="BX73" s="2" t="s">
        <v>426</v>
      </c>
      <c r="BY73" s="2" t="s">
        <v>215</v>
      </c>
      <c r="BZ73" s="2" t="s">
        <v>203</v>
      </c>
      <c r="CA73" s="2" t="s">
        <v>714</v>
      </c>
      <c r="CB73" s="2" t="s">
        <v>715</v>
      </c>
      <c r="CC73" s="2" t="s">
        <v>218</v>
      </c>
      <c r="CD73" s="2" t="s">
        <v>206</v>
      </c>
      <c r="CE73" s="4">
        <v>112</v>
      </c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>
        <v>380</v>
      </c>
      <c r="CU73" s="4"/>
      <c r="CV73" s="4">
        <v>380</v>
      </c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>
        <v>376</v>
      </c>
      <c r="DH73" s="4"/>
      <c r="DI73" s="4"/>
      <c r="DJ73" s="4"/>
      <c r="DK73" s="4"/>
      <c r="DL73" s="4"/>
      <c r="DM73" s="4"/>
      <c r="DN73" s="4"/>
      <c r="DO73" s="4">
        <v>180</v>
      </c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>
        <v>740</v>
      </c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>
        <v>1200</v>
      </c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</row>
    <row r="74">
      <c r="A74" s="2" t="s">
        <v>716</v>
      </c>
      <c r="B74" s="2" t="s">
        <v>613</v>
      </c>
      <c r="C74" s="2" t="s">
        <v>287</v>
      </c>
      <c r="D74" s="2" t="s">
        <v>628</v>
      </c>
      <c r="E74" s="2" t="s">
        <v>629</v>
      </c>
      <c r="F74" s="2" t="s">
        <v>692</v>
      </c>
      <c r="G74" s="2" t="s">
        <v>693</v>
      </c>
      <c r="H74" s="2" t="s">
        <v>694</v>
      </c>
      <c r="I74" s="2" t="s">
        <v>695</v>
      </c>
      <c r="J74" s="2" t="s">
        <v>631</v>
      </c>
      <c r="K74" s="2" t="s">
        <v>336</v>
      </c>
      <c r="L74" s="3">
        <v>18.24</v>
      </c>
      <c r="M74" s="3">
        <v>19.15</v>
      </c>
      <c r="N74" s="3">
        <v>37.99</v>
      </c>
      <c r="O74" s="2" t="s">
        <v>203</v>
      </c>
      <c r="P74" s="2" t="s">
        <v>204</v>
      </c>
      <c r="Q74" s="2" t="s">
        <v>205</v>
      </c>
      <c r="R74" s="2" t="s">
        <v>206</v>
      </c>
      <c r="S74" s="2" t="s">
        <v>717</v>
      </c>
      <c r="T74" s="2" t="s">
        <v>206</v>
      </c>
      <c r="U74" s="2" t="s">
        <v>437</v>
      </c>
      <c r="V74" s="2" t="s">
        <v>698</v>
      </c>
      <c r="W74" s="2" t="s">
        <v>210</v>
      </c>
      <c r="X74" s="2" t="s">
        <v>633</v>
      </c>
      <c r="Y74" s="2" t="s">
        <v>718</v>
      </c>
      <c r="Z74" s="4">
        <v>190</v>
      </c>
      <c r="AA74" s="4">
        <f>=ROUNDDOWN(47.5,0)</f>
      </c>
      <c r="AB74" s="5">
        <v>4</v>
      </c>
      <c r="AC74" s="2" t="s">
        <v>206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206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206</v>
      </c>
      <c r="BD74" s="8" t="s">
        <v>206</v>
      </c>
      <c r="BE74" s="4" t="s">
        <v>206</v>
      </c>
      <c r="BF74" s="8" t="s">
        <v>206</v>
      </c>
      <c r="BG74" s="7" t="s">
        <v>206</v>
      </c>
      <c r="BH74" s="7" t="s">
        <v>206</v>
      </c>
      <c r="BI74" s="7"/>
      <c r="BJ74" s="4">
        <v>15</v>
      </c>
      <c r="BK74" s="8">
        <v>302.66</v>
      </c>
      <c r="BL74" s="2" t="s">
        <v>719</v>
      </c>
      <c r="BM74" s="7"/>
      <c r="BN74" s="7"/>
      <c r="BO74" s="4"/>
      <c r="BP74" s="8"/>
      <c r="BQ74" s="4"/>
      <c r="BR74" s="8"/>
      <c r="BS74" s="7"/>
      <c r="BT74" s="7"/>
      <c r="BU74" s="2" t="s">
        <v>720</v>
      </c>
      <c r="BV74" s="2" t="s">
        <v>206</v>
      </c>
      <c r="BW74" s="2" t="s">
        <v>206</v>
      </c>
      <c r="BX74" s="2" t="s">
        <v>426</v>
      </c>
      <c r="BY74" s="2" t="s">
        <v>215</v>
      </c>
      <c r="BZ74" s="2" t="s">
        <v>203</v>
      </c>
      <c r="CA74" s="2" t="s">
        <v>714</v>
      </c>
      <c r="CB74" s="2" t="s">
        <v>715</v>
      </c>
      <c r="CC74" s="2" t="s">
        <v>218</v>
      </c>
      <c r="CD74" s="2" t="s">
        <v>206</v>
      </c>
      <c r="CE74" s="4">
        <v>190</v>
      </c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</row>
    <row r="75">
      <c r="A75" s="2" t="s">
        <v>721</v>
      </c>
      <c r="B75" s="2" t="s">
        <v>613</v>
      </c>
      <c r="C75" s="2" t="s">
        <v>287</v>
      </c>
      <c r="D75" s="2" t="s">
        <v>628</v>
      </c>
      <c r="E75" s="2" t="s">
        <v>629</v>
      </c>
      <c r="F75" s="2" t="s">
        <v>692</v>
      </c>
      <c r="G75" s="2" t="s">
        <v>693</v>
      </c>
      <c r="H75" s="2" t="s">
        <v>694</v>
      </c>
      <c r="I75" s="2" t="s">
        <v>695</v>
      </c>
      <c r="J75" s="2" t="s">
        <v>631</v>
      </c>
      <c r="K75" s="2" t="s">
        <v>656</v>
      </c>
      <c r="L75" s="3">
        <v>18.24</v>
      </c>
      <c r="M75" s="3">
        <v>19.15</v>
      </c>
      <c r="N75" s="3">
        <v>37.99</v>
      </c>
      <c r="O75" s="2" t="s">
        <v>203</v>
      </c>
      <c r="P75" s="2" t="s">
        <v>204</v>
      </c>
      <c r="Q75" s="2" t="s">
        <v>205</v>
      </c>
      <c r="R75" s="2" t="s">
        <v>206</v>
      </c>
      <c r="S75" s="2" t="s">
        <v>722</v>
      </c>
      <c r="T75" s="2" t="s">
        <v>206</v>
      </c>
      <c r="U75" s="2" t="s">
        <v>437</v>
      </c>
      <c r="V75" s="2" t="s">
        <v>698</v>
      </c>
      <c r="W75" s="2" t="s">
        <v>210</v>
      </c>
      <c r="X75" s="2" t="s">
        <v>633</v>
      </c>
      <c r="Y75" s="2" t="s">
        <v>699</v>
      </c>
      <c r="Z75" s="4">
        <v>555</v>
      </c>
      <c r="AA75" s="4">
        <f>=ROUNDDOWN(12.0652173913043,0)</f>
      </c>
      <c r="AB75" s="5">
        <v>46</v>
      </c>
      <c r="AC75" s="2" t="s">
        <v>119</v>
      </c>
      <c r="AD75" s="4">
        <v>200</v>
      </c>
      <c r="AE75" s="4">
        <v>1080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206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206</v>
      </c>
      <c r="BD75" s="8" t="s">
        <v>206</v>
      </c>
      <c r="BE75" s="4" t="s">
        <v>206</v>
      </c>
      <c r="BF75" s="8" t="s">
        <v>206</v>
      </c>
      <c r="BG75" s="7" t="s">
        <v>206</v>
      </c>
      <c r="BH75" s="7" t="s">
        <v>206</v>
      </c>
      <c r="BI75" s="7"/>
      <c r="BJ75" s="4">
        <v>176</v>
      </c>
      <c r="BK75" s="8">
        <v>3500.01</v>
      </c>
      <c r="BL75" s="2" t="s">
        <v>723</v>
      </c>
      <c r="BM75" s="7"/>
      <c r="BN75" s="7"/>
      <c r="BO75" s="4"/>
      <c r="BP75" s="8"/>
      <c r="BQ75" s="4"/>
      <c r="BR75" s="8"/>
      <c r="BS75" s="7"/>
      <c r="BT75" s="7"/>
      <c r="BU75" s="2" t="s">
        <v>724</v>
      </c>
      <c r="BV75" s="2" t="s">
        <v>206</v>
      </c>
      <c r="BW75" s="2" t="s">
        <v>206</v>
      </c>
      <c r="BX75" s="2" t="s">
        <v>426</v>
      </c>
      <c r="BY75" s="2" t="s">
        <v>215</v>
      </c>
      <c r="BZ75" s="2" t="s">
        <v>203</v>
      </c>
      <c r="CA75" s="2" t="s">
        <v>702</v>
      </c>
      <c r="CB75" s="2" t="s">
        <v>725</v>
      </c>
      <c r="CC75" s="2" t="s">
        <v>218</v>
      </c>
      <c r="CD75" s="2" t="s">
        <v>206</v>
      </c>
      <c r="CE75" s="4">
        <v>555</v>
      </c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>
        <v>200</v>
      </c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>
        <v>300</v>
      </c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>
        <v>580</v>
      </c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</row>
    <row r="76">
      <c r="A76" s="2" t="s">
        <v>726</v>
      </c>
      <c r="B76" s="2" t="s">
        <v>613</v>
      </c>
      <c r="C76" s="2" t="s">
        <v>287</v>
      </c>
      <c r="D76" s="2" t="s">
        <v>628</v>
      </c>
      <c r="E76" s="2" t="s">
        <v>629</v>
      </c>
      <c r="F76" s="2" t="s">
        <v>727</v>
      </c>
      <c r="G76" s="2" t="s">
        <v>728</v>
      </c>
      <c r="H76" s="2" t="s">
        <v>729</v>
      </c>
      <c r="I76" s="2" t="s">
        <v>730</v>
      </c>
      <c r="J76" s="2" t="s">
        <v>731</v>
      </c>
      <c r="K76" s="2" t="s">
        <v>262</v>
      </c>
      <c r="L76" s="3">
        <v>19.35</v>
      </c>
      <c r="M76" s="3">
        <v>20.32</v>
      </c>
      <c r="N76" s="3">
        <v>42.99</v>
      </c>
      <c r="O76" s="2" t="s">
        <v>203</v>
      </c>
      <c r="P76" s="2" t="s">
        <v>204</v>
      </c>
      <c r="Q76" s="2" t="s">
        <v>205</v>
      </c>
      <c r="R76" s="2" t="s">
        <v>206</v>
      </c>
      <c r="S76" s="2" t="s">
        <v>732</v>
      </c>
      <c r="T76" s="2" t="s">
        <v>206</v>
      </c>
      <c r="U76" s="2" t="s">
        <v>206</v>
      </c>
      <c r="V76" s="2" t="s">
        <v>245</v>
      </c>
      <c r="W76" s="2" t="s">
        <v>539</v>
      </c>
      <c r="X76" s="2" t="s">
        <v>633</v>
      </c>
      <c r="Y76" s="2" t="s">
        <v>211</v>
      </c>
      <c r="Z76" s="4">
        <v>197</v>
      </c>
      <c r="AA76" s="4">
        <f>=ROUNDDOWN(24.625,0)</f>
      </c>
      <c r="AB76" s="5">
        <v>8</v>
      </c>
      <c r="AC76" s="2" t="s">
        <v>127</v>
      </c>
      <c r="AD76" s="4">
        <v>12</v>
      </c>
      <c r="AE76" s="4">
        <v>180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206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206</v>
      </c>
      <c r="AW76" s="8" t="s">
        <v>206</v>
      </c>
      <c r="AX76" s="4" t="s">
        <v>206</v>
      </c>
      <c r="AY76" s="8" t="s">
        <v>206</v>
      </c>
      <c r="AZ76" s="7" t="s">
        <v>206</v>
      </c>
      <c r="BA76" s="7" t="s">
        <v>206</v>
      </c>
      <c r="BB76" s="7"/>
      <c r="BC76" s="4" t="s">
        <v>206</v>
      </c>
      <c r="BD76" s="8" t="s">
        <v>206</v>
      </c>
      <c r="BE76" s="4" t="s">
        <v>206</v>
      </c>
      <c r="BF76" s="8" t="s">
        <v>206</v>
      </c>
      <c r="BG76" s="7" t="s">
        <v>206</v>
      </c>
      <c r="BH76" s="7" t="s">
        <v>206</v>
      </c>
      <c r="BI76" s="7"/>
      <c r="BJ76" s="4">
        <v>57</v>
      </c>
      <c r="BK76" s="8">
        <v>1243.96</v>
      </c>
      <c r="BL76" s="2" t="s">
        <v>733</v>
      </c>
      <c r="BM76" s="7"/>
      <c r="BN76" s="7"/>
      <c r="BO76" s="4"/>
      <c r="BP76" s="8"/>
      <c r="BQ76" s="4"/>
      <c r="BR76" s="8"/>
      <c r="BS76" s="7"/>
      <c r="BT76" s="7"/>
      <c r="BU76" s="2" t="s">
        <v>734</v>
      </c>
      <c r="BV76" s="2" t="s">
        <v>206</v>
      </c>
      <c r="BW76" s="2" t="s">
        <v>206</v>
      </c>
      <c r="BX76" s="2" t="s">
        <v>214</v>
      </c>
      <c r="BY76" s="2" t="s">
        <v>215</v>
      </c>
      <c r="BZ76" s="2" t="s">
        <v>203</v>
      </c>
      <c r="CA76" s="2" t="s">
        <v>216</v>
      </c>
      <c r="CB76" s="2" t="s">
        <v>735</v>
      </c>
      <c r="CC76" s="2" t="s">
        <v>218</v>
      </c>
      <c r="CD76" s="2" t="s">
        <v>206</v>
      </c>
      <c r="CE76" s="4">
        <v>197</v>
      </c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>
        <v>12</v>
      </c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>
        <v>168</v>
      </c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</row>
    <row r="77">
      <c r="A77" s="2" t="s">
        <v>736</v>
      </c>
      <c r="B77" s="2" t="s">
        <v>613</v>
      </c>
      <c r="C77" s="2" t="s">
        <v>287</v>
      </c>
      <c r="D77" s="2" t="s">
        <v>614</v>
      </c>
      <c r="E77" s="2" t="s">
        <v>615</v>
      </c>
      <c r="F77" s="2" t="s">
        <v>727</v>
      </c>
      <c r="G77" s="2" t="s">
        <v>728</v>
      </c>
      <c r="H77" s="2" t="s">
        <v>729</v>
      </c>
      <c r="I77" s="2" t="s">
        <v>737</v>
      </c>
      <c r="J77" s="2" t="s">
        <v>620</v>
      </c>
      <c r="K77" s="2" t="s">
        <v>262</v>
      </c>
      <c r="L77" s="3">
        <v>11.76</v>
      </c>
      <c r="M77" s="3">
        <v>12.35</v>
      </c>
      <c r="N77" s="3">
        <v>27.99</v>
      </c>
      <c r="O77" s="2" t="s">
        <v>203</v>
      </c>
      <c r="P77" s="2" t="s">
        <v>204</v>
      </c>
      <c r="Q77" s="2" t="s">
        <v>205</v>
      </c>
      <c r="R77" s="2" t="s">
        <v>206</v>
      </c>
      <c r="S77" s="2" t="s">
        <v>732</v>
      </c>
      <c r="T77" s="2" t="s">
        <v>206</v>
      </c>
      <c r="U77" s="2" t="s">
        <v>206</v>
      </c>
      <c r="V77" s="2" t="s">
        <v>245</v>
      </c>
      <c r="W77" s="2" t="s">
        <v>539</v>
      </c>
      <c r="X77" s="2" t="s">
        <v>206</v>
      </c>
      <c r="Y77" s="2" t="s">
        <v>738</v>
      </c>
      <c r="Z77" s="4">
        <v>449</v>
      </c>
      <c r="AA77" s="4">
        <f>=ROUNDDOWN(40.8181818181818,0)</f>
      </c>
      <c r="AB77" s="5">
        <v>11</v>
      </c>
      <c r="AC77" s="2" t="s">
        <v>127</v>
      </c>
      <c r="AD77" s="4">
        <v>104</v>
      </c>
      <c r="AE77" s="4">
        <v>272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206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206</v>
      </c>
      <c r="AW77" s="8" t="s">
        <v>206</v>
      </c>
      <c r="AX77" s="4" t="s">
        <v>206</v>
      </c>
      <c r="AY77" s="8" t="s">
        <v>206</v>
      </c>
      <c r="AZ77" s="7" t="s">
        <v>206</v>
      </c>
      <c r="BA77" s="7" t="s">
        <v>206</v>
      </c>
      <c r="BB77" s="7"/>
      <c r="BC77" s="4" t="s">
        <v>206</v>
      </c>
      <c r="BD77" s="8" t="s">
        <v>206</v>
      </c>
      <c r="BE77" s="4" t="s">
        <v>206</v>
      </c>
      <c r="BF77" s="8" t="s">
        <v>206</v>
      </c>
      <c r="BG77" s="7" t="s">
        <v>206</v>
      </c>
      <c r="BH77" s="7" t="s">
        <v>206</v>
      </c>
      <c r="BI77" s="7"/>
      <c r="BJ77" s="4">
        <v>30</v>
      </c>
      <c r="BK77" s="8">
        <v>374.76</v>
      </c>
      <c r="BL77" s="2" t="s">
        <v>739</v>
      </c>
      <c r="BM77" s="7"/>
      <c r="BN77" s="7"/>
      <c r="BO77" s="4"/>
      <c r="BP77" s="8"/>
      <c r="BQ77" s="4"/>
      <c r="BR77" s="8"/>
      <c r="BS77" s="7"/>
      <c r="BT77" s="7"/>
      <c r="BU77" s="2" t="s">
        <v>740</v>
      </c>
      <c r="BV77" s="2" t="s">
        <v>206</v>
      </c>
      <c r="BW77" s="2" t="s">
        <v>206</v>
      </c>
      <c r="BX77" s="2" t="s">
        <v>214</v>
      </c>
      <c r="BY77" s="2" t="s">
        <v>215</v>
      </c>
      <c r="BZ77" s="2" t="s">
        <v>203</v>
      </c>
      <c r="CA77" s="2" t="s">
        <v>741</v>
      </c>
      <c r="CB77" s="2" t="s">
        <v>742</v>
      </c>
      <c r="CC77" s="2" t="s">
        <v>218</v>
      </c>
      <c r="CD77" s="2" t="s">
        <v>206</v>
      </c>
      <c r="CE77" s="4">
        <v>449</v>
      </c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>
        <v>104</v>
      </c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>
        <v>168</v>
      </c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</row>
    <row r="78">
      <c r="A78" s="2" t="s">
        <v>743</v>
      </c>
      <c r="B78" s="2" t="s">
        <v>613</v>
      </c>
      <c r="C78" s="2" t="s">
        <v>287</v>
      </c>
      <c r="D78" s="2" t="s">
        <v>628</v>
      </c>
      <c r="E78" s="2" t="s">
        <v>629</v>
      </c>
      <c r="F78" s="2" t="s">
        <v>727</v>
      </c>
      <c r="G78" s="2" t="s">
        <v>728</v>
      </c>
      <c r="H78" s="2" t="s">
        <v>729</v>
      </c>
      <c r="I78" s="2" t="s">
        <v>730</v>
      </c>
      <c r="J78" s="2" t="s">
        <v>631</v>
      </c>
      <c r="K78" s="2" t="s">
        <v>336</v>
      </c>
      <c r="L78" s="3">
        <v>16.65</v>
      </c>
      <c r="M78" s="3">
        <v>17.48</v>
      </c>
      <c r="N78" s="3">
        <v>36.99</v>
      </c>
      <c r="O78" s="2" t="s">
        <v>203</v>
      </c>
      <c r="P78" s="2" t="s">
        <v>204</v>
      </c>
      <c r="Q78" s="2" t="s">
        <v>205</v>
      </c>
      <c r="R78" s="2" t="s">
        <v>206</v>
      </c>
      <c r="S78" s="2" t="s">
        <v>744</v>
      </c>
      <c r="T78" s="2" t="s">
        <v>206</v>
      </c>
      <c r="U78" s="2" t="s">
        <v>206</v>
      </c>
      <c r="V78" s="2" t="s">
        <v>245</v>
      </c>
      <c r="W78" s="2" t="s">
        <v>539</v>
      </c>
      <c r="X78" s="2" t="s">
        <v>633</v>
      </c>
      <c r="Y78" s="2" t="s">
        <v>211</v>
      </c>
      <c r="Z78" s="4">
        <v>186</v>
      </c>
      <c r="AA78" s="4">
        <f>=ROUNDDOWN(18.6,0)</f>
      </c>
      <c r="AB78" s="5">
        <v>10</v>
      </c>
      <c r="AC78" s="2" t="s">
        <v>127</v>
      </c>
      <c r="AD78" s="4">
        <v>132</v>
      </c>
      <c r="AE78" s="4">
        <v>300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206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206</v>
      </c>
      <c r="AW78" s="8" t="s">
        <v>206</v>
      </c>
      <c r="AX78" s="4" t="s">
        <v>206</v>
      </c>
      <c r="AY78" s="8" t="s">
        <v>206</v>
      </c>
      <c r="AZ78" s="7" t="s">
        <v>206</v>
      </c>
      <c r="BA78" s="7" t="s">
        <v>206</v>
      </c>
      <c r="BB78" s="7"/>
      <c r="BC78" s="4" t="s">
        <v>206</v>
      </c>
      <c r="BD78" s="8" t="s">
        <v>206</v>
      </c>
      <c r="BE78" s="4" t="s">
        <v>206</v>
      </c>
      <c r="BF78" s="8" t="s">
        <v>206</v>
      </c>
      <c r="BG78" s="7" t="s">
        <v>206</v>
      </c>
      <c r="BH78" s="7" t="s">
        <v>206</v>
      </c>
      <c r="BI78" s="7"/>
      <c r="BJ78" s="4">
        <v>46</v>
      </c>
      <c r="BK78" s="8">
        <v>1084.48</v>
      </c>
      <c r="BL78" s="2" t="s">
        <v>745</v>
      </c>
      <c r="BM78" s="7"/>
      <c r="BN78" s="7"/>
      <c r="BO78" s="4"/>
      <c r="BP78" s="8"/>
      <c r="BQ78" s="4"/>
      <c r="BR78" s="8"/>
      <c r="BS78" s="7"/>
      <c r="BT78" s="7"/>
      <c r="BU78" s="2" t="s">
        <v>746</v>
      </c>
      <c r="BV78" s="2" t="s">
        <v>206</v>
      </c>
      <c r="BW78" s="2" t="s">
        <v>206</v>
      </c>
      <c r="BX78" s="2" t="s">
        <v>214</v>
      </c>
      <c r="BY78" s="2" t="s">
        <v>215</v>
      </c>
      <c r="BZ78" s="2" t="s">
        <v>203</v>
      </c>
      <c r="CA78" s="2" t="s">
        <v>216</v>
      </c>
      <c r="CB78" s="2" t="s">
        <v>747</v>
      </c>
      <c r="CC78" s="2" t="s">
        <v>218</v>
      </c>
      <c r="CD78" s="2" t="s">
        <v>206</v>
      </c>
      <c r="CE78" s="4">
        <v>186</v>
      </c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>
        <v>132</v>
      </c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>
        <v>168</v>
      </c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</row>
    <row r="79">
      <c r="A79" s="2" t="s">
        <v>748</v>
      </c>
      <c r="B79" s="2" t="s">
        <v>613</v>
      </c>
      <c r="C79" s="2" t="s">
        <v>287</v>
      </c>
      <c r="D79" s="2" t="s">
        <v>628</v>
      </c>
      <c r="E79" s="2" t="s">
        <v>629</v>
      </c>
      <c r="F79" s="2" t="s">
        <v>727</v>
      </c>
      <c r="G79" s="2" t="s">
        <v>728</v>
      </c>
      <c r="H79" s="2" t="s">
        <v>729</v>
      </c>
      <c r="I79" s="2" t="s">
        <v>730</v>
      </c>
      <c r="J79" s="2" t="s">
        <v>731</v>
      </c>
      <c r="K79" s="2" t="s">
        <v>336</v>
      </c>
      <c r="L79" s="3">
        <v>19.35</v>
      </c>
      <c r="M79" s="3">
        <v>20.32</v>
      </c>
      <c r="N79" s="3">
        <v>42.99</v>
      </c>
      <c r="O79" s="2" t="s">
        <v>203</v>
      </c>
      <c r="P79" s="2" t="s">
        <v>204</v>
      </c>
      <c r="Q79" s="2" t="s">
        <v>205</v>
      </c>
      <c r="R79" s="2" t="s">
        <v>206</v>
      </c>
      <c r="S79" s="2" t="s">
        <v>744</v>
      </c>
      <c r="T79" s="2" t="s">
        <v>206</v>
      </c>
      <c r="U79" s="2" t="s">
        <v>206</v>
      </c>
      <c r="V79" s="2" t="s">
        <v>245</v>
      </c>
      <c r="W79" s="2" t="s">
        <v>539</v>
      </c>
      <c r="X79" s="2" t="s">
        <v>633</v>
      </c>
      <c r="Y79" s="2" t="s">
        <v>211</v>
      </c>
      <c r="Z79" s="4">
        <v>54</v>
      </c>
      <c r="AA79" s="4">
        <f>=ROUNDDOWN(10.8,0)</f>
      </c>
      <c r="AB79" s="5">
        <v>5</v>
      </c>
      <c r="AC79" s="2" t="s">
        <v>127</v>
      </c>
      <c r="AD79" s="4">
        <v>68</v>
      </c>
      <c r="AE79" s="4">
        <v>192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206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206</v>
      </c>
      <c r="AW79" s="8" t="s">
        <v>206</v>
      </c>
      <c r="AX79" s="4" t="s">
        <v>206</v>
      </c>
      <c r="AY79" s="8" t="s">
        <v>206</v>
      </c>
      <c r="AZ79" s="7" t="s">
        <v>206</v>
      </c>
      <c r="BA79" s="7" t="s">
        <v>206</v>
      </c>
      <c r="BB79" s="7"/>
      <c r="BC79" s="4" t="s">
        <v>206</v>
      </c>
      <c r="BD79" s="8" t="s">
        <v>206</v>
      </c>
      <c r="BE79" s="4" t="s">
        <v>206</v>
      </c>
      <c r="BF79" s="8" t="s">
        <v>206</v>
      </c>
      <c r="BG79" s="7" t="s">
        <v>206</v>
      </c>
      <c r="BH79" s="7" t="s">
        <v>206</v>
      </c>
      <c r="BI79" s="7"/>
      <c r="BJ79" s="4">
        <v>24</v>
      </c>
      <c r="BK79" s="8">
        <v>571.3</v>
      </c>
      <c r="BL79" s="2" t="s">
        <v>749</v>
      </c>
      <c r="BM79" s="7"/>
      <c r="BN79" s="7"/>
      <c r="BO79" s="4"/>
      <c r="BP79" s="8"/>
      <c r="BQ79" s="4"/>
      <c r="BR79" s="8"/>
      <c r="BS79" s="7"/>
      <c r="BT79" s="7"/>
      <c r="BU79" s="2" t="s">
        <v>750</v>
      </c>
      <c r="BV79" s="2" t="s">
        <v>206</v>
      </c>
      <c r="BW79" s="2" t="s">
        <v>206</v>
      </c>
      <c r="BX79" s="2" t="s">
        <v>214</v>
      </c>
      <c r="BY79" s="2" t="s">
        <v>215</v>
      </c>
      <c r="BZ79" s="2" t="s">
        <v>203</v>
      </c>
      <c r="CA79" s="2" t="s">
        <v>216</v>
      </c>
      <c r="CB79" s="2" t="s">
        <v>751</v>
      </c>
      <c r="CC79" s="2" t="s">
        <v>218</v>
      </c>
      <c r="CD79" s="2" t="s">
        <v>206</v>
      </c>
      <c r="CE79" s="4">
        <v>54</v>
      </c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>
        <v>68</v>
      </c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>
        <v>124</v>
      </c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</row>
    <row r="80">
      <c r="A80" s="2" t="s">
        <v>752</v>
      </c>
      <c r="B80" s="2" t="s">
        <v>613</v>
      </c>
      <c r="C80" s="2" t="s">
        <v>287</v>
      </c>
      <c r="D80" s="2" t="s">
        <v>614</v>
      </c>
      <c r="E80" s="2" t="s">
        <v>615</v>
      </c>
      <c r="F80" s="2" t="s">
        <v>727</v>
      </c>
      <c r="G80" s="2" t="s">
        <v>728</v>
      </c>
      <c r="H80" s="2" t="s">
        <v>729</v>
      </c>
      <c r="I80" s="2" t="s">
        <v>737</v>
      </c>
      <c r="J80" s="2" t="s">
        <v>620</v>
      </c>
      <c r="K80" s="2" t="s">
        <v>336</v>
      </c>
      <c r="L80" s="3">
        <v>11.76</v>
      </c>
      <c r="M80" s="3">
        <v>12.35</v>
      </c>
      <c r="N80" s="3">
        <v>27.99</v>
      </c>
      <c r="O80" s="2" t="s">
        <v>203</v>
      </c>
      <c r="P80" s="2" t="s">
        <v>204</v>
      </c>
      <c r="Q80" s="2" t="s">
        <v>205</v>
      </c>
      <c r="R80" s="2" t="s">
        <v>206</v>
      </c>
      <c r="S80" s="2" t="s">
        <v>744</v>
      </c>
      <c r="T80" s="2" t="s">
        <v>206</v>
      </c>
      <c r="U80" s="2" t="s">
        <v>206</v>
      </c>
      <c r="V80" s="2" t="s">
        <v>245</v>
      </c>
      <c r="W80" s="2" t="s">
        <v>539</v>
      </c>
      <c r="X80" s="2" t="s">
        <v>206</v>
      </c>
      <c r="Y80" s="2" t="s">
        <v>753</v>
      </c>
      <c r="Z80" s="4">
        <v>1031</v>
      </c>
      <c r="AA80" s="4">
        <f>=ROUNDDOWN(54.2631578947368,0)</f>
      </c>
      <c r="AB80" s="5">
        <v>19</v>
      </c>
      <c r="AC80" s="2" t="s">
        <v>206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206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206</v>
      </c>
      <c r="AW80" s="8" t="s">
        <v>206</v>
      </c>
      <c r="AX80" s="4" t="s">
        <v>206</v>
      </c>
      <c r="AY80" s="8" t="s">
        <v>206</v>
      </c>
      <c r="AZ80" s="7" t="s">
        <v>206</v>
      </c>
      <c r="BA80" s="7" t="s">
        <v>206</v>
      </c>
      <c r="BB80" s="7"/>
      <c r="BC80" s="4" t="s">
        <v>206</v>
      </c>
      <c r="BD80" s="8" t="s">
        <v>206</v>
      </c>
      <c r="BE80" s="4" t="s">
        <v>206</v>
      </c>
      <c r="BF80" s="8" t="s">
        <v>206</v>
      </c>
      <c r="BG80" s="7" t="s">
        <v>206</v>
      </c>
      <c r="BH80" s="7" t="s">
        <v>206</v>
      </c>
      <c r="BI80" s="7"/>
      <c r="BJ80" s="4">
        <v>106</v>
      </c>
      <c r="BK80" s="8">
        <v>1278.51</v>
      </c>
      <c r="BL80" s="2" t="s">
        <v>754</v>
      </c>
      <c r="BM80" s="7"/>
      <c r="BN80" s="7"/>
      <c r="BO80" s="4"/>
      <c r="BP80" s="8"/>
      <c r="BQ80" s="4"/>
      <c r="BR80" s="8"/>
      <c r="BS80" s="7"/>
      <c r="BT80" s="7"/>
      <c r="BU80" s="2" t="s">
        <v>755</v>
      </c>
      <c r="BV80" s="2" t="s">
        <v>206</v>
      </c>
      <c r="BW80" s="2" t="s">
        <v>206</v>
      </c>
      <c r="BX80" s="2" t="s">
        <v>214</v>
      </c>
      <c r="BY80" s="2" t="s">
        <v>215</v>
      </c>
      <c r="BZ80" s="2" t="s">
        <v>203</v>
      </c>
      <c r="CA80" s="2" t="s">
        <v>741</v>
      </c>
      <c r="CB80" s="2" t="s">
        <v>756</v>
      </c>
      <c r="CC80" s="2" t="s">
        <v>218</v>
      </c>
      <c r="CD80" s="2" t="s">
        <v>206</v>
      </c>
      <c r="CE80" s="4">
        <v>1031</v>
      </c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</row>
    <row r="81">
      <c r="A81" s="2" t="s">
        <v>757</v>
      </c>
      <c r="B81" s="2" t="s">
        <v>613</v>
      </c>
      <c r="C81" s="2" t="s">
        <v>287</v>
      </c>
      <c r="D81" s="2" t="s">
        <v>628</v>
      </c>
      <c r="E81" s="2" t="s">
        <v>629</v>
      </c>
      <c r="F81" s="2" t="s">
        <v>727</v>
      </c>
      <c r="G81" s="2" t="s">
        <v>728</v>
      </c>
      <c r="H81" s="2" t="s">
        <v>729</v>
      </c>
      <c r="I81" s="2" t="s">
        <v>730</v>
      </c>
      <c r="J81" s="2" t="s">
        <v>731</v>
      </c>
      <c r="K81" s="2" t="s">
        <v>605</v>
      </c>
      <c r="L81" s="3">
        <v>19.35</v>
      </c>
      <c r="M81" s="3">
        <v>20.32</v>
      </c>
      <c r="N81" s="3">
        <v>42.99</v>
      </c>
      <c r="O81" s="2" t="s">
        <v>203</v>
      </c>
      <c r="P81" s="2" t="s">
        <v>204</v>
      </c>
      <c r="Q81" s="2" t="s">
        <v>205</v>
      </c>
      <c r="R81" s="2" t="s">
        <v>206</v>
      </c>
      <c r="S81" s="2" t="s">
        <v>758</v>
      </c>
      <c r="T81" s="2" t="s">
        <v>206</v>
      </c>
      <c r="U81" s="2" t="s">
        <v>206</v>
      </c>
      <c r="V81" s="2" t="s">
        <v>245</v>
      </c>
      <c r="W81" s="2" t="s">
        <v>539</v>
      </c>
      <c r="X81" s="2" t="s">
        <v>633</v>
      </c>
      <c r="Y81" s="2" t="s">
        <v>211</v>
      </c>
      <c r="Z81" s="4">
        <v>71</v>
      </c>
      <c r="AA81" s="4">
        <f>=ROUNDDOWN(10.1428571428571,0)</f>
      </c>
      <c r="AB81" s="5">
        <v>7</v>
      </c>
      <c r="AC81" s="2" t="s">
        <v>127</v>
      </c>
      <c r="AD81" s="4">
        <v>60</v>
      </c>
      <c r="AE81" s="4">
        <v>200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206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206</v>
      </c>
      <c r="BD81" s="8" t="s">
        <v>206</v>
      </c>
      <c r="BE81" s="4" t="s">
        <v>206</v>
      </c>
      <c r="BF81" s="8" t="s">
        <v>206</v>
      </c>
      <c r="BG81" s="7" t="s">
        <v>206</v>
      </c>
      <c r="BH81" s="7" t="s">
        <v>206</v>
      </c>
      <c r="BI81" s="7"/>
      <c r="BJ81" s="4">
        <v>33</v>
      </c>
      <c r="BK81" s="8">
        <v>702.87</v>
      </c>
      <c r="BL81" s="2" t="s">
        <v>759</v>
      </c>
      <c r="BM81" s="7"/>
      <c r="BN81" s="7"/>
      <c r="BO81" s="4"/>
      <c r="BP81" s="8"/>
      <c r="BQ81" s="4"/>
      <c r="BR81" s="8"/>
      <c r="BS81" s="7"/>
      <c r="BT81" s="7"/>
      <c r="BU81" s="2" t="s">
        <v>760</v>
      </c>
      <c r="BV81" s="2" t="s">
        <v>206</v>
      </c>
      <c r="BW81" s="2" t="s">
        <v>206</v>
      </c>
      <c r="BX81" s="2" t="s">
        <v>214</v>
      </c>
      <c r="BY81" s="2" t="s">
        <v>215</v>
      </c>
      <c r="BZ81" s="2" t="s">
        <v>203</v>
      </c>
      <c r="CA81" s="2" t="s">
        <v>216</v>
      </c>
      <c r="CB81" s="2" t="s">
        <v>761</v>
      </c>
      <c r="CC81" s="2" t="s">
        <v>218</v>
      </c>
      <c r="CD81" s="2" t="s">
        <v>206</v>
      </c>
      <c r="CE81" s="4">
        <v>71</v>
      </c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>
        <v>60</v>
      </c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>
        <v>32</v>
      </c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>
        <v>108</v>
      </c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</row>
    <row r="82">
      <c r="A82" s="2" t="s">
        <v>762</v>
      </c>
      <c r="B82" s="2" t="s">
        <v>613</v>
      </c>
      <c r="C82" s="2" t="s">
        <v>287</v>
      </c>
      <c r="D82" s="2" t="s">
        <v>628</v>
      </c>
      <c r="E82" s="2" t="s">
        <v>629</v>
      </c>
      <c r="F82" s="2" t="s">
        <v>727</v>
      </c>
      <c r="G82" s="2" t="s">
        <v>728</v>
      </c>
      <c r="H82" s="2" t="s">
        <v>729</v>
      </c>
      <c r="I82" s="2" t="s">
        <v>730</v>
      </c>
      <c r="J82" s="2" t="s">
        <v>631</v>
      </c>
      <c r="K82" s="2" t="s">
        <v>763</v>
      </c>
      <c r="L82" s="3">
        <v>16.65</v>
      </c>
      <c r="M82" s="3">
        <v>17.48</v>
      </c>
      <c r="N82" s="3">
        <v>36.99</v>
      </c>
      <c r="O82" s="2" t="s">
        <v>203</v>
      </c>
      <c r="P82" s="2" t="s">
        <v>204</v>
      </c>
      <c r="Q82" s="2" t="s">
        <v>205</v>
      </c>
      <c r="R82" s="2" t="s">
        <v>206</v>
      </c>
      <c r="S82" s="2" t="s">
        <v>764</v>
      </c>
      <c r="T82" s="2" t="s">
        <v>206</v>
      </c>
      <c r="U82" s="2" t="s">
        <v>206</v>
      </c>
      <c r="V82" s="2" t="s">
        <v>245</v>
      </c>
      <c r="W82" s="2" t="s">
        <v>539</v>
      </c>
      <c r="X82" s="2" t="s">
        <v>633</v>
      </c>
      <c r="Y82" s="2" t="s">
        <v>211</v>
      </c>
      <c r="Z82" s="4">
        <v>362</v>
      </c>
      <c r="AA82" s="4">
        <f>=ROUNDDOWN(32.9090909090909,0)</f>
      </c>
      <c r="AB82" s="5">
        <v>11</v>
      </c>
      <c r="AC82" s="2" t="s">
        <v>127</v>
      </c>
      <c r="AD82" s="4">
        <v>100</v>
      </c>
      <c r="AE82" s="4">
        <v>160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206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206</v>
      </c>
      <c r="AW82" s="8" t="s">
        <v>206</v>
      </c>
      <c r="AX82" s="4" t="s">
        <v>206</v>
      </c>
      <c r="AY82" s="8" t="s">
        <v>206</v>
      </c>
      <c r="AZ82" s="7" t="s">
        <v>206</v>
      </c>
      <c r="BA82" s="7" t="s">
        <v>206</v>
      </c>
      <c r="BB82" s="7"/>
      <c r="BC82" s="4" t="s">
        <v>206</v>
      </c>
      <c r="BD82" s="8" t="s">
        <v>206</v>
      </c>
      <c r="BE82" s="4" t="s">
        <v>206</v>
      </c>
      <c r="BF82" s="8" t="s">
        <v>206</v>
      </c>
      <c r="BG82" s="7" t="s">
        <v>206</v>
      </c>
      <c r="BH82" s="7" t="s">
        <v>206</v>
      </c>
      <c r="BI82" s="7"/>
      <c r="BJ82" s="4">
        <v>39</v>
      </c>
      <c r="BK82" s="8">
        <v>668.6</v>
      </c>
      <c r="BL82" s="2" t="s">
        <v>765</v>
      </c>
      <c r="BM82" s="7"/>
      <c r="BN82" s="7"/>
      <c r="BO82" s="4"/>
      <c r="BP82" s="8"/>
      <c r="BQ82" s="4"/>
      <c r="BR82" s="8"/>
      <c r="BS82" s="7"/>
      <c r="BT82" s="7"/>
      <c r="BU82" s="2" t="s">
        <v>766</v>
      </c>
      <c r="BV82" s="2" t="s">
        <v>206</v>
      </c>
      <c r="BW82" s="2" t="s">
        <v>206</v>
      </c>
      <c r="BX82" s="2" t="s">
        <v>214</v>
      </c>
      <c r="BY82" s="2" t="s">
        <v>215</v>
      </c>
      <c r="BZ82" s="2" t="s">
        <v>203</v>
      </c>
      <c r="CA82" s="2" t="s">
        <v>216</v>
      </c>
      <c r="CB82" s="2" t="s">
        <v>767</v>
      </c>
      <c r="CC82" s="2" t="s">
        <v>218</v>
      </c>
      <c r="CD82" s="2" t="s">
        <v>206</v>
      </c>
      <c r="CE82" s="4">
        <v>362</v>
      </c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>
        <v>100</v>
      </c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>
        <v>60</v>
      </c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</row>
    <row r="83">
      <c r="A83" s="2" t="s">
        <v>768</v>
      </c>
      <c r="B83" s="2" t="s">
        <v>613</v>
      </c>
      <c r="C83" s="2" t="s">
        <v>287</v>
      </c>
      <c r="D83" s="2" t="s">
        <v>614</v>
      </c>
      <c r="E83" s="2" t="s">
        <v>615</v>
      </c>
      <c r="F83" s="2" t="s">
        <v>727</v>
      </c>
      <c r="G83" s="2" t="s">
        <v>728</v>
      </c>
      <c r="H83" s="2" t="s">
        <v>729</v>
      </c>
      <c r="I83" s="2" t="s">
        <v>737</v>
      </c>
      <c r="J83" s="2" t="s">
        <v>620</v>
      </c>
      <c r="K83" s="2" t="s">
        <v>763</v>
      </c>
      <c r="L83" s="3">
        <v>11.76</v>
      </c>
      <c r="M83" s="3">
        <v>12.35</v>
      </c>
      <c r="N83" s="3">
        <v>27.99</v>
      </c>
      <c r="O83" s="2" t="s">
        <v>203</v>
      </c>
      <c r="P83" s="2" t="s">
        <v>204</v>
      </c>
      <c r="Q83" s="2" t="s">
        <v>205</v>
      </c>
      <c r="R83" s="2" t="s">
        <v>206</v>
      </c>
      <c r="S83" s="2" t="s">
        <v>764</v>
      </c>
      <c r="T83" s="2" t="s">
        <v>206</v>
      </c>
      <c r="U83" s="2" t="s">
        <v>206</v>
      </c>
      <c r="V83" s="2" t="s">
        <v>245</v>
      </c>
      <c r="W83" s="2" t="s">
        <v>539</v>
      </c>
      <c r="X83" s="2" t="s">
        <v>206</v>
      </c>
      <c r="Y83" s="2" t="s">
        <v>738</v>
      </c>
      <c r="Z83" s="4">
        <v>677</v>
      </c>
      <c r="AA83" s="4">
        <f>=ROUNDDOWN(26.0384615384615,0)</f>
      </c>
      <c r="AB83" s="5">
        <v>26</v>
      </c>
      <c r="AC83" s="2" t="s">
        <v>293</v>
      </c>
      <c r="AD83" s="4">
        <v>488</v>
      </c>
      <c r="AE83" s="4">
        <v>488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206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206</v>
      </c>
      <c r="AW83" s="8" t="s">
        <v>206</v>
      </c>
      <c r="AX83" s="4" t="s">
        <v>206</v>
      </c>
      <c r="AY83" s="8" t="s">
        <v>206</v>
      </c>
      <c r="AZ83" s="7" t="s">
        <v>206</v>
      </c>
      <c r="BA83" s="7" t="s">
        <v>206</v>
      </c>
      <c r="BB83" s="7"/>
      <c r="BC83" s="4" t="s">
        <v>206</v>
      </c>
      <c r="BD83" s="8" t="s">
        <v>206</v>
      </c>
      <c r="BE83" s="4" t="s">
        <v>206</v>
      </c>
      <c r="BF83" s="8" t="s">
        <v>206</v>
      </c>
      <c r="BG83" s="7" t="s">
        <v>206</v>
      </c>
      <c r="BH83" s="7" t="s">
        <v>206</v>
      </c>
      <c r="BI83" s="7"/>
      <c r="BJ83" s="4">
        <v>118</v>
      </c>
      <c r="BK83" s="8">
        <v>1451.3</v>
      </c>
      <c r="BL83" s="2" t="s">
        <v>769</v>
      </c>
      <c r="BM83" s="7"/>
      <c r="BN83" s="7"/>
      <c r="BO83" s="4"/>
      <c r="BP83" s="8"/>
      <c r="BQ83" s="4"/>
      <c r="BR83" s="8"/>
      <c r="BS83" s="7"/>
      <c r="BT83" s="7"/>
      <c r="BU83" s="2" t="s">
        <v>770</v>
      </c>
      <c r="BV83" s="2" t="s">
        <v>206</v>
      </c>
      <c r="BW83" s="2" t="s">
        <v>206</v>
      </c>
      <c r="BX83" s="2" t="s">
        <v>214</v>
      </c>
      <c r="BY83" s="2" t="s">
        <v>215</v>
      </c>
      <c r="BZ83" s="2" t="s">
        <v>203</v>
      </c>
      <c r="CA83" s="2" t="s">
        <v>741</v>
      </c>
      <c r="CB83" s="2" t="s">
        <v>771</v>
      </c>
      <c r="CC83" s="2" t="s">
        <v>218</v>
      </c>
      <c r="CD83" s="2" t="s">
        <v>206</v>
      </c>
      <c r="CE83" s="4">
        <v>677</v>
      </c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>
        <v>488</v>
      </c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</row>
    <row r="84">
      <c r="A84" s="2" t="s">
        <v>772</v>
      </c>
      <c r="B84" s="2" t="s">
        <v>613</v>
      </c>
      <c r="C84" s="2" t="s">
        <v>287</v>
      </c>
      <c r="D84" s="2" t="s">
        <v>628</v>
      </c>
      <c r="E84" s="2" t="s">
        <v>629</v>
      </c>
      <c r="F84" s="2" t="s">
        <v>727</v>
      </c>
      <c r="G84" s="2" t="s">
        <v>728</v>
      </c>
      <c r="H84" s="2" t="s">
        <v>729</v>
      </c>
      <c r="I84" s="2" t="s">
        <v>730</v>
      </c>
      <c r="J84" s="2" t="s">
        <v>631</v>
      </c>
      <c r="K84" s="2" t="s">
        <v>202</v>
      </c>
      <c r="L84" s="3">
        <v>16.65</v>
      </c>
      <c r="M84" s="3">
        <v>17.48</v>
      </c>
      <c r="N84" s="3">
        <v>36.99</v>
      </c>
      <c r="O84" s="2" t="s">
        <v>203</v>
      </c>
      <c r="P84" s="2" t="s">
        <v>773</v>
      </c>
      <c r="Q84" s="2" t="s">
        <v>205</v>
      </c>
      <c r="R84" s="2" t="s">
        <v>206</v>
      </c>
      <c r="S84" s="2" t="s">
        <v>774</v>
      </c>
      <c r="T84" s="2" t="s">
        <v>206</v>
      </c>
      <c r="U84" s="2" t="s">
        <v>206</v>
      </c>
      <c r="V84" s="2" t="s">
        <v>245</v>
      </c>
      <c r="W84" s="2" t="s">
        <v>539</v>
      </c>
      <c r="X84" s="2" t="s">
        <v>633</v>
      </c>
      <c r="Y84" s="2" t="s">
        <v>211</v>
      </c>
      <c r="Z84" s="4">
        <v>540</v>
      </c>
      <c r="AA84" s="4">
        <f>=ROUNDDOWN(33.75,0)</f>
      </c>
      <c r="AB84" s="5">
        <v>16</v>
      </c>
      <c r="AC84" s="2" t="s">
        <v>293</v>
      </c>
      <c r="AD84" s="4">
        <v>120</v>
      </c>
      <c r="AE84" s="4">
        <v>120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206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206</v>
      </c>
      <c r="AW84" s="8" t="s">
        <v>206</v>
      </c>
      <c r="AX84" s="4" t="s">
        <v>206</v>
      </c>
      <c r="AY84" s="8" t="s">
        <v>206</v>
      </c>
      <c r="AZ84" s="7" t="s">
        <v>206</v>
      </c>
      <c r="BA84" s="7" t="s">
        <v>206</v>
      </c>
      <c r="BB84" s="7"/>
      <c r="BC84" s="4" t="s">
        <v>206</v>
      </c>
      <c r="BD84" s="8" t="s">
        <v>206</v>
      </c>
      <c r="BE84" s="4" t="s">
        <v>206</v>
      </c>
      <c r="BF84" s="8" t="s">
        <v>206</v>
      </c>
      <c r="BG84" s="7" t="s">
        <v>206</v>
      </c>
      <c r="BH84" s="7" t="s">
        <v>206</v>
      </c>
      <c r="BI84" s="7"/>
      <c r="BJ84" s="4">
        <v>113</v>
      </c>
      <c r="BK84" s="8">
        <v>2002.74</v>
      </c>
      <c r="BL84" s="2" t="s">
        <v>775</v>
      </c>
      <c r="BM84" s="7"/>
      <c r="BN84" s="7"/>
      <c r="BO84" s="4"/>
      <c r="BP84" s="8"/>
      <c r="BQ84" s="4"/>
      <c r="BR84" s="8"/>
      <c r="BS84" s="7"/>
      <c r="BT84" s="7"/>
      <c r="BU84" s="2" t="s">
        <v>776</v>
      </c>
      <c r="BV84" s="2" t="s">
        <v>206</v>
      </c>
      <c r="BW84" s="2" t="s">
        <v>206</v>
      </c>
      <c r="BX84" s="2" t="s">
        <v>214</v>
      </c>
      <c r="BY84" s="2" t="s">
        <v>215</v>
      </c>
      <c r="BZ84" s="2" t="s">
        <v>203</v>
      </c>
      <c r="CA84" s="2" t="s">
        <v>216</v>
      </c>
      <c r="CB84" s="2" t="s">
        <v>767</v>
      </c>
      <c r="CC84" s="2" t="s">
        <v>218</v>
      </c>
      <c r="CD84" s="2" t="s">
        <v>206</v>
      </c>
      <c r="CE84" s="4">
        <v>540</v>
      </c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>
        <v>120</v>
      </c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</row>
    <row r="85">
      <c r="A85" s="2" t="s">
        <v>777</v>
      </c>
      <c r="B85" s="2" t="s">
        <v>613</v>
      </c>
      <c r="C85" s="2" t="s">
        <v>287</v>
      </c>
      <c r="D85" s="2" t="s">
        <v>628</v>
      </c>
      <c r="E85" s="2" t="s">
        <v>629</v>
      </c>
      <c r="F85" s="2" t="s">
        <v>727</v>
      </c>
      <c r="G85" s="2" t="s">
        <v>728</v>
      </c>
      <c r="H85" s="2" t="s">
        <v>729</v>
      </c>
      <c r="I85" s="2" t="s">
        <v>730</v>
      </c>
      <c r="J85" s="2" t="s">
        <v>731</v>
      </c>
      <c r="K85" s="2" t="s">
        <v>202</v>
      </c>
      <c r="L85" s="3">
        <v>19.35</v>
      </c>
      <c r="M85" s="3">
        <v>20.32</v>
      </c>
      <c r="N85" s="3">
        <v>42.99</v>
      </c>
      <c r="O85" s="2" t="s">
        <v>203</v>
      </c>
      <c r="P85" s="2" t="s">
        <v>773</v>
      </c>
      <c r="Q85" s="2" t="s">
        <v>205</v>
      </c>
      <c r="R85" s="2" t="s">
        <v>206</v>
      </c>
      <c r="S85" s="2" t="s">
        <v>774</v>
      </c>
      <c r="T85" s="2" t="s">
        <v>206</v>
      </c>
      <c r="U85" s="2" t="s">
        <v>206</v>
      </c>
      <c r="V85" s="2" t="s">
        <v>245</v>
      </c>
      <c r="W85" s="2" t="s">
        <v>539</v>
      </c>
      <c r="X85" s="2" t="s">
        <v>633</v>
      </c>
      <c r="Y85" s="2" t="s">
        <v>211</v>
      </c>
      <c r="Z85" s="4">
        <v>219</v>
      </c>
      <c r="AA85" s="4">
        <f>=ROUNDDOWN(18.25,0)</f>
      </c>
      <c r="AB85" s="5">
        <v>12</v>
      </c>
      <c r="AC85" s="2" t="s">
        <v>127</v>
      </c>
      <c r="AD85" s="4">
        <v>100</v>
      </c>
      <c r="AE85" s="4">
        <v>328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206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206</v>
      </c>
      <c r="AW85" s="8" t="s">
        <v>206</v>
      </c>
      <c r="AX85" s="4" t="s">
        <v>206</v>
      </c>
      <c r="AY85" s="8" t="s">
        <v>206</v>
      </c>
      <c r="AZ85" s="7" t="s">
        <v>206</v>
      </c>
      <c r="BA85" s="7" t="s">
        <v>206</v>
      </c>
      <c r="BB85" s="7"/>
      <c r="BC85" s="4" t="s">
        <v>206</v>
      </c>
      <c r="BD85" s="8" t="s">
        <v>206</v>
      </c>
      <c r="BE85" s="4" t="s">
        <v>206</v>
      </c>
      <c r="BF85" s="8" t="s">
        <v>206</v>
      </c>
      <c r="BG85" s="7" t="s">
        <v>206</v>
      </c>
      <c r="BH85" s="7" t="s">
        <v>206</v>
      </c>
      <c r="BI85" s="7"/>
      <c r="BJ85" s="4">
        <v>28</v>
      </c>
      <c r="BK85" s="8">
        <v>573.57</v>
      </c>
      <c r="BL85" s="2" t="s">
        <v>778</v>
      </c>
      <c r="BM85" s="7"/>
      <c r="BN85" s="7"/>
      <c r="BO85" s="4"/>
      <c r="BP85" s="8"/>
      <c r="BQ85" s="4"/>
      <c r="BR85" s="8"/>
      <c r="BS85" s="7"/>
      <c r="BT85" s="7"/>
      <c r="BU85" s="2" t="s">
        <v>779</v>
      </c>
      <c r="BV85" s="2" t="s">
        <v>206</v>
      </c>
      <c r="BW85" s="2" t="s">
        <v>206</v>
      </c>
      <c r="BX85" s="2" t="s">
        <v>214</v>
      </c>
      <c r="BY85" s="2" t="s">
        <v>215</v>
      </c>
      <c r="BZ85" s="2" t="s">
        <v>203</v>
      </c>
      <c r="CA85" s="2" t="s">
        <v>216</v>
      </c>
      <c r="CB85" s="2" t="s">
        <v>767</v>
      </c>
      <c r="CC85" s="2" t="s">
        <v>218</v>
      </c>
      <c r="CD85" s="2" t="s">
        <v>206</v>
      </c>
      <c r="CE85" s="4">
        <v>219</v>
      </c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>
        <v>100</v>
      </c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>
        <v>228</v>
      </c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</row>
    <row r="86">
      <c r="A86" s="2" t="s">
        <v>780</v>
      </c>
      <c r="B86" s="2" t="s">
        <v>613</v>
      </c>
      <c r="C86" s="2" t="s">
        <v>287</v>
      </c>
      <c r="D86" s="2" t="s">
        <v>628</v>
      </c>
      <c r="E86" s="2" t="s">
        <v>629</v>
      </c>
      <c r="F86" s="2" t="s">
        <v>781</v>
      </c>
      <c r="G86" s="2" t="s">
        <v>782</v>
      </c>
      <c r="H86" s="2" t="s">
        <v>783</v>
      </c>
      <c r="I86" s="2" t="s">
        <v>784</v>
      </c>
      <c r="J86" s="2" t="s">
        <v>631</v>
      </c>
      <c r="K86" s="2" t="s">
        <v>202</v>
      </c>
      <c r="L86" s="3">
        <v>16.1</v>
      </c>
      <c r="M86" s="3">
        <v>16.9</v>
      </c>
      <c r="N86" s="3">
        <v>34.99</v>
      </c>
      <c r="O86" s="2" t="s">
        <v>203</v>
      </c>
      <c r="P86" s="2" t="s">
        <v>773</v>
      </c>
      <c r="Q86" s="2" t="s">
        <v>205</v>
      </c>
      <c r="R86" s="2" t="s">
        <v>206</v>
      </c>
      <c r="S86" s="2" t="s">
        <v>785</v>
      </c>
      <c r="T86" s="2" t="s">
        <v>206</v>
      </c>
      <c r="U86" s="2" t="s">
        <v>206</v>
      </c>
      <c r="V86" s="2" t="s">
        <v>209</v>
      </c>
      <c r="W86" s="2" t="s">
        <v>786</v>
      </c>
      <c r="X86" s="2" t="s">
        <v>633</v>
      </c>
      <c r="Y86" s="2" t="s">
        <v>211</v>
      </c>
      <c r="Z86" s="4">
        <v>366</v>
      </c>
      <c r="AA86" s="4">
        <f>=ROUNDDOWN(14.64,0)</f>
      </c>
      <c r="AB86" s="5">
        <v>25</v>
      </c>
      <c r="AC86" s="2" t="s">
        <v>119</v>
      </c>
      <c r="AD86" s="4">
        <v>240</v>
      </c>
      <c r="AE86" s="4">
        <v>492</v>
      </c>
      <c r="AF86" s="6">
        <v>65</v>
      </c>
      <c r="AG86" s="6"/>
      <c r="AH86" s="7">
        <v>0.9032</v>
      </c>
      <c r="AI86" s="4"/>
      <c r="AJ86" s="4">
        <f>=ROUNDDOWN({0},0)</f>
      </c>
      <c r="AK86" s="5"/>
      <c r="AL86" s="2" t="s">
        <v>206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>
        <v>49</v>
      </c>
      <c r="BK86" s="8">
        <v>893.39</v>
      </c>
      <c r="BL86" s="2" t="s">
        <v>787</v>
      </c>
      <c r="BM86" s="7"/>
      <c r="BN86" s="7"/>
      <c r="BO86" s="4"/>
      <c r="BP86" s="8"/>
      <c r="BQ86" s="4"/>
      <c r="BR86" s="8"/>
      <c r="BS86" s="7"/>
      <c r="BT86" s="7"/>
      <c r="BU86" s="2" t="s">
        <v>788</v>
      </c>
      <c r="BV86" s="2" t="s">
        <v>206</v>
      </c>
      <c r="BW86" s="2" t="s">
        <v>206</v>
      </c>
      <c r="BX86" s="2" t="s">
        <v>214</v>
      </c>
      <c r="BY86" s="2" t="s">
        <v>215</v>
      </c>
      <c r="BZ86" s="2" t="s">
        <v>203</v>
      </c>
      <c r="CA86" s="2" t="s">
        <v>216</v>
      </c>
      <c r="CB86" s="2" t="s">
        <v>767</v>
      </c>
      <c r="CC86" s="2" t="s">
        <v>218</v>
      </c>
      <c r="CD86" s="2" t="s">
        <v>206</v>
      </c>
      <c r="CE86" s="4">
        <v>366</v>
      </c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>
        <v>240</v>
      </c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>
        <v>172</v>
      </c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>
        <v>80</v>
      </c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</row>
    <row r="87">
      <c r="A87" s="2" t="s">
        <v>789</v>
      </c>
      <c r="B87" s="2" t="s">
        <v>461</v>
      </c>
      <c r="C87" s="2" t="s">
        <v>462</v>
      </c>
      <c r="D87" s="2" t="s">
        <v>790</v>
      </c>
      <c r="E87" s="2" t="s">
        <v>791</v>
      </c>
      <c r="F87" s="2" t="s">
        <v>792</v>
      </c>
      <c r="G87" s="2" t="s">
        <v>792</v>
      </c>
      <c r="H87" s="2" t="s">
        <v>792</v>
      </c>
      <c r="I87" s="2" t="s">
        <v>793</v>
      </c>
      <c r="J87" s="2" t="s">
        <v>434</v>
      </c>
      <c r="K87" s="2" t="s">
        <v>794</v>
      </c>
      <c r="L87" s="3">
        <v>100.3</v>
      </c>
      <c r="M87" s="3">
        <v>105.32</v>
      </c>
      <c r="N87" s="3">
        <v>219</v>
      </c>
      <c r="O87" s="2" t="s">
        <v>203</v>
      </c>
      <c r="P87" s="2" t="s">
        <v>467</v>
      </c>
      <c r="Q87" s="2" t="s">
        <v>205</v>
      </c>
      <c r="R87" s="2" t="s">
        <v>206</v>
      </c>
      <c r="S87" s="2" t="s">
        <v>206</v>
      </c>
      <c r="T87" s="2" t="s">
        <v>206</v>
      </c>
      <c r="U87" s="2" t="s">
        <v>206</v>
      </c>
      <c r="V87" s="2" t="s">
        <v>468</v>
      </c>
      <c r="W87" s="2" t="s">
        <v>586</v>
      </c>
      <c r="X87" s="2" t="s">
        <v>206</v>
      </c>
      <c r="Y87" s="2" t="s">
        <v>611</v>
      </c>
      <c r="Z87" s="4">
        <v>84</v>
      </c>
      <c r="AA87" s="4">
        <f>=ROUNDDOWN(24.7058823529412,0)</f>
      </c>
      <c r="AB87" s="5">
        <v>3.4</v>
      </c>
      <c r="AC87" s="2" t="s">
        <v>124</v>
      </c>
      <c r="AD87" s="4">
        <v>100</v>
      </c>
      <c r="AE87" s="4">
        <v>100</v>
      </c>
      <c r="AF87" s="6">
        <v>74</v>
      </c>
      <c r="AG87" s="6"/>
      <c r="AH87" s="7">
        <v>1</v>
      </c>
      <c r="AI87" s="4"/>
      <c r="AJ87" s="4">
        <f>=ROUNDDOWN({0},0)</f>
      </c>
      <c r="AK87" s="5"/>
      <c r="AL87" s="2" t="s">
        <v>206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>
        <v>5</v>
      </c>
      <c r="BK87" s="8">
        <v>487.96</v>
      </c>
      <c r="BL87" s="2" t="s">
        <v>795</v>
      </c>
      <c r="BM87" s="7"/>
      <c r="BN87" s="7"/>
      <c r="BO87" s="4"/>
      <c r="BP87" s="8"/>
      <c r="BQ87" s="4"/>
      <c r="BR87" s="8"/>
      <c r="BS87" s="7"/>
      <c r="BT87" s="7"/>
      <c r="BU87" s="2" t="s">
        <v>796</v>
      </c>
      <c r="BV87" s="2" t="s">
        <v>206</v>
      </c>
      <c r="BW87" s="2" t="s">
        <v>206</v>
      </c>
      <c r="BX87" s="2" t="s">
        <v>214</v>
      </c>
      <c r="BY87" s="2" t="s">
        <v>215</v>
      </c>
      <c r="BZ87" s="2" t="s">
        <v>203</v>
      </c>
      <c r="CA87" s="2" t="s">
        <v>797</v>
      </c>
      <c r="CB87" s="2" t="s">
        <v>798</v>
      </c>
      <c r="CC87" s="2" t="s">
        <v>218</v>
      </c>
      <c r="CD87" s="2" t="s">
        <v>206</v>
      </c>
      <c r="CE87" s="4"/>
      <c r="CF87" s="4">
        <v>84</v>
      </c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>
        <v>100</v>
      </c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</row>
    <row r="88">
      <c r="A88" s="2" t="s">
        <v>799</v>
      </c>
      <c r="B88" s="2" t="s">
        <v>800</v>
      </c>
      <c r="C88" s="2" t="s">
        <v>287</v>
      </c>
      <c r="D88" s="2" t="s">
        <v>801</v>
      </c>
      <c r="E88" s="2" t="s">
        <v>802</v>
      </c>
      <c r="F88" s="2" t="s">
        <v>803</v>
      </c>
      <c r="G88" s="2" t="s">
        <v>804</v>
      </c>
      <c r="H88" s="2" t="s">
        <v>804</v>
      </c>
      <c r="I88" s="2" t="s">
        <v>805</v>
      </c>
      <c r="J88" s="2" t="s">
        <v>806</v>
      </c>
      <c r="K88" s="2" t="s">
        <v>353</v>
      </c>
      <c r="L88" s="3">
        <v>14.59</v>
      </c>
      <c r="M88" s="3">
        <v>15.32</v>
      </c>
      <c r="N88" s="3">
        <v>30.99</v>
      </c>
      <c r="O88" s="2" t="s">
        <v>203</v>
      </c>
      <c r="P88" s="2" t="s">
        <v>204</v>
      </c>
      <c r="Q88" s="2" t="s">
        <v>205</v>
      </c>
      <c r="R88" s="2" t="s">
        <v>206</v>
      </c>
      <c r="S88" s="2" t="s">
        <v>807</v>
      </c>
      <c r="T88" s="2" t="s">
        <v>808</v>
      </c>
      <c r="U88" s="2" t="s">
        <v>206</v>
      </c>
      <c r="V88" s="2" t="s">
        <v>809</v>
      </c>
      <c r="W88" s="2" t="s">
        <v>210</v>
      </c>
      <c r="X88" s="2" t="s">
        <v>206</v>
      </c>
      <c r="Y88" s="2" t="s">
        <v>810</v>
      </c>
      <c r="Z88" s="4">
        <v>1918</v>
      </c>
      <c r="AA88" s="4">
        <f>=ROUNDDOWN(31.9666666666667,0)</f>
      </c>
      <c r="AB88" s="5">
        <v>60</v>
      </c>
      <c r="AC88" s="2" t="s">
        <v>5</v>
      </c>
      <c r="AD88" s="4">
        <v>1800</v>
      </c>
      <c r="AE88" s="4">
        <v>3500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206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>
        <v>583</v>
      </c>
      <c r="BK88" s="8">
        <v>8537.26</v>
      </c>
      <c r="BL88" s="2" t="s">
        <v>811</v>
      </c>
      <c r="BM88" s="7"/>
      <c r="BN88" s="7"/>
      <c r="BO88" s="4"/>
      <c r="BP88" s="8"/>
      <c r="BQ88" s="4"/>
      <c r="BR88" s="8"/>
      <c r="BS88" s="7"/>
      <c r="BT88" s="7"/>
      <c r="BU88" s="2" t="s">
        <v>812</v>
      </c>
      <c r="BV88" s="2" t="s">
        <v>206</v>
      </c>
      <c r="BW88" s="2" t="s">
        <v>206</v>
      </c>
      <c r="BX88" s="2" t="s">
        <v>214</v>
      </c>
      <c r="BY88" s="2" t="s">
        <v>215</v>
      </c>
      <c r="BZ88" s="2" t="s">
        <v>203</v>
      </c>
      <c r="CA88" s="2" t="s">
        <v>813</v>
      </c>
      <c r="CB88" s="2" t="s">
        <v>814</v>
      </c>
      <c r="CC88" s="2" t="s">
        <v>218</v>
      </c>
      <c r="CD88" s="2" t="s">
        <v>206</v>
      </c>
      <c r="CE88" s="4">
        <v>144</v>
      </c>
      <c r="CF88" s="4">
        <v>1774</v>
      </c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>
        <v>1800</v>
      </c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>
        <v>1700</v>
      </c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</row>
    <row r="89">
      <c r="A89" s="2" t="s">
        <v>815</v>
      </c>
      <c r="B89" s="2" t="s">
        <v>546</v>
      </c>
      <c r="C89" s="2" t="s">
        <v>547</v>
      </c>
      <c r="D89" s="2" t="s">
        <v>529</v>
      </c>
      <c r="E89" s="2" t="s">
        <v>816</v>
      </c>
      <c r="F89" s="2" t="s">
        <v>817</v>
      </c>
      <c r="G89" s="2" t="s">
        <v>818</v>
      </c>
      <c r="H89" s="2" t="s">
        <v>819</v>
      </c>
      <c r="I89" s="2" t="s">
        <v>820</v>
      </c>
      <c r="J89" s="2" t="s">
        <v>821</v>
      </c>
      <c r="K89" s="2" t="s">
        <v>822</v>
      </c>
      <c r="L89" s="3">
        <v>29.81</v>
      </c>
      <c r="M89" s="3">
        <v>31.3</v>
      </c>
      <c r="N89" s="3">
        <v>69.99</v>
      </c>
      <c r="O89" s="2" t="s">
        <v>203</v>
      </c>
      <c r="P89" s="2" t="s">
        <v>492</v>
      </c>
      <c r="Q89" s="2" t="s">
        <v>205</v>
      </c>
      <c r="R89" s="2" t="s">
        <v>206</v>
      </c>
      <c r="S89" s="2" t="s">
        <v>823</v>
      </c>
      <c r="T89" s="2" t="s">
        <v>292</v>
      </c>
      <c r="U89" s="2" t="s">
        <v>556</v>
      </c>
      <c r="V89" s="2" t="s">
        <v>236</v>
      </c>
      <c r="W89" s="2" t="s">
        <v>210</v>
      </c>
      <c r="X89" s="2" t="s">
        <v>439</v>
      </c>
      <c r="Y89" s="2" t="s">
        <v>211</v>
      </c>
      <c r="Z89" s="4">
        <v>472</v>
      </c>
      <c r="AA89" s="4">
        <f>=ROUNDDOWN(47.2,0)</f>
      </c>
      <c r="AB89" s="5">
        <v>10</v>
      </c>
      <c r="AC89" s="2" t="s">
        <v>113</v>
      </c>
      <c r="AD89" s="4">
        <v>150</v>
      </c>
      <c r="AE89" s="4">
        <v>200</v>
      </c>
      <c r="AF89" s="6">
        <v>65</v>
      </c>
      <c r="AG89" s="6">
        <v>48</v>
      </c>
      <c r="AH89" s="7">
        <v>1</v>
      </c>
      <c r="AI89" s="4"/>
      <c r="AJ89" s="4">
        <f>=ROUNDDOWN({0},0)</f>
      </c>
      <c r="AK89" s="5"/>
      <c r="AL89" s="2" t="s">
        <v>206</v>
      </c>
      <c r="AM89" s="4"/>
      <c r="AN89" s="4"/>
      <c r="AO89" s="7"/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11</v>
      </c>
      <c r="BK89" s="8">
        <v>342.75</v>
      </c>
      <c r="BL89" s="2" t="s">
        <v>824</v>
      </c>
      <c r="BM89" s="7"/>
      <c r="BN89" s="7"/>
      <c r="BO89" s="4"/>
      <c r="BP89" s="8"/>
      <c r="BQ89" s="4"/>
      <c r="BR89" s="8"/>
      <c r="BS89" s="7"/>
      <c r="BT89" s="7"/>
      <c r="BU89" s="2" t="s">
        <v>825</v>
      </c>
      <c r="BV89" s="2" t="s">
        <v>206</v>
      </c>
      <c r="BW89" s="2" t="s">
        <v>206</v>
      </c>
      <c r="BX89" s="2" t="s">
        <v>214</v>
      </c>
      <c r="BY89" s="2" t="s">
        <v>215</v>
      </c>
      <c r="BZ89" s="2" t="s">
        <v>203</v>
      </c>
      <c r="CA89" s="2" t="s">
        <v>216</v>
      </c>
      <c r="CB89" s="2" t="s">
        <v>826</v>
      </c>
      <c r="CC89" s="2" t="s">
        <v>218</v>
      </c>
      <c r="CD89" s="2" t="s">
        <v>206</v>
      </c>
      <c r="CE89" s="4">
        <v>338</v>
      </c>
      <c r="CF89" s="4"/>
      <c r="CG89" s="4"/>
      <c r="CH89" s="4">
        <v>134</v>
      </c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>
        <v>150</v>
      </c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>
        <v>50</v>
      </c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</row>
    <row r="90">
      <c r="A90" s="2" t="s">
        <v>827</v>
      </c>
      <c r="B90" s="2" t="s">
        <v>507</v>
      </c>
      <c r="C90" s="2" t="s">
        <v>828</v>
      </c>
      <c r="D90" s="2" t="s">
        <v>829</v>
      </c>
      <c r="E90" s="2" t="s">
        <v>830</v>
      </c>
      <c r="F90" s="2" t="s">
        <v>831</v>
      </c>
      <c r="G90" s="2" t="s">
        <v>831</v>
      </c>
      <c r="H90" s="2" t="s">
        <v>831</v>
      </c>
      <c r="I90" s="2" t="s">
        <v>832</v>
      </c>
      <c r="J90" s="2" t="s">
        <v>434</v>
      </c>
      <c r="K90" s="2" t="s">
        <v>833</v>
      </c>
      <c r="L90" s="3">
        <v>63</v>
      </c>
      <c r="M90" s="3">
        <v>66.15</v>
      </c>
      <c r="N90" s="3">
        <v>134.99</v>
      </c>
      <c r="O90" s="2" t="s">
        <v>203</v>
      </c>
      <c r="P90" s="2" t="s">
        <v>204</v>
      </c>
      <c r="Q90" s="2" t="s">
        <v>205</v>
      </c>
      <c r="R90" s="2" t="s">
        <v>206</v>
      </c>
      <c r="S90" s="2" t="s">
        <v>206</v>
      </c>
      <c r="T90" s="2" t="s">
        <v>206</v>
      </c>
      <c r="U90" s="2" t="s">
        <v>437</v>
      </c>
      <c r="V90" s="2" t="s">
        <v>468</v>
      </c>
      <c r="W90" s="2" t="s">
        <v>539</v>
      </c>
      <c r="X90" s="2" t="s">
        <v>206</v>
      </c>
      <c r="Y90" s="2" t="s">
        <v>834</v>
      </c>
      <c r="Z90" s="4">
        <v>291</v>
      </c>
      <c r="AA90" s="4">
        <f>=ROUNDDOWN(58.2,0)</f>
      </c>
      <c r="AB90" s="5">
        <v>5</v>
      </c>
      <c r="AC90" s="2" t="s">
        <v>206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206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23</v>
      </c>
      <c r="BK90" s="8">
        <v>1623.59</v>
      </c>
      <c r="BL90" s="2" t="s">
        <v>835</v>
      </c>
      <c r="BM90" s="7"/>
      <c r="BN90" s="7"/>
      <c r="BO90" s="4"/>
      <c r="BP90" s="8"/>
      <c r="BQ90" s="4"/>
      <c r="BR90" s="8"/>
      <c r="BS90" s="7"/>
      <c r="BT90" s="7"/>
      <c r="BU90" s="2" t="s">
        <v>836</v>
      </c>
      <c r="BV90" s="2" t="s">
        <v>206</v>
      </c>
      <c r="BW90" s="2" t="s">
        <v>206</v>
      </c>
      <c r="BX90" s="2" t="s">
        <v>214</v>
      </c>
      <c r="BY90" s="2" t="s">
        <v>215</v>
      </c>
      <c r="BZ90" s="2" t="s">
        <v>203</v>
      </c>
      <c r="CA90" s="2" t="s">
        <v>837</v>
      </c>
      <c r="CB90" s="2" t="s">
        <v>838</v>
      </c>
      <c r="CC90" s="2" t="s">
        <v>218</v>
      </c>
      <c r="CD90" s="2" t="s">
        <v>206</v>
      </c>
      <c r="CE90" s="4"/>
      <c r="CF90" s="4">
        <v>291</v>
      </c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</row>
    <row r="91">
      <c r="A91" s="2" t="s">
        <v>839</v>
      </c>
      <c r="B91" s="2" t="s">
        <v>613</v>
      </c>
      <c r="C91" s="2" t="s">
        <v>287</v>
      </c>
      <c r="D91" s="2" t="s">
        <v>628</v>
      </c>
      <c r="E91" s="2" t="s">
        <v>840</v>
      </c>
      <c r="F91" s="2" t="s">
        <v>841</v>
      </c>
      <c r="G91" s="2" t="s">
        <v>842</v>
      </c>
      <c r="H91" s="2" t="s">
        <v>843</v>
      </c>
      <c r="I91" s="2" t="s">
        <v>844</v>
      </c>
      <c r="J91" s="2" t="s">
        <v>731</v>
      </c>
      <c r="K91" s="2" t="s">
        <v>845</v>
      </c>
      <c r="L91" s="3">
        <v>29.9</v>
      </c>
      <c r="M91" s="3">
        <v>31.4</v>
      </c>
      <c r="N91" s="3">
        <v>64.99</v>
      </c>
      <c r="O91" s="2" t="s">
        <v>203</v>
      </c>
      <c r="P91" s="2" t="s">
        <v>204</v>
      </c>
      <c r="Q91" s="2" t="s">
        <v>205</v>
      </c>
      <c r="R91" s="2" t="s">
        <v>206</v>
      </c>
      <c r="S91" s="2" t="s">
        <v>846</v>
      </c>
      <c r="T91" s="2" t="s">
        <v>206</v>
      </c>
      <c r="U91" s="2" t="s">
        <v>206</v>
      </c>
      <c r="V91" s="2" t="s">
        <v>847</v>
      </c>
      <c r="W91" s="2" t="s">
        <v>453</v>
      </c>
      <c r="X91" s="2" t="s">
        <v>633</v>
      </c>
      <c r="Y91" s="2" t="s">
        <v>211</v>
      </c>
      <c r="Z91" s="4">
        <v>197</v>
      </c>
      <c r="AA91" s="4">
        <f>=ROUNDDOWN(15.1538461538462,0)</f>
      </c>
      <c r="AB91" s="5">
        <v>13</v>
      </c>
      <c r="AC91" s="2" t="s">
        <v>139</v>
      </c>
      <c r="AD91" s="4">
        <v>144</v>
      </c>
      <c r="AE91" s="4">
        <v>424</v>
      </c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206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206</v>
      </c>
      <c r="AW91" s="8" t="s">
        <v>206</v>
      </c>
      <c r="AX91" s="4" t="s">
        <v>206</v>
      </c>
      <c r="AY91" s="8" t="s">
        <v>206</v>
      </c>
      <c r="AZ91" s="7" t="s">
        <v>206</v>
      </c>
      <c r="BA91" s="7" t="s">
        <v>206</v>
      </c>
      <c r="BB91" s="7"/>
      <c r="BC91" s="4" t="s">
        <v>206</v>
      </c>
      <c r="BD91" s="8" t="s">
        <v>206</v>
      </c>
      <c r="BE91" s="4" t="s">
        <v>206</v>
      </c>
      <c r="BF91" s="8" t="s">
        <v>206</v>
      </c>
      <c r="BG91" s="7" t="s">
        <v>206</v>
      </c>
      <c r="BH91" s="7" t="s">
        <v>206</v>
      </c>
      <c r="BI91" s="7"/>
      <c r="BJ91" s="4">
        <v>68</v>
      </c>
      <c r="BK91" s="8">
        <v>2689.51</v>
      </c>
      <c r="BL91" s="2" t="s">
        <v>848</v>
      </c>
      <c r="BM91" s="7"/>
      <c r="BN91" s="7"/>
      <c r="BO91" s="4"/>
      <c r="BP91" s="8"/>
      <c r="BQ91" s="4"/>
      <c r="BR91" s="8"/>
      <c r="BS91" s="7"/>
      <c r="BT91" s="7"/>
      <c r="BU91" s="2" t="s">
        <v>849</v>
      </c>
      <c r="BV91" s="2" t="s">
        <v>206</v>
      </c>
      <c r="BW91" s="2" t="s">
        <v>206</v>
      </c>
      <c r="BX91" s="2" t="s">
        <v>850</v>
      </c>
      <c r="BY91" s="2" t="s">
        <v>215</v>
      </c>
      <c r="BZ91" s="2" t="s">
        <v>203</v>
      </c>
      <c r="CA91" s="2" t="s">
        <v>216</v>
      </c>
      <c r="CB91" s="2" t="s">
        <v>851</v>
      </c>
      <c r="CC91" s="2" t="s">
        <v>218</v>
      </c>
      <c r="CD91" s="2" t="s">
        <v>206</v>
      </c>
      <c r="CE91" s="4">
        <v>197</v>
      </c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>
        <v>144</v>
      </c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>
        <v>148</v>
      </c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>
        <v>132</v>
      </c>
      <c r="GB91" s="4"/>
      <c r="GC91" s="4"/>
      <c r="GD91" s="4"/>
      <c r="GE91" s="4"/>
      <c r="GF91" s="4"/>
    </row>
    <row r="92">
      <c r="A92" s="2" t="s">
        <v>852</v>
      </c>
      <c r="B92" s="2" t="s">
        <v>613</v>
      </c>
      <c r="C92" s="2" t="s">
        <v>287</v>
      </c>
      <c r="D92" s="2" t="s">
        <v>628</v>
      </c>
      <c r="E92" s="2" t="s">
        <v>840</v>
      </c>
      <c r="F92" s="2" t="s">
        <v>841</v>
      </c>
      <c r="G92" s="2" t="s">
        <v>842</v>
      </c>
      <c r="H92" s="2" t="s">
        <v>843</v>
      </c>
      <c r="I92" s="2" t="s">
        <v>844</v>
      </c>
      <c r="J92" s="2" t="s">
        <v>853</v>
      </c>
      <c r="K92" s="2" t="s">
        <v>845</v>
      </c>
      <c r="L92" s="3">
        <v>31.5</v>
      </c>
      <c r="M92" s="3">
        <v>33.08</v>
      </c>
      <c r="N92" s="3">
        <v>69.99</v>
      </c>
      <c r="O92" s="2" t="s">
        <v>203</v>
      </c>
      <c r="P92" s="2" t="s">
        <v>204</v>
      </c>
      <c r="Q92" s="2" t="s">
        <v>205</v>
      </c>
      <c r="R92" s="2" t="s">
        <v>206</v>
      </c>
      <c r="S92" s="2" t="s">
        <v>846</v>
      </c>
      <c r="T92" s="2" t="s">
        <v>206</v>
      </c>
      <c r="U92" s="2" t="s">
        <v>206</v>
      </c>
      <c r="V92" s="2" t="s">
        <v>847</v>
      </c>
      <c r="W92" s="2" t="s">
        <v>453</v>
      </c>
      <c r="X92" s="2" t="s">
        <v>633</v>
      </c>
      <c r="Y92" s="2" t="s">
        <v>211</v>
      </c>
      <c r="Z92" s="4">
        <v>342</v>
      </c>
      <c r="AA92" s="4">
        <f>=ROUNDDOWN(57,0)</f>
      </c>
      <c r="AB92" s="5">
        <v>6</v>
      </c>
      <c r="AC92" s="2" t="s">
        <v>206</v>
      </c>
      <c r="AD92" s="4"/>
      <c r="AE92" s="4"/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206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206</v>
      </c>
      <c r="AW92" s="8" t="s">
        <v>206</v>
      </c>
      <c r="AX92" s="4" t="s">
        <v>206</v>
      </c>
      <c r="AY92" s="8" t="s">
        <v>206</v>
      </c>
      <c r="AZ92" s="7" t="s">
        <v>206</v>
      </c>
      <c r="BA92" s="7" t="s">
        <v>206</v>
      </c>
      <c r="BB92" s="7"/>
      <c r="BC92" s="4" t="s">
        <v>206</v>
      </c>
      <c r="BD92" s="8" t="s">
        <v>206</v>
      </c>
      <c r="BE92" s="4" t="s">
        <v>206</v>
      </c>
      <c r="BF92" s="8" t="s">
        <v>206</v>
      </c>
      <c r="BG92" s="7" t="s">
        <v>206</v>
      </c>
      <c r="BH92" s="7" t="s">
        <v>206</v>
      </c>
      <c r="BI92" s="7"/>
      <c r="BJ92" s="4">
        <v>23</v>
      </c>
      <c r="BK92" s="8">
        <v>789.67</v>
      </c>
      <c r="BL92" s="2" t="s">
        <v>854</v>
      </c>
      <c r="BM92" s="7"/>
      <c r="BN92" s="7"/>
      <c r="BO92" s="4"/>
      <c r="BP92" s="8"/>
      <c r="BQ92" s="4"/>
      <c r="BR92" s="8"/>
      <c r="BS92" s="7"/>
      <c r="BT92" s="7"/>
      <c r="BU92" s="2" t="s">
        <v>855</v>
      </c>
      <c r="BV92" s="2" t="s">
        <v>206</v>
      </c>
      <c r="BW92" s="2" t="s">
        <v>206</v>
      </c>
      <c r="BX92" s="2" t="s">
        <v>850</v>
      </c>
      <c r="BY92" s="2" t="s">
        <v>215</v>
      </c>
      <c r="BZ92" s="2" t="s">
        <v>203</v>
      </c>
      <c r="CA92" s="2" t="s">
        <v>216</v>
      </c>
      <c r="CB92" s="2" t="s">
        <v>856</v>
      </c>
      <c r="CC92" s="2" t="s">
        <v>218</v>
      </c>
      <c r="CD92" s="2" t="s">
        <v>206</v>
      </c>
      <c r="CE92" s="4">
        <v>342</v>
      </c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</row>
    <row r="93">
      <c r="A93" s="2" t="s">
        <v>857</v>
      </c>
      <c r="B93" s="2" t="s">
        <v>613</v>
      </c>
      <c r="C93" s="2" t="s">
        <v>287</v>
      </c>
      <c r="D93" s="2" t="s">
        <v>614</v>
      </c>
      <c r="E93" s="2" t="s">
        <v>615</v>
      </c>
      <c r="F93" s="2" t="s">
        <v>841</v>
      </c>
      <c r="G93" s="2" t="s">
        <v>842</v>
      </c>
      <c r="H93" s="2" t="s">
        <v>843</v>
      </c>
      <c r="I93" s="2" t="s">
        <v>858</v>
      </c>
      <c r="J93" s="2" t="s">
        <v>620</v>
      </c>
      <c r="K93" s="2" t="s">
        <v>845</v>
      </c>
      <c r="L93" s="3">
        <v>11.07</v>
      </c>
      <c r="M93" s="3">
        <v>11.62</v>
      </c>
      <c r="N93" s="3">
        <v>26.99</v>
      </c>
      <c r="O93" s="2" t="s">
        <v>203</v>
      </c>
      <c r="P93" s="2" t="s">
        <v>204</v>
      </c>
      <c r="Q93" s="2" t="s">
        <v>205</v>
      </c>
      <c r="R93" s="2" t="s">
        <v>206</v>
      </c>
      <c r="S93" s="2" t="s">
        <v>846</v>
      </c>
      <c r="T93" s="2" t="s">
        <v>206</v>
      </c>
      <c r="U93" s="2" t="s">
        <v>206</v>
      </c>
      <c r="V93" s="2" t="s">
        <v>847</v>
      </c>
      <c r="W93" s="2" t="s">
        <v>453</v>
      </c>
      <c r="X93" s="2" t="s">
        <v>206</v>
      </c>
      <c r="Y93" s="2" t="s">
        <v>211</v>
      </c>
      <c r="Z93" s="4">
        <v>101</v>
      </c>
      <c r="AA93" s="4">
        <f>=ROUNDDOWN(4.20833333333333,0)</f>
      </c>
      <c r="AB93" s="5">
        <v>24</v>
      </c>
      <c r="AC93" s="2" t="s">
        <v>127</v>
      </c>
      <c r="AD93" s="4">
        <v>256</v>
      </c>
      <c r="AE93" s="4">
        <v>712</v>
      </c>
      <c r="AF93" s="6">
        <v>66</v>
      </c>
      <c r="AG93" s="6"/>
      <c r="AH93" s="7">
        <v>1</v>
      </c>
      <c r="AI93" s="4"/>
      <c r="AJ93" s="4">
        <f>=ROUNDDOWN({0},0)</f>
      </c>
      <c r="AK93" s="5"/>
      <c r="AL93" s="2" t="s">
        <v>206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206</v>
      </c>
      <c r="AW93" s="8" t="s">
        <v>206</v>
      </c>
      <c r="AX93" s="4" t="s">
        <v>206</v>
      </c>
      <c r="AY93" s="8" t="s">
        <v>206</v>
      </c>
      <c r="AZ93" s="7" t="s">
        <v>206</v>
      </c>
      <c r="BA93" s="7" t="s">
        <v>206</v>
      </c>
      <c r="BB93" s="7"/>
      <c r="BC93" s="4" t="s">
        <v>206</v>
      </c>
      <c r="BD93" s="8" t="s">
        <v>206</v>
      </c>
      <c r="BE93" s="4" t="s">
        <v>206</v>
      </c>
      <c r="BF93" s="8" t="s">
        <v>206</v>
      </c>
      <c r="BG93" s="7" t="s">
        <v>206</v>
      </c>
      <c r="BH93" s="7" t="s">
        <v>206</v>
      </c>
      <c r="BI93" s="7"/>
      <c r="BJ93" s="4">
        <v>132</v>
      </c>
      <c r="BK93" s="8">
        <v>1547.64</v>
      </c>
      <c r="BL93" s="2" t="s">
        <v>859</v>
      </c>
      <c r="BM93" s="7"/>
      <c r="BN93" s="7"/>
      <c r="BO93" s="4"/>
      <c r="BP93" s="8"/>
      <c r="BQ93" s="4"/>
      <c r="BR93" s="8"/>
      <c r="BS93" s="7"/>
      <c r="BT93" s="7"/>
      <c r="BU93" s="2" t="s">
        <v>860</v>
      </c>
      <c r="BV93" s="2" t="s">
        <v>206</v>
      </c>
      <c r="BW93" s="2" t="s">
        <v>206</v>
      </c>
      <c r="BX93" s="2" t="s">
        <v>214</v>
      </c>
      <c r="BY93" s="2" t="s">
        <v>215</v>
      </c>
      <c r="BZ93" s="2" t="s">
        <v>203</v>
      </c>
      <c r="CA93" s="2" t="s">
        <v>216</v>
      </c>
      <c r="CB93" s="2" t="s">
        <v>761</v>
      </c>
      <c r="CC93" s="2" t="s">
        <v>218</v>
      </c>
      <c r="CD93" s="2" t="s">
        <v>206</v>
      </c>
      <c r="CE93" s="4">
        <v>101</v>
      </c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>
        <v>256</v>
      </c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>
        <v>160</v>
      </c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>
        <v>96</v>
      </c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>
        <v>200</v>
      </c>
      <c r="GB93" s="4"/>
      <c r="GC93" s="4"/>
      <c r="GD93" s="4"/>
      <c r="GE93" s="4"/>
      <c r="GF93" s="4"/>
    </row>
    <row r="94">
      <c r="A94" s="2" t="s">
        <v>861</v>
      </c>
      <c r="B94" s="2" t="s">
        <v>613</v>
      </c>
      <c r="C94" s="2" t="s">
        <v>287</v>
      </c>
      <c r="D94" s="2" t="s">
        <v>628</v>
      </c>
      <c r="E94" s="2" t="s">
        <v>840</v>
      </c>
      <c r="F94" s="2" t="s">
        <v>841</v>
      </c>
      <c r="G94" s="2" t="s">
        <v>842</v>
      </c>
      <c r="H94" s="2" t="s">
        <v>843</v>
      </c>
      <c r="I94" s="2" t="s">
        <v>844</v>
      </c>
      <c r="J94" s="2" t="s">
        <v>731</v>
      </c>
      <c r="K94" s="2" t="s">
        <v>605</v>
      </c>
      <c r="L94" s="3">
        <v>29.9</v>
      </c>
      <c r="M94" s="3">
        <v>31.4</v>
      </c>
      <c r="N94" s="3">
        <v>64.99</v>
      </c>
      <c r="O94" s="2" t="s">
        <v>203</v>
      </c>
      <c r="P94" s="2" t="s">
        <v>492</v>
      </c>
      <c r="Q94" s="2" t="s">
        <v>205</v>
      </c>
      <c r="R94" s="2" t="s">
        <v>206</v>
      </c>
      <c r="S94" s="2" t="s">
        <v>862</v>
      </c>
      <c r="T94" s="2" t="s">
        <v>206</v>
      </c>
      <c r="U94" s="2" t="s">
        <v>206</v>
      </c>
      <c r="V94" s="2" t="s">
        <v>847</v>
      </c>
      <c r="W94" s="2" t="s">
        <v>453</v>
      </c>
      <c r="X94" s="2" t="s">
        <v>633</v>
      </c>
      <c r="Y94" s="2" t="s">
        <v>863</v>
      </c>
      <c r="Z94" s="4">
        <v>294</v>
      </c>
      <c r="AA94" s="4">
        <f>=ROUNDDOWN(26.7272727272727,0)</f>
      </c>
      <c r="AB94" s="5">
        <v>11</v>
      </c>
      <c r="AC94" s="2" t="s">
        <v>139</v>
      </c>
      <c r="AD94" s="4">
        <v>92</v>
      </c>
      <c r="AE94" s="4">
        <v>144</v>
      </c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206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206</v>
      </c>
      <c r="AW94" s="8" t="s">
        <v>206</v>
      </c>
      <c r="AX94" s="4" t="s">
        <v>206</v>
      </c>
      <c r="AY94" s="8" t="s">
        <v>206</v>
      </c>
      <c r="AZ94" s="7" t="s">
        <v>206</v>
      </c>
      <c r="BA94" s="7" t="s">
        <v>206</v>
      </c>
      <c r="BB94" s="7"/>
      <c r="BC94" s="4" t="s">
        <v>206</v>
      </c>
      <c r="BD94" s="8" t="s">
        <v>206</v>
      </c>
      <c r="BE94" s="4" t="s">
        <v>206</v>
      </c>
      <c r="BF94" s="8" t="s">
        <v>206</v>
      </c>
      <c r="BG94" s="7" t="s">
        <v>206</v>
      </c>
      <c r="BH94" s="7" t="s">
        <v>206</v>
      </c>
      <c r="BI94" s="7"/>
      <c r="BJ94" s="4">
        <v>54</v>
      </c>
      <c r="BK94" s="8">
        <v>1693.92</v>
      </c>
      <c r="BL94" s="2" t="s">
        <v>706</v>
      </c>
      <c r="BM94" s="7"/>
      <c r="BN94" s="7"/>
      <c r="BO94" s="4"/>
      <c r="BP94" s="8"/>
      <c r="BQ94" s="4"/>
      <c r="BR94" s="8"/>
      <c r="BS94" s="7"/>
      <c r="BT94" s="7"/>
      <c r="BU94" s="2" t="s">
        <v>864</v>
      </c>
      <c r="BV94" s="2" t="s">
        <v>206</v>
      </c>
      <c r="BW94" s="2" t="s">
        <v>206</v>
      </c>
      <c r="BX94" s="2" t="s">
        <v>850</v>
      </c>
      <c r="BY94" s="2" t="s">
        <v>215</v>
      </c>
      <c r="BZ94" s="2" t="s">
        <v>203</v>
      </c>
      <c r="CA94" s="2" t="s">
        <v>865</v>
      </c>
      <c r="CB94" s="2" t="s">
        <v>866</v>
      </c>
      <c r="CC94" s="2" t="s">
        <v>218</v>
      </c>
      <c r="CD94" s="2" t="s">
        <v>206</v>
      </c>
      <c r="CE94" s="4">
        <v>294</v>
      </c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>
        <v>92</v>
      </c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>
        <v>52</v>
      </c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</row>
    <row r="95">
      <c r="A95" s="2" t="s">
        <v>867</v>
      </c>
      <c r="B95" s="2" t="s">
        <v>613</v>
      </c>
      <c r="C95" s="2" t="s">
        <v>287</v>
      </c>
      <c r="D95" s="2" t="s">
        <v>628</v>
      </c>
      <c r="E95" s="2" t="s">
        <v>840</v>
      </c>
      <c r="F95" s="2" t="s">
        <v>841</v>
      </c>
      <c r="G95" s="2" t="s">
        <v>842</v>
      </c>
      <c r="H95" s="2" t="s">
        <v>843</v>
      </c>
      <c r="I95" s="2" t="s">
        <v>844</v>
      </c>
      <c r="J95" s="2" t="s">
        <v>853</v>
      </c>
      <c r="K95" s="2" t="s">
        <v>605</v>
      </c>
      <c r="L95" s="3">
        <v>31.5</v>
      </c>
      <c r="M95" s="3">
        <v>33.08</v>
      </c>
      <c r="N95" s="3">
        <v>69.99</v>
      </c>
      <c r="O95" s="2" t="s">
        <v>203</v>
      </c>
      <c r="P95" s="2" t="s">
        <v>492</v>
      </c>
      <c r="Q95" s="2" t="s">
        <v>205</v>
      </c>
      <c r="R95" s="2" t="s">
        <v>206</v>
      </c>
      <c r="S95" s="2" t="s">
        <v>862</v>
      </c>
      <c r="T95" s="2" t="s">
        <v>206</v>
      </c>
      <c r="U95" s="2" t="s">
        <v>206</v>
      </c>
      <c r="V95" s="2" t="s">
        <v>847</v>
      </c>
      <c r="W95" s="2" t="s">
        <v>453</v>
      </c>
      <c r="X95" s="2" t="s">
        <v>633</v>
      </c>
      <c r="Y95" s="2" t="s">
        <v>863</v>
      </c>
      <c r="Z95" s="4">
        <v>218</v>
      </c>
      <c r="AA95" s="4">
        <f>=ROUNDDOWN(36.3333333333333,0)</f>
      </c>
      <c r="AB95" s="5">
        <v>6</v>
      </c>
      <c r="AC95" s="2" t="s">
        <v>139</v>
      </c>
      <c r="AD95" s="4">
        <v>52</v>
      </c>
      <c r="AE95" s="4">
        <v>52</v>
      </c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206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206</v>
      </c>
      <c r="AW95" s="8" t="s">
        <v>206</v>
      </c>
      <c r="AX95" s="4" t="s">
        <v>206</v>
      </c>
      <c r="AY95" s="8" t="s">
        <v>206</v>
      </c>
      <c r="AZ95" s="7" t="s">
        <v>206</v>
      </c>
      <c r="BA95" s="7" t="s">
        <v>206</v>
      </c>
      <c r="BB95" s="7"/>
      <c r="BC95" s="4" t="s">
        <v>206</v>
      </c>
      <c r="BD95" s="8" t="s">
        <v>206</v>
      </c>
      <c r="BE95" s="4" t="s">
        <v>206</v>
      </c>
      <c r="BF95" s="8" t="s">
        <v>206</v>
      </c>
      <c r="BG95" s="7" t="s">
        <v>206</v>
      </c>
      <c r="BH95" s="7" t="s">
        <v>206</v>
      </c>
      <c r="BI95" s="7"/>
      <c r="BJ95" s="4">
        <v>24</v>
      </c>
      <c r="BK95" s="8">
        <v>815.57</v>
      </c>
      <c r="BL95" s="2" t="s">
        <v>868</v>
      </c>
      <c r="BM95" s="7"/>
      <c r="BN95" s="7"/>
      <c r="BO95" s="4"/>
      <c r="BP95" s="8"/>
      <c r="BQ95" s="4"/>
      <c r="BR95" s="8"/>
      <c r="BS95" s="7"/>
      <c r="BT95" s="7"/>
      <c r="BU95" s="2" t="s">
        <v>869</v>
      </c>
      <c r="BV95" s="2" t="s">
        <v>206</v>
      </c>
      <c r="BW95" s="2" t="s">
        <v>206</v>
      </c>
      <c r="BX95" s="2" t="s">
        <v>850</v>
      </c>
      <c r="BY95" s="2" t="s">
        <v>215</v>
      </c>
      <c r="BZ95" s="2" t="s">
        <v>203</v>
      </c>
      <c r="CA95" s="2" t="s">
        <v>865</v>
      </c>
      <c r="CB95" s="2" t="s">
        <v>866</v>
      </c>
      <c r="CC95" s="2" t="s">
        <v>218</v>
      </c>
      <c r="CD95" s="2" t="s">
        <v>206</v>
      </c>
      <c r="CE95" s="4">
        <v>218</v>
      </c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>
        <v>52</v>
      </c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</row>
    <row r="96">
      <c r="A96" s="2" t="s">
        <v>870</v>
      </c>
      <c r="B96" s="2" t="s">
        <v>507</v>
      </c>
      <c r="C96" s="2" t="s">
        <v>462</v>
      </c>
      <c r="D96" s="2" t="s">
        <v>871</v>
      </c>
      <c r="E96" s="2" t="s">
        <v>872</v>
      </c>
      <c r="F96" s="2" t="s">
        <v>873</v>
      </c>
      <c r="G96" s="2" t="s">
        <v>873</v>
      </c>
      <c r="H96" s="2" t="s">
        <v>873</v>
      </c>
      <c r="I96" s="2" t="s">
        <v>874</v>
      </c>
      <c r="J96" s="2" t="s">
        <v>875</v>
      </c>
      <c r="K96" s="2" t="s">
        <v>876</v>
      </c>
      <c r="L96" s="3">
        <v>47.52</v>
      </c>
      <c r="M96" s="3">
        <v>49.9</v>
      </c>
      <c r="N96" s="3">
        <v>109.99</v>
      </c>
      <c r="O96" s="2" t="s">
        <v>203</v>
      </c>
      <c r="P96" s="2" t="s">
        <v>204</v>
      </c>
      <c r="Q96" s="2" t="s">
        <v>205</v>
      </c>
      <c r="R96" s="2" t="s">
        <v>206</v>
      </c>
      <c r="S96" s="2" t="s">
        <v>206</v>
      </c>
      <c r="T96" s="2" t="s">
        <v>206</v>
      </c>
      <c r="U96" s="2" t="s">
        <v>437</v>
      </c>
      <c r="V96" s="2" t="s">
        <v>468</v>
      </c>
      <c r="W96" s="2" t="s">
        <v>539</v>
      </c>
      <c r="X96" s="2" t="s">
        <v>877</v>
      </c>
      <c r="Y96" s="2" t="s">
        <v>513</v>
      </c>
      <c r="Z96" s="4">
        <v>74</v>
      </c>
      <c r="AA96" s="4">
        <f>=ROUNDDOWN(46.25,0)</f>
      </c>
      <c r="AB96" s="5">
        <v>1.6</v>
      </c>
      <c r="AC96" s="2" t="s">
        <v>206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206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6</v>
      </c>
      <c r="BK96" s="8">
        <v>305.86</v>
      </c>
      <c r="BL96" s="2" t="s">
        <v>575</v>
      </c>
      <c r="BM96" s="7"/>
      <c r="BN96" s="7"/>
      <c r="BO96" s="4"/>
      <c r="BP96" s="8"/>
      <c r="BQ96" s="4"/>
      <c r="BR96" s="8"/>
      <c r="BS96" s="7"/>
      <c r="BT96" s="7"/>
      <c r="BU96" s="2" t="s">
        <v>878</v>
      </c>
      <c r="BV96" s="2" t="s">
        <v>206</v>
      </c>
      <c r="BW96" s="2" t="s">
        <v>206</v>
      </c>
      <c r="BX96" s="2" t="s">
        <v>850</v>
      </c>
      <c r="BY96" s="2" t="s">
        <v>215</v>
      </c>
      <c r="BZ96" s="2" t="s">
        <v>203</v>
      </c>
      <c r="CA96" s="2" t="s">
        <v>879</v>
      </c>
      <c r="CB96" s="2" t="s">
        <v>880</v>
      </c>
      <c r="CC96" s="2" t="s">
        <v>218</v>
      </c>
      <c r="CD96" s="2" t="s">
        <v>206</v>
      </c>
      <c r="CE96" s="4"/>
      <c r="CF96" s="4">
        <v>74</v>
      </c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</row>
    <row r="97">
      <c r="A97" s="2" t="s">
        <v>881</v>
      </c>
      <c r="B97" s="2" t="s">
        <v>461</v>
      </c>
      <c r="C97" s="2" t="s">
        <v>287</v>
      </c>
      <c r="D97" s="2" t="s">
        <v>882</v>
      </c>
      <c r="E97" s="2" t="s">
        <v>883</v>
      </c>
      <c r="F97" s="2" t="s">
        <v>884</v>
      </c>
      <c r="G97" s="2" t="s">
        <v>885</v>
      </c>
      <c r="H97" s="2" t="s">
        <v>886</v>
      </c>
      <c r="I97" s="2" t="s">
        <v>887</v>
      </c>
      <c r="J97" s="2" t="s">
        <v>434</v>
      </c>
      <c r="K97" s="2" t="s">
        <v>888</v>
      </c>
      <c r="L97" s="3">
        <v>237.5</v>
      </c>
      <c r="M97" s="3">
        <v>249.38</v>
      </c>
      <c r="N97" s="3">
        <v>499</v>
      </c>
      <c r="O97" s="2" t="s">
        <v>203</v>
      </c>
      <c r="P97" s="2" t="s">
        <v>467</v>
      </c>
      <c r="Q97" s="2" t="s">
        <v>205</v>
      </c>
      <c r="R97" s="2" t="s">
        <v>206</v>
      </c>
      <c r="S97" s="2" t="s">
        <v>206</v>
      </c>
      <c r="T97" s="2" t="s">
        <v>206</v>
      </c>
      <c r="U97" s="2" t="s">
        <v>437</v>
      </c>
      <c r="V97" s="2" t="s">
        <v>209</v>
      </c>
      <c r="W97" s="2" t="s">
        <v>539</v>
      </c>
      <c r="X97" s="2" t="s">
        <v>206</v>
      </c>
      <c r="Y97" s="2" t="s">
        <v>889</v>
      </c>
      <c r="Z97" s="4">
        <v>186</v>
      </c>
      <c r="AA97" s="4">
        <f>=ROUNDDOWN(62,0)</f>
      </c>
      <c r="AB97" s="5">
        <v>3</v>
      </c>
      <c r="AC97" s="2" t="s">
        <v>206</v>
      </c>
      <c r="AD97" s="4"/>
      <c r="AE97" s="4"/>
      <c r="AF97" s="6">
        <v>68</v>
      </c>
      <c r="AG97" s="6"/>
      <c r="AH97" s="7">
        <v>1</v>
      </c>
      <c r="AI97" s="4"/>
      <c r="AJ97" s="4">
        <f>=ROUNDDOWN({0},0)</f>
      </c>
      <c r="AK97" s="5"/>
      <c r="AL97" s="2" t="s">
        <v>206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4</v>
      </c>
      <c r="BK97" s="8">
        <v>966.12</v>
      </c>
      <c r="BL97" s="2" t="s">
        <v>890</v>
      </c>
      <c r="BM97" s="7"/>
      <c r="BN97" s="7"/>
      <c r="BO97" s="4"/>
      <c r="BP97" s="8"/>
      <c r="BQ97" s="4"/>
      <c r="BR97" s="8"/>
      <c r="BS97" s="7"/>
      <c r="BT97" s="7"/>
      <c r="BU97" s="2" t="s">
        <v>891</v>
      </c>
      <c r="BV97" s="2" t="s">
        <v>206</v>
      </c>
      <c r="BW97" s="2" t="s">
        <v>206</v>
      </c>
      <c r="BX97" s="2" t="s">
        <v>214</v>
      </c>
      <c r="BY97" s="2" t="s">
        <v>215</v>
      </c>
      <c r="BZ97" s="2" t="s">
        <v>203</v>
      </c>
      <c r="CA97" s="2" t="s">
        <v>892</v>
      </c>
      <c r="CB97" s="2" t="s">
        <v>893</v>
      </c>
      <c r="CC97" s="2" t="s">
        <v>218</v>
      </c>
      <c r="CD97" s="2" t="s">
        <v>206</v>
      </c>
      <c r="CE97" s="4"/>
      <c r="CF97" s="4">
        <v>186</v>
      </c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</row>
    <row r="98">
      <c r="A98" s="2" t="s">
        <v>894</v>
      </c>
      <c r="B98" s="2" t="s">
        <v>429</v>
      </c>
      <c r="C98" s="2" t="s">
        <v>287</v>
      </c>
      <c r="D98" s="2" t="s">
        <v>895</v>
      </c>
      <c r="E98" s="2" t="s">
        <v>431</v>
      </c>
      <c r="F98" s="2" t="s">
        <v>896</v>
      </c>
      <c r="G98" s="2" t="s">
        <v>896</v>
      </c>
      <c r="H98" s="2" t="s">
        <v>896</v>
      </c>
      <c r="I98" s="2" t="s">
        <v>897</v>
      </c>
      <c r="J98" s="2" t="s">
        <v>434</v>
      </c>
      <c r="K98" s="2" t="s">
        <v>898</v>
      </c>
      <c r="L98" s="3">
        <v>54.4</v>
      </c>
      <c r="M98" s="3">
        <v>57.12</v>
      </c>
      <c r="N98" s="3">
        <v>114.74</v>
      </c>
      <c r="O98" s="2" t="s">
        <v>203</v>
      </c>
      <c r="P98" s="2" t="s">
        <v>204</v>
      </c>
      <c r="Q98" s="2" t="s">
        <v>205</v>
      </c>
      <c r="R98" s="2" t="s">
        <v>206</v>
      </c>
      <c r="S98" s="2" t="s">
        <v>899</v>
      </c>
      <c r="T98" s="2" t="s">
        <v>206</v>
      </c>
      <c r="U98" s="2" t="s">
        <v>900</v>
      </c>
      <c r="V98" s="2" t="s">
        <v>438</v>
      </c>
      <c r="W98" s="2" t="s">
        <v>439</v>
      </c>
      <c r="X98" s="2" t="s">
        <v>901</v>
      </c>
      <c r="Y98" s="2" t="s">
        <v>902</v>
      </c>
      <c r="Z98" s="4">
        <v>34</v>
      </c>
      <c r="AA98" s="4">
        <f>=ROUNDDOWN(11.3333333333333,0)</f>
      </c>
      <c r="AB98" s="5">
        <v>3</v>
      </c>
      <c r="AC98" s="2" t="s">
        <v>903</v>
      </c>
      <c r="AD98" s="4">
        <v>70</v>
      </c>
      <c r="AE98" s="4">
        <v>70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206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10</v>
      </c>
      <c r="BK98" s="8">
        <v>688.89</v>
      </c>
      <c r="BL98" s="2" t="s">
        <v>904</v>
      </c>
      <c r="BM98" s="7"/>
      <c r="BN98" s="7"/>
      <c r="BO98" s="4"/>
      <c r="BP98" s="8"/>
      <c r="BQ98" s="4"/>
      <c r="BR98" s="8"/>
      <c r="BS98" s="7"/>
      <c r="BT98" s="7"/>
      <c r="BU98" s="2" t="s">
        <v>905</v>
      </c>
      <c r="BV98" s="2" t="s">
        <v>206</v>
      </c>
      <c r="BW98" s="2" t="s">
        <v>206</v>
      </c>
      <c r="BX98" s="2" t="s">
        <v>214</v>
      </c>
      <c r="BY98" s="2" t="s">
        <v>215</v>
      </c>
      <c r="BZ98" s="2" t="s">
        <v>203</v>
      </c>
      <c r="CA98" s="2" t="s">
        <v>906</v>
      </c>
      <c r="CB98" s="2" t="s">
        <v>907</v>
      </c>
      <c r="CC98" s="2" t="s">
        <v>218</v>
      </c>
      <c r="CD98" s="2" t="s">
        <v>206</v>
      </c>
      <c r="CE98" s="4"/>
      <c r="CF98" s="4">
        <v>34</v>
      </c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>
        <v>70</v>
      </c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</row>
    <row r="99">
      <c r="A99" s="2" t="s">
        <v>908</v>
      </c>
      <c r="B99" s="2" t="s">
        <v>429</v>
      </c>
      <c r="C99" s="2" t="s">
        <v>287</v>
      </c>
      <c r="D99" s="2" t="s">
        <v>909</v>
      </c>
      <c r="E99" s="2" t="s">
        <v>910</v>
      </c>
      <c r="F99" s="2" t="s">
        <v>911</v>
      </c>
      <c r="G99" s="2" t="s">
        <v>911</v>
      </c>
      <c r="H99" s="2" t="s">
        <v>911</v>
      </c>
      <c r="I99" s="2" t="s">
        <v>912</v>
      </c>
      <c r="J99" s="2" t="s">
        <v>434</v>
      </c>
      <c r="K99" s="2" t="s">
        <v>483</v>
      </c>
      <c r="L99" s="3">
        <v>40.07</v>
      </c>
      <c r="M99" s="3">
        <v>42.07</v>
      </c>
      <c r="N99" s="3">
        <v>84.99</v>
      </c>
      <c r="O99" s="2" t="s">
        <v>203</v>
      </c>
      <c r="P99" s="2" t="s">
        <v>467</v>
      </c>
      <c r="Q99" s="2" t="s">
        <v>205</v>
      </c>
      <c r="R99" s="2" t="s">
        <v>206</v>
      </c>
      <c r="S99" s="2" t="s">
        <v>913</v>
      </c>
      <c r="T99" s="2" t="s">
        <v>206</v>
      </c>
      <c r="U99" s="2" t="s">
        <v>437</v>
      </c>
      <c r="V99" s="2" t="s">
        <v>438</v>
      </c>
      <c r="W99" s="2" t="s">
        <v>439</v>
      </c>
      <c r="X99" s="2" t="s">
        <v>914</v>
      </c>
      <c r="Y99" s="2" t="s">
        <v>440</v>
      </c>
      <c r="Z99" s="4">
        <v>117</v>
      </c>
      <c r="AA99" s="4">
        <f>=ROUNDDOWN(29.25,0)</f>
      </c>
      <c r="AB99" s="5">
        <v>4</v>
      </c>
      <c r="AC99" s="2" t="s">
        <v>206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206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30</v>
      </c>
      <c r="BK99" s="8">
        <v>1352.99</v>
      </c>
      <c r="BL99" s="2" t="s">
        <v>915</v>
      </c>
      <c r="BM99" s="7"/>
      <c r="BN99" s="7"/>
      <c r="BO99" s="4"/>
      <c r="BP99" s="8"/>
      <c r="BQ99" s="4"/>
      <c r="BR99" s="8"/>
      <c r="BS99" s="7"/>
      <c r="BT99" s="7"/>
      <c r="BU99" s="2" t="s">
        <v>916</v>
      </c>
      <c r="BV99" s="2" t="s">
        <v>206</v>
      </c>
      <c r="BW99" s="2" t="s">
        <v>206</v>
      </c>
      <c r="BX99" s="2" t="s">
        <v>214</v>
      </c>
      <c r="BY99" s="2" t="s">
        <v>215</v>
      </c>
      <c r="BZ99" s="2" t="s">
        <v>203</v>
      </c>
      <c r="CA99" s="2" t="s">
        <v>917</v>
      </c>
      <c r="CB99" s="2" t="s">
        <v>918</v>
      </c>
      <c r="CC99" s="2" t="s">
        <v>218</v>
      </c>
      <c r="CD99" s="2" t="s">
        <v>206</v>
      </c>
      <c r="CE99" s="4"/>
      <c r="CF99" s="4">
        <v>117</v>
      </c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</row>
    <row r="100">
      <c r="A100" s="2" t="s">
        <v>919</v>
      </c>
      <c r="B100" s="2" t="s">
        <v>429</v>
      </c>
      <c r="C100" s="2" t="s">
        <v>287</v>
      </c>
      <c r="D100" s="2" t="s">
        <v>909</v>
      </c>
      <c r="E100" s="2" t="s">
        <v>910</v>
      </c>
      <c r="F100" s="2" t="s">
        <v>920</v>
      </c>
      <c r="G100" s="2" t="s">
        <v>920</v>
      </c>
      <c r="H100" s="2" t="s">
        <v>920</v>
      </c>
      <c r="I100" s="2" t="s">
        <v>921</v>
      </c>
      <c r="J100" s="2" t="s">
        <v>434</v>
      </c>
      <c r="K100" s="2" t="s">
        <v>674</v>
      </c>
      <c r="L100" s="3">
        <v>41.69</v>
      </c>
      <c r="M100" s="3">
        <v>43.77</v>
      </c>
      <c r="N100" s="3">
        <v>89.24</v>
      </c>
      <c r="O100" s="2" t="s">
        <v>203</v>
      </c>
      <c r="P100" s="2" t="s">
        <v>204</v>
      </c>
      <c r="Q100" s="2" t="s">
        <v>205</v>
      </c>
      <c r="R100" s="2" t="s">
        <v>206</v>
      </c>
      <c r="S100" s="2" t="s">
        <v>206</v>
      </c>
      <c r="T100" s="2" t="s">
        <v>206</v>
      </c>
      <c r="U100" s="2" t="s">
        <v>556</v>
      </c>
      <c r="V100" s="2" t="s">
        <v>452</v>
      </c>
      <c r="W100" s="2" t="s">
        <v>539</v>
      </c>
      <c r="X100" s="2" t="s">
        <v>206</v>
      </c>
      <c r="Y100" s="2" t="s">
        <v>922</v>
      </c>
      <c r="Z100" s="4">
        <v>50</v>
      </c>
      <c r="AA100" s="4">
        <f>=ROUNDDOWN(8.47457627118644,0)</f>
      </c>
      <c r="AB100" s="5">
        <v>5.9</v>
      </c>
      <c r="AC100" s="2" t="s">
        <v>923</v>
      </c>
      <c r="AD100" s="4">
        <v>150</v>
      </c>
      <c r="AE100" s="4">
        <v>150</v>
      </c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206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38</v>
      </c>
      <c r="BK100" s="8">
        <v>1850.41</v>
      </c>
      <c r="BL100" s="2" t="s">
        <v>924</v>
      </c>
      <c r="BM100" s="7"/>
      <c r="BN100" s="7"/>
      <c r="BO100" s="4"/>
      <c r="BP100" s="8"/>
      <c r="BQ100" s="4"/>
      <c r="BR100" s="8"/>
      <c r="BS100" s="7"/>
      <c r="BT100" s="7"/>
      <c r="BU100" s="2" t="s">
        <v>925</v>
      </c>
      <c r="BV100" s="2" t="s">
        <v>206</v>
      </c>
      <c r="BW100" s="2" t="s">
        <v>206</v>
      </c>
      <c r="BX100" s="2" t="s">
        <v>214</v>
      </c>
      <c r="BY100" s="2" t="s">
        <v>215</v>
      </c>
      <c r="BZ100" s="2" t="s">
        <v>203</v>
      </c>
      <c r="CA100" s="2" t="s">
        <v>926</v>
      </c>
      <c r="CB100" s="2" t="s">
        <v>927</v>
      </c>
      <c r="CC100" s="2" t="s">
        <v>218</v>
      </c>
      <c r="CD100" s="2" t="s">
        <v>206</v>
      </c>
      <c r="CE100" s="4"/>
      <c r="CF100" s="4">
        <v>50</v>
      </c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>
        <v>150</v>
      </c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</row>
    <row r="101">
      <c r="A101" s="2" t="s">
        <v>928</v>
      </c>
      <c r="B101" s="2" t="s">
        <v>613</v>
      </c>
      <c r="C101" s="2" t="s">
        <v>287</v>
      </c>
      <c r="D101" s="2" t="s">
        <v>628</v>
      </c>
      <c r="E101" s="2" t="s">
        <v>929</v>
      </c>
      <c r="F101" s="2" t="s">
        <v>930</v>
      </c>
      <c r="G101" s="2" t="s">
        <v>931</v>
      </c>
      <c r="H101" s="2" t="s">
        <v>932</v>
      </c>
      <c r="I101" s="2" t="s">
        <v>933</v>
      </c>
      <c r="J101" s="2" t="s">
        <v>731</v>
      </c>
      <c r="K101" s="2" t="s">
        <v>336</v>
      </c>
      <c r="L101" s="3">
        <v>19.35</v>
      </c>
      <c r="M101" s="3">
        <v>20.32</v>
      </c>
      <c r="N101" s="3">
        <v>42.99</v>
      </c>
      <c r="O101" s="2" t="s">
        <v>203</v>
      </c>
      <c r="P101" s="2" t="s">
        <v>204</v>
      </c>
      <c r="Q101" s="2" t="s">
        <v>205</v>
      </c>
      <c r="R101" s="2" t="s">
        <v>206</v>
      </c>
      <c r="S101" s="2" t="s">
        <v>934</v>
      </c>
      <c r="T101" s="2" t="s">
        <v>206</v>
      </c>
      <c r="U101" s="2" t="s">
        <v>437</v>
      </c>
      <c r="V101" s="2" t="s">
        <v>935</v>
      </c>
      <c r="W101" s="2" t="s">
        <v>439</v>
      </c>
      <c r="X101" s="2" t="s">
        <v>633</v>
      </c>
      <c r="Y101" s="2" t="s">
        <v>211</v>
      </c>
      <c r="Z101" s="4">
        <v>108</v>
      </c>
      <c r="AA101" s="4">
        <f>=ROUNDDOWN(21.6,0)</f>
      </c>
      <c r="AB101" s="5">
        <v>5</v>
      </c>
      <c r="AC101" s="2" t="s">
        <v>119</v>
      </c>
      <c r="AD101" s="4">
        <v>40</v>
      </c>
      <c r="AE101" s="4">
        <v>40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206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28</v>
      </c>
      <c r="BK101" s="8">
        <v>581.9</v>
      </c>
      <c r="BL101" s="2" t="s">
        <v>936</v>
      </c>
      <c r="BM101" s="7"/>
      <c r="BN101" s="7"/>
      <c r="BO101" s="4"/>
      <c r="BP101" s="8"/>
      <c r="BQ101" s="4"/>
      <c r="BR101" s="8"/>
      <c r="BS101" s="7"/>
      <c r="BT101" s="7"/>
      <c r="BU101" s="2" t="s">
        <v>937</v>
      </c>
      <c r="BV101" s="2" t="s">
        <v>206</v>
      </c>
      <c r="BW101" s="2" t="s">
        <v>206</v>
      </c>
      <c r="BX101" s="2" t="s">
        <v>426</v>
      </c>
      <c r="BY101" s="2" t="s">
        <v>215</v>
      </c>
      <c r="BZ101" s="2" t="s">
        <v>203</v>
      </c>
      <c r="CA101" s="2" t="s">
        <v>938</v>
      </c>
      <c r="CB101" s="2" t="s">
        <v>939</v>
      </c>
      <c r="CC101" s="2" t="s">
        <v>218</v>
      </c>
      <c r="CD101" s="2" t="s">
        <v>206</v>
      </c>
      <c r="CE101" s="4">
        <v>108</v>
      </c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>
        <v>40</v>
      </c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</row>
    <row r="102">
      <c r="A102" s="2" t="s">
        <v>940</v>
      </c>
      <c r="B102" s="2" t="s">
        <v>613</v>
      </c>
      <c r="C102" s="2" t="s">
        <v>941</v>
      </c>
      <c r="D102" s="2" t="s">
        <v>628</v>
      </c>
      <c r="E102" s="2" t="s">
        <v>629</v>
      </c>
      <c r="F102" s="2" t="s">
        <v>942</v>
      </c>
      <c r="G102" s="2" t="s">
        <v>942</v>
      </c>
      <c r="H102" s="2" t="s">
        <v>942</v>
      </c>
      <c r="I102" s="2" t="s">
        <v>943</v>
      </c>
      <c r="J102" s="2" t="s">
        <v>944</v>
      </c>
      <c r="K102" s="2" t="s">
        <v>945</v>
      </c>
      <c r="L102" s="3">
        <v>27.23</v>
      </c>
      <c r="M102" s="3">
        <v>28.59</v>
      </c>
      <c r="N102" s="3">
        <v>79.99</v>
      </c>
      <c r="O102" s="2" t="s">
        <v>203</v>
      </c>
      <c r="P102" s="2" t="s">
        <v>467</v>
      </c>
      <c r="Q102" s="2" t="s">
        <v>205</v>
      </c>
      <c r="R102" s="2" t="s">
        <v>206</v>
      </c>
      <c r="S102" s="2" t="s">
        <v>206</v>
      </c>
      <c r="T102" s="2" t="s">
        <v>206</v>
      </c>
      <c r="U102" s="2" t="s">
        <v>437</v>
      </c>
      <c r="V102" s="2" t="s">
        <v>209</v>
      </c>
      <c r="W102" s="2" t="s">
        <v>914</v>
      </c>
      <c r="X102" s="2" t="s">
        <v>206</v>
      </c>
      <c r="Y102" s="2" t="s">
        <v>946</v>
      </c>
      <c r="Z102" s="4">
        <v>28</v>
      </c>
      <c r="AA102" s="4">
        <f>=ROUNDDOWN(2.8,0)</f>
      </c>
      <c r="AB102" s="5">
        <v>10</v>
      </c>
      <c r="AC102" s="2" t="s">
        <v>441</v>
      </c>
      <c r="AD102" s="4">
        <v>88</v>
      </c>
      <c r="AE102" s="4">
        <v>300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206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30</v>
      </c>
      <c r="BK102" s="8">
        <v>1081.42</v>
      </c>
      <c r="BL102" s="2" t="s">
        <v>947</v>
      </c>
      <c r="BM102" s="7"/>
      <c r="BN102" s="7"/>
      <c r="BO102" s="4"/>
      <c r="BP102" s="8"/>
      <c r="BQ102" s="4"/>
      <c r="BR102" s="8"/>
      <c r="BS102" s="7"/>
      <c r="BT102" s="7"/>
      <c r="BU102" s="2" t="s">
        <v>948</v>
      </c>
      <c r="BV102" s="2" t="s">
        <v>206</v>
      </c>
      <c r="BW102" s="2" t="s">
        <v>206</v>
      </c>
      <c r="BX102" s="2" t="s">
        <v>214</v>
      </c>
      <c r="BY102" s="2" t="s">
        <v>215</v>
      </c>
      <c r="BZ102" s="2" t="s">
        <v>203</v>
      </c>
      <c r="CA102" s="2" t="s">
        <v>949</v>
      </c>
      <c r="CB102" s="2" t="s">
        <v>950</v>
      </c>
      <c r="CC102" s="2" t="s">
        <v>218</v>
      </c>
      <c r="CD102" s="2" t="s">
        <v>206</v>
      </c>
      <c r="CE102" s="4">
        <v>28</v>
      </c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>
        <v>88</v>
      </c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>
        <v>104</v>
      </c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>
        <v>108</v>
      </c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</row>
    <row r="103">
      <c r="A103" s="2" t="s">
        <v>951</v>
      </c>
      <c r="B103" s="2" t="s">
        <v>461</v>
      </c>
      <c r="C103" s="2" t="s">
        <v>287</v>
      </c>
      <c r="D103" s="2" t="s">
        <v>463</v>
      </c>
      <c r="E103" s="2" t="s">
        <v>952</v>
      </c>
      <c r="F103" s="2" t="s">
        <v>953</v>
      </c>
      <c r="G103" s="2" t="s">
        <v>954</v>
      </c>
      <c r="H103" s="2" t="s">
        <v>955</v>
      </c>
      <c r="I103" s="2" t="s">
        <v>956</v>
      </c>
      <c r="J103" s="2" t="s">
        <v>434</v>
      </c>
      <c r="K103" s="2" t="s">
        <v>262</v>
      </c>
      <c r="L103" s="3">
        <v>80.87</v>
      </c>
      <c r="M103" s="3">
        <v>84.91</v>
      </c>
      <c r="N103" s="3">
        <v>169</v>
      </c>
      <c r="O103" s="2" t="s">
        <v>203</v>
      </c>
      <c r="P103" s="2" t="s">
        <v>467</v>
      </c>
      <c r="Q103" s="2" t="s">
        <v>205</v>
      </c>
      <c r="R103" s="2" t="s">
        <v>206</v>
      </c>
      <c r="S103" s="2" t="s">
        <v>957</v>
      </c>
      <c r="T103" s="2" t="s">
        <v>206</v>
      </c>
      <c r="U103" s="2" t="s">
        <v>206</v>
      </c>
      <c r="V103" s="2" t="s">
        <v>958</v>
      </c>
      <c r="W103" s="2" t="s">
        <v>539</v>
      </c>
      <c r="X103" s="2" t="s">
        <v>206</v>
      </c>
      <c r="Y103" s="2" t="s">
        <v>211</v>
      </c>
      <c r="Z103" s="4">
        <v>147</v>
      </c>
      <c r="AA103" s="4">
        <f>=ROUNDDOWN(24.5,0)</f>
      </c>
      <c r="AB103" s="5">
        <v>6</v>
      </c>
      <c r="AC103" s="2" t="s">
        <v>206</v>
      </c>
      <c r="AD103" s="4"/>
      <c r="AE103" s="4"/>
      <c r="AF103" s="6">
        <v>76</v>
      </c>
      <c r="AG103" s="6"/>
      <c r="AH103" s="7">
        <v>1</v>
      </c>
      <c r="AI103" s="4"/>
      <c r="AJ103" s="4">
        <f>=ROUNDDOWN({0},0)</f>
      </c>
      <c r="AK103" s="5"/>
      <c r="AL103" s="2" t="s">
        <v>206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20</v>
      </c>
      <c r="BK103" s="8">
        <v>1672.55</v>
      </c>
      <c r="BL103" s="2" t="s">
        <v>959</v>
      </c>
      <c r="BM103" s="7"/>
      <c r="BN103" s="7"/>
      <c r="BO103" s="4"/>
      <c r="BP103" s="8"/>
      <c r="BQ103" s="4"/>
      <c r="BR103" s="8"/>
      <c r="BS103" s="7"/>
      <c r="BT103" s="7"/>
      <c r="BU103" s="2" t="s">
        <v>960</v>
      </c>
      <c r="BV103" s="2" t="s">
        <v>206</v>
      </c>
      <c r="BW103" s="2" t="s">
        <v>206</v>
      </c>
      <c r="BX103" s="2" t="s">
        <v>426</v>
      </c>
      <c r="BY103" s="2" t="s">
        <v>215</v>
      </c>
      <c r="BZ103" s="2" t="s">
        <v>203</v>
      </c>
      <c r="CA103" s="2" t="s">
        <v>216</v>
      </c>
      <c r="CB103" s="2" t="s">
        <v>961</v>
      </c>
      <c r="CC103" s="2" t="s">
        <v>218</v>
      </c>
      <c r="CD103" s="2" t="s">
        <v>206</v>
      </c>
      <c r="CE103" s="4"/>
      <c r="CF103" s="4">
        <v>147</v>
      </c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</row>
    <row r="104">
      <c r="A104" s="2" t="s">
        <v>962</v>
      </c>
      <c r="B104" s="2" t="s">
        <v>461</v>
      </c>
      <c r="C104" s="2" t="s">
        <v>447</v>
      </c>
      <c r="D104" s="2" t="s">
        <v>963</v>
      </c>
      <c r="E104" s="2" t="s">
        <v>964</v>
      </c>
      <c r="F104" s="2" t="s">
        <v>965</v>
      </c>
      <c r="G104" s="2" t="s">
        <v>965</v>
      </c>
      <c r="H104" s="2" t="s">
        <v>965</v>
      </c>
      <c r="I104" s="2" t="s">
        <v>966</v>
      </c>
      <c r="J104" s="2" t="s">
        <v>434</v>
      </c>
      <c r="K104" s="2" t="s">
        <v>967</v>
      </c>
      <c r="L104" s="3">
        <v>185</v>
      </c>
      <c r="M104" s="3">
        <v>194.25</v>
      </c>
      <c r="N104" s="3">
        <v>399</v>
      </c>
      <c r="O104" s="2" t="s">
        <v>203</v>
      </c>
      <c r="P104" s="2" t="s">
        <v>467</v>
      </c>
      <c r="Q104" s="2" t="s">
        <v>205</v>
      </c>
      <c r="R104" s="2" t="s">
        <v>206</v>
      </c>
      <c r="S104" s="2" t="s">
        <v>206</v>
      </c>
      <c r="T104" s="2" t="s">
        <v>206</v>
      </c>
      <c r="U104" s="2" t="s">
        <v>437</v>
      </c>
      <c r="V104" s="2" t="s">
        <v>468</v>
      </c>
      <c r="W104" s="2" t="s">
        <v>786</v>
      </c>
      <c r="X104" s="2" t="s">
        <v>454</v>
      </c>
      <c r="Y104" s="2" t="s">
        <v>968</v>
      </c>
      <c r="Z104" s="4">
        <v>50</v>
      </c>
      <c r="AA104" s="4">
        <f>=ROUNDDOWN(25,0)</f>
      </c>
      <c r="AB104" s="5">
        <v>2</v>
      </c>
      <c r="AC104" s="2" t="s">
        <v>969</v>
      </c>
      <c r="AD104" s="4">
        <v>100</v>
      </c>
      <c r="AE104" s="4">
        <v>100</v>
      </c>
      <c r="AF104" s="6">
        <v>74</v>
      </c>
      <c r="AG104" s="6"/>
      <c r="AH104" s="7">
        <v>1</v>
      </c>
      <c r="AI104" s="4"/>
      <c r="AJ104" s="4">
        <f>=ROUNDDOWN({0},0)</f>
      </c>
      <c r="AK104" s="5"/>
      <c r="AL104" s="2" t="s">
        <v>206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8</v>
      </c>
      <c r="BK104" s="8">
        <v>1630.13</v>
      </c>
      <c r="BL104" s="2" t="s">
        <v>970</v>
      </c>
      <c r="BM104" s="7"/>
      <c r="BN104" s="7"/>
      <c r="BO104" s="4"/>
      <c r="BP104" s="8"/>
      <c r="BQ104" s="4"/>
      <c r="BR104" s="8"/>
      <c r="BS104" s="7"/>
      <c r="BT104" s="7"/>
      <c r="BU104" s="2" t="s">
        <v>971</v>
      </c>
      <c r="BV104" s="2" t="s">
        <v>206</v>
      </c>
      <c r="BW104" s="2" t="s">
        <v>206</v>
      </c>
      <c r="BX104" s="2" t="s">
        <v>214</v>
      </c>
      <c r="BY104" s="2" t="s">
        <v>215</v>
      </c>
      <c r="BZ104" s="2" t="s">
        <v>203</v>
      </c>
      <c r="CA104" s="2" t="s">
        <v>972</v>
      </c>
      <c r="CB104" s="2" t="s">
        <v>973</v>
      </c>
      <c r="CC104" s="2" t="s">
        <v>218</v>
      </c>
      <c r="CD104" s="2" t="s">
        <v>206</v>
      </c>
      <c r="CE104" s="4"/>
      <c r="CF104" s="4">
        <v>50</v>
      </c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>
        <v>100</v>
      </c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</row>
    <row r="105">
      <c r="A105" s="2" t="s">
        <v>974</v>
      </c>
      <c r="B105" s="2" t="s">
        <v>461</v>
      </c>
      <c r="C105" s="2" t="s">
        <v>287</v>
      </c>
      <c r="D105" s="2" t="s">
        <v>975</v>
      </c>
      <c r="E105" s="2" t="s">
        <v>976</v>
      </c>
      <c r="F105" s="2" t="s">
        <v>977</v>
      </c>
      <c r="G105" s="2" t="s">
        <v>978</v>
      </c>
      <c r="H105" s="2" t="s">
        <v>979</v>
      </c>
      <c r="I105" s="2" t="s">
        <v>980</v>
      </c>
      <c r="J105" s="2" t="s">
        <v>434</v>
      </c>
      <c r="K105" s="2" t="s">
        <v>981</v>
      </c>
      <c r="L105" s="3">
        <v>204.25</v>
      </c>
      <c r="M105" s="3">
        <v>214.46</v>
      </c>
      <c r="N105" s="3">
        <v>429</v>
      </c>
      <c r="O105" s="2" t="s">
        <v>203</v>
      </c>
      <c r="P105" s="2" t="s">
        <v>204</v>
      </c>
      <c r="Q105" s="2" t="s">
        <v>205</v>
      </c>
      <c r="R105" s="2" t="s">
        <v>206</v>
      </c>
      <c r="S105" s="2" t="s">
        <v>982</v>
      </c>
      <c r="T105" s="2" t="s">
        <v>206</v>
      </c>
      <c r="U105" s="2" t="s">
        <v>206</v>
      </c>
      <c r="V105" s="2" t="s">
        <v>209</v>
      </c>
      <c r="W105" s="2" t="s">
        <v>439</v>
      </c>
      <c r="X105" s="2" t="s">
        <v>206</v>
      </c>
      <c r="Y105" s="2" t="s">
        <v>211</v>
      </c>
      <c r="Z105" s="4">
        <v>142</v>
      </c>
      <c r="AA105" s="4">
        <f>=ROUNDDOWN(142,0)</f>
      </c>
      <c r="AB105" s="5">
        <v>1</v>
      </c>
      <c r="AC105" s="2" t="s">
        <v>206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206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12</v>
      </c>
      <c r="BK105" s="8">
        <v>2227.33</v>
      </c>
      <c r="BL105" s="2" t="s">
        <v>983</v>
      </c>
      <c r="BM105" s="7"/>
      <c r="BN105" s="7"/>
      <c r="BO105" s="4"/>
      <c r="BP105" s="8"/>
      <c r="BQ105" s="4"/>
      <c r="BR105" s="8"/>
      <c r="BS105" s="7"/>
      <c r="BT105" s="7"/>
      <c r="BU105" s="2" t="s">
        <v>984</v>
      </c>
      <c r="BV105" s="2" t="s">
        <v>206</v>
      </c>
      <c r="BW105" s="2" t="s">
        <v>206</v>
      </c>
      <c r="BX105" s="2" t="s">
        <v>214</v>
      </c>
      <c r="BY105" s="2" t="s">
        <v>215</v>
      </c>
      <c r="BZ105" s="2" t="s">
        <v>203</v>
      </c>
      <c r="CA105" s="2" t="s">
        <v>216</v>
      </c>
      <c r="CB105" s="2" t="s">
        <v>985</v>
      </c>
      <c r="CC105" s="2" t="s">
        <v>218</v>
      </c>
      <c r="CD105" s="2" t="s">
        <v>206</v>
      </c>
      <c r="CE105" s="4"/>
      <c r="CF105" s="4">
        <v>142</v>
      </c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</row>
    <row r="106">
      <c r="A106" s="2" t="s">
        <v>986</v>
      </c>
      <c r="B106" s="2" t="s">
        <v>662</v>
      </c>
      <c r="C106" s="2" t="s">
        <v>287</v>
      </c>
      <c r="D106" s="2" t="s">
        <v>663</v>
      </c>
      <c r="E106" s="2" t="s">
        <v>664</v>
      </c>
      <c r="F106" s="2" t="s">
        <v>987</v>
      </c>
      <c r="G106" s="2" t="s">
        <v>988</v>
      </c>
      <c r="H106" s="2" t="s">
        <v>989</v>
      </c>
      <c r="I106" s="2" t="s">
        <v>990</v>
      </c>
      <c r="J106" s="2" t="s">
        <v>991</v>
      </c>
      <c r="K106" s="2" t="s">
        <v>262</v>
      </c>
      <c r="L106" s="3">
        <v>26.91</v>
      </c>
      <c r="M106" s="3">
        <v>28.26</v>
      </c>
      <c r="N106" s="3">
        <v>59.99</v>
      </c>
      <c r="O106" s="2" t="s">
        <v>203</v>
      </c>
      <c r="P106" s="2" t="s">
        <v>773</v>
      </c>
      <c r="Q106" s="2" t="s">
        <v>205</v>
      </c>
      <c r="R106" s="2" t="s">
        <v>206</v>
      </c>
      <c r="S106" s="2" t="s">
        <v>992</v>
      </c>
      <c r="T106" s="2" t="s">
        <v>206</v>
      </c>
      <c r="U106" s="2" t="s">
        <v>206</v>
      </c>
      <c r="V106" s="2" t="s">
        <v>901</v>
      </c>
      <c r="W106" s="2" t="s">
        <v>901</v>
      </c>
      <c r="X106" s="2" t="s">
        <v>206</v>
      </c>
      <c r="Y106" s="2" t="s">
        <v>993</v>
      </c>
      <c r="Z106" s="4">
        <v>214</v>
      </c>
      <c r="AA106" s="4">
        <f>=ROUNDDOWN(12.5882352941176,0)</f>
      </c>
      <c r="AB106" s="5">
        <v>17</v>
      </c>
      <c r="AC106" s="2" t="s">
        <v>114</v>
      </c>
      <c r="AD106" s="4">
        <v>150</v>
      </c>
      <c r="AE106" s="4">
        <v>450</v>
      </c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206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80</v>
      </c>
      <c r="BK106" s="8">
        <v>2523.33</v>
      </c>
      <c r="BL106" s="2" t="s">
        <v>994</v>
      </c>
      <c r="BM106" s="7"/>
      <c r="BN106" s="7"/>
      <c r="BO106" s="4"/>
      <c r="BP106" s="8"/>
      <c r="BQ106" s="4"/>
      <c r="BR106" s="8"/>
      <c r="BS106" s="7"/>
      <c r="BT106" s="7"/>
      <c r="BU106" s="2" t="s">
        <v>995</v>
      </c>
      <c r="BV106" s="2" t="s">
        <v>206</v>
      </c>
      <c r="BW106" s="2" t="s">
        <v>206</v>
      </c>
      <c r="BX106" s="2" t="s">
        <v>214</v>
      </c>
      <c r="BY106" s="2" t="s">
        <v>215</v>
      </c>
      <c r="BZ106" s="2" t="s">
        <v>203</v>
      </c>
      <c r="CA106" s="2" t="s">
        <v>996</v>
      </c>
      <c r="CB106" s="2" t="s">
        <v>997</v>
      </c>
      <c r="CC106" s="2" t="s">
        <v>218</v>
      </c>
      <c r="CD106" s="2" t="s">
        <v>206</v>
      </c>
      <c r="CE106" s="4">
        <v>57</v>
      </c>
      <c r="CF106" s="4">
        <v>157</v>
      </c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>
        <v>150</v>
      </c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>
        <v>300</v>
      </c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</row>
    <row r="107">
      <c r="A107" s="2" t="s">
        <v>998</v>
      </c>
      <c r="B107" s="2" t="s">
        <v>429</v>
      </c>
      <c r="C107" s="2" t="s">
        <v>287</v>
      </c>
      <c r="D107" s="2" t="s">
        <v>909</v>
      </c>
      <c r="E107" s="2" t="s">
        <v>910</v>
      </c>
      <c r="F107" s="2" t="s">
        <v>999</v>
      </c>
      <c r="G107" s="2" t="s">
        <v>999</v>
      </c>
      <c r="H107" s="2" t="s">
        <v>999</v>
      </c>
      <c r="I107" s="2" t="s">
        <v>1000</v>
      </c>
      <c r="J107" s="2" t="s">
        <v>434</v>
      </c>
      <c r="K107" s="2" t="s">
        <v>1001</v>
      </c>
      <c r="L107" s="3">
        <v>6.66</v>
      </c>
      <c r="M107" s="3">
        <v>6.99</v>
      </c>
      <c r="N107" s="3">
        <v>19.99</v>
      </c>
      <c r="O107" s="2" t="s">
        <v>203</v>
      </c>
      <c r="P107" s="2" t="s">
        <v>467</v>
      </c>
      <c r="Q107" s="2" t="s">
        <v>205</v>
      </c>
      <c r="R107" s="2" t="s">
        <v>206</v>
      </c>
      <c r="S107" s="2" t="s">
        <v>206</v>
      </c>
      <c r="T107" s="2" t="s">
        <v>206</v>
      </c>
      <c r="U107" s="2" t="s">
        <v>437</v>
      </c>
      <c r="V107" s="2" t="s">
        <v>1002</v>
      </c>
      <c r="W107" s="2" t="s">
        <v>210</v>
      </c>
      <c r="X107" s="2" t="s">
        <v>786</v>
      </c>
      <c r="Y107" s="2" t="s">
        <v>1003</v>
      </c>
      <c r="Z107" s="4"/>
      <c r="AA107" s="4">
        <f>=ROUNDDOWN({0},0)</f>
      </c>
      <c r="AB107" s="5">
        <v>8</v>
      </c>
      <c r="AC107" s="2" t="s">
        <v>441</v>
      </c>
      <c r="AD107" s="4">
        <v>100</v>
      </c>
      <c r="AE107" s="4">
        <v>100</v>
      </c>
      <c r="AF107" s="6">
        <v>63</v>
      </c>
      <c r="AG107" s="6">
        <v>46</v>
      </c>
      <c r="AH107" s="7">
        <v>0.6452</v>
      </c>
      <c r="AI107" s="4"/>
      <c r="AJ107" s="4">
        <f>=ROUNDDOWN({0},0)</f>
      </c>
      <c r="AK107" s="5"/>
      <c r="AL107" s="2" t="s">
        <v>206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206</v>
      </c>
      <c r="BD107" s="8" t="s">
        <v>206</v>
      </c>
      <c r="BE107" s="4" t="s">
        <v>206</v>
      </c>
      <c r="BF107" s="8" t="s">
        <v>206</v>
      </c>
      <c r="BG107" s="7" t="s">
        <v>206</v>
      </c>
      <c r="BH107" s="7" t="s">
        <v>206</v>
      </c>
      <c r="BI107" s="7"/>
      <c r="BJ107" s="4">
        <v>92</v>
      </c>
      <c r="BK107" s="8">
        <v>821.48</v>
      </c>
      <c r="BL107" s="2" t="s">
        <v>1004</v>
      </c>
      <c r="BM107" s="7"/>
      <c r="BN107" s="7"/>
      <c r="BO107" s="4"/>
      <c r="BP107" s="8"/>
      <c r="BQ107" s="4"/>
      <c r="BR107" s="8"/>
      <c r="BS107" s="7"/>
      <c r="BT107" s="7"/>
      <c r="BU107" s="2" t="s">
        <v>1005</v>
      </c>
      <c r="BV107" s="2" t="s">
        <v>206</v>
      </c>
      <c r="BW107" s="2" t="s">
        <v>206</v>
      </c>
      <c r="BX107" s="2" t="s">
        <v>214</v>
      </c>
      <c r="BY107" s="2" t="s">
        <v>215</v>
      </c>
      <c r="BZ107" s="2" t="s">
        <v>203</v>
      </c>
      <c r="CA107" s="2" t="s">
        <v>1006</v>
      </c>
      <c r="CB107" s="2" t="s">
        <v>1007</v>
      </c>
      <c r="CC107" s="2" t="s">
        <v>218</v>
      </c>
      <c r="CD107" s="2" t="s">
        <v>206</v>
      </c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>
        <v>100</v>
      </c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</row>
    <row r="108">
      <c r="A108" s="2" t="s">
        <v>1008</v>
      </c>
      <c r="B108" s="2" t="s">
        <v>429</v>
      </c>
      <c r="C108" s="2" t="s">
        <v>287</v>
      </c>
      <c r="D108" s="2" t="s">
        <v>909</v>
      </c>
      <c r="E108" s="2" t="s">
        <v>910</v>
      </c>
      <c r="F108" s="2" t="s">
        <v>999</v>
      </c>
      <c r="G108" s="2" t="s">
        <v>999</v>
      </c>
      <c r="H108" s="2" t="s">
        <v>999</v>
      </c>
      <c r="I108" s="2" t="s">
        <v>1009</v>
      </c>
      <c r="J108" s="2" t="s">
        <v>434</v>
      </c>
      <c r="K108" s="2" t="s">
        <v>1010</v>
      </c>
      <c r="L108" s="3">
        <v>6.66</v>
      </c>
      <c r="M108" s="3">
        <v>6.99</v>
      </c>
      <c r="N108" s="3">
        <v>19.99</v>
      </c>
      <c r="O108" s="2" t="s">
        <v>203</v>
      </c>
      <c r="P108" s="2" t="s">
        <v>467</v>
      </c>
      <c r="Q108" s="2" t="s">
        <v>205</v>
      </c>
      <c r="R108" s="2" t="s">
        <v>206</v>
      </c>
      <c r="S108" s="2" t="s">
        <v>206</v>
      </c>
      <c r="T108" s="2" t="s">
        <v>206</v>
      </c>
      <c r="U108" s="2" t="s">
        <v>437</v>
      </c>
      <c r="V108" s="2" t="s">
        <v>1002</v>
      </c>
      <c r="W108" s="2" t="s">
        <v>210</v>
      </c>
      <c r="X108" s="2" t="s">
        <v>786</v>
      </c>
      <c r="Y108" s="2" t="s">
        <v>1011</v>
      </c>
      <c r="Z108" s="4">
        <v>312</v>
      </c>
      <c r="AA108" s="4">
        <f>=ROUNDDOWN(62.4,0)</f>
      </c>
      <c r="AB108" s="5">
        <v>5</v>
      </c>
      <c r="AC108" s="2" t="s">
        <v>206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206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206</v>
      </c>
      <c r="BD108" s="8" t="s">
        <v>206</v>
      </c>
      <c r="BE108" s="4" t="s">
        <v>206</v>
      </c>
      <c r="BF108" s="8" t="s">
        <v>206</v>
      </c>
      <c r="BG108" s="7" t="s">
        <v>206</v>
      </c>
      <c r="BH108" s="7" t="s">
        <v>206</v>
      </c>
      <c r="BI108" s="7"/>
      <c r="BJ108" s="4">
        <v>13</v>
      </c>
      <c r="BK108" s="8">
        <v>108.74</v>
      </c>
      <c r="BL108" s="2" t="s">
        <v>1012</v>
      </c>
      <c r="BM108" s="7"/>
      <c r="BN108" s="7"/>
      <c r="BO108" s="4"/>
      <c r="BP108" s="8"/>
      <c r="BQ108" s="4"/>
      <c r="BR108" s="8"/>
      <c r="BS108" s="7"/>
      <c r="BT108" s="7"/>
      <c r="BU108" s="2" t="s">
        <v>1013</v>
      </c>
      <c r="BV108" s="2" t="s">
        <v>206</v>
      </c>
      <c r="BW108" s="2" t="s">
        <v>206</v>
      </c>
      <c r="BX108" s="2" t="s">
        <v>214</v>
      </c>
      <c r="BY108" s="2" t="s">
        <v>215</v>
      </c>
      <c r="BZ108" s="2" t="s">
        <v>203</v>
      </c>
      <c r="CA108" s="2" t="s">
        <v>1006</v>
      </c>
      <c r="CB108" s="2" t="s">
        <v>206</v>
      </c>
      <c r="CC108" s="2" t="s">
        <v>218</v>
      </c>
      <c r="CD108" s="2" t="s">
        <v>206</v>
      </c>
      <c r="CE108" s="4"/>
      <c r="CF108" s="4">
        <v>312</v>
      </c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</row>
    <row r="109">
      <c r="A109" s="2" t="s">
        <v>1014</v>
      </c>
      <c r="B109" s="2" t="s">
        <v>613</v>
      </c>
      <c r="C109" s="2" t="s">
        <v>287</v>
      </c>
      <c r="D109" s="2" t="s">
        <v>628</v>
      </c>
      <c r="E109" s="2" t="s">
        <v>629</v>
      </c>
      <c r="F109" s="2" t="s">
        <v>1015</v>
      </c>
      <c r="G109" s="2" t="s">
        <v>1016</v>
      </c>
      <c r="H109" s="2" t="s">
        <v>1017</v>
      </c>
      <c r="I109" s="2" t="s">
        <v>1018</v>
      </c>
      <c r="J109" s="2" t="s">
        <v>631</v>
      </c>
      <c r="K109" s="2" t="s">
        <v>656</v>
      </c>
      <c r="L109" s="3">
        <v>15.5</v>
      </c>
      <c r="M109" s="3">
        <v>16.28</v>
      </c>
      <c r="N109" s="3">
        <v>34.99</v>
      </c>
      <c r="O109" s="2" t="s">
        <v>203</v>
      </c>
      <c r="P109" s="2" t="s">
        <v>204</v>
      </c>
      <c r="Q109" s="2" t="s">
        <v>205</v>
      </c>
      <c r="R109" s="2" t="s">
        <v>206</v>
      </c>
      <c r="S109" s="2" t="s">
        <v>1019</v>
      </c>
      <c r="T109" s="2" t="s">
        <v>206</v>
      </c>
      <c r="U109" s="2" t="s">
        <v>437</v>
      </c>
      <c r="V109" s="2" t="s">
        <v>209</v>
      </c>
      <c r="W109" s="2" t="s">
        <v>210</v>
      </c>
      <c r="X109" s="2" t="s">
        <v>633</v>
      </c>
      <c r="Y109" s="2" t="s">
        <v>1020</v>
      </c>
      <c r="Z109" s="4"/>
      <c r="AA109" s="4">
        <f>=ROUNDDOWN({0},0)</f>
      </c>
      <c r="AB109" s="5">
        <v>7</v>
      </c>
      <c r="AC109" s="2" t="s">
        <v>127</v>
      </c>
      <c r="AD109" s="4">
        <v>252</v>
      </c>
      <c r="AE109" s="4">
        <v>252</v>
      </c>
      <c r="AF109" s="6">
        <v>65</v>
      </c>
      <c r="AG109" s="6"/>
      <c r="AH109" s="7">
        <v>0.7097</v>
      </c>
      <c r="AI109" s="4"/>
      <c r="AJ109" s="4">
        <f>=ROUNDDOWN({0},0)</f>
      </c>
      <c r="AK109" s="5"/>
      <c r="AL109" s="2" t="s">
        <v>206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206</v>
      </c>
      <c r="AW109" s="8" t="s">
        <v>206</v>
      </c>
      <c r="AX109" s="4" t="s">
        <v>206</v>
      </c>
      <c r="AY109" s="8" t="s">
        <v>206</v>
      </c>
      <c r="AZ109" s="7" t="s">
        <v>206</v>
      </c>
      <c r="BA109" s="7" t="s">
        <v>206</v>
      </c>
      <c r="BB109" s="7" t="s">
        <v>206</v>
      </c>
      <c r="BC109" s="4" t="s">
        <v>206</v>
      </c>
      <c r="BD109" s="8" t="s">
        <v>206</v>
      </c>
      <c r="BE109" s="4" t="s">
        <v>206</v>
      </c>
      <c r="BF109" s="8" t="s">
        <v>206</v>
      </c>
      <c r="BG109" s="7" t="s">
        <v>206</v>
      </c>
      <c r="BH109" s="7" t="s">
        <v>206</v>
      </c>
      <c r="BI109" s="7"/>
      <c r="BJ109" s="4">
        <v>48</v>
      </c>
      <c r="BK109" s="8">
        <v>896.88</v>
      </c>
      <c r="BL109" s="2" t="s">
        <v>1021</v>
      </c>
      <c r="BM109" s="7"/>
      <c r="BN109" s="7"/>
      <c r="BO109" s="4"/>
      <c r="BP109" s="8"/>
      <c r="BQ109" s="4"/>
      <c r="BR109" s="8"/>
      <c r="BS109" s="7"/>
      <c r="BT109" s="7"/>
      <c r="BU109" s="2" t="s">
        <v>1022</v>
      </c>
      <c r="BV109" s="2" t="s">
        <v>206</v>
      </c>
      <c r="BW109" s="2" t="s">
        <v>206</v>
      </c>
      <c r="BX109" s="2" t="s">
        <v>214</v>
      </c>
      <c r="BY109" s="2" t="s">
        <v>215</v>
      </c>
      <c r="BZ109" s="2" t="s">
        <v>203</v>
      </c>
      <c r="CA109" s="2" t="s">
        <v>1023</v>
      </c>
      <c r="CB109" s="2" t="s">
        <v>1024</v>
      </c>
      <c r="CC109" s="2" t="s">
        <v>218</v>
      </c>
      <c r="CD109" s="2" t="s">
        <v>206</v>
      </c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>
        <v>252</v>
      </c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</row>
    <row r="110">
      <c r="A110" s="2" t="s">
        <v>1025</v>
      </c>
      <c r="B110" s="2" t="s">
        <v>613</v>
      </c>
      <c r="C110" s="2" t="s">
        <v>287</v>
      </c>
      <c r="D110" s="2" t="s">
        <v>628</v>
      </c>
      <c r="E110" s="2" t="s">
        <v>629</v>
      </c>
      <c r="F110" s="2" t="s">
        <v>1015</v>
      </c>
      <c r="G110" s="2" t="s">
        <v>1016</v>
      </c>
      <c r="H110" s="2" t="s">
        <v>1017</v>
      </c>
      <c r="I110" s="2" t="s">
        <v>1026</v>
      </c>
      <c r="J110" s="2" t="s">
        <v>631</v>
      </c>
      <c r="K110" s="2" t="s">
        <v>656</v>
      </c>
      <c r="L110" s="3">
        <v>15.5</v>
      </c>
      <c r="M110" s="3">
        <v>16.28</v>
      </c>
      <c r="N110" s="3">
        <v>34.99</v>
      </c>
      <c r="O110" s="2" t="s">
        <v>203</v>
      </c>
      <c r="P110" s="2" t="s">
        <v>204</v>
      </c>
      <c r="Q110" s="2" t="s">
        <v>205</v>
      </c>
      <c r="R110" s="2" t="s">
        <v>206</v>
      </c>
      <c r="S110" s="2" t="s">
        <v>1019</v>
      </c>
      <c r="T110" s="2" t="s">
        <v>206</v>
      </c>
      <c r="U110" s="2" t="s">
        <v>437</v>
      </c>
      <c r="V110" s="2" t="s">
        <v>209</v>
      </c>
      <c r="W110" s="2" t="s">
        <v>210</v>
      </c>
      <c r="X110" s="2" t="s">
        <v>633</v>
      </c>
      <c r="Y110" s="2" t="s">
        <v>1020</v>
      </c>
      <c r="Z110" s="4">
        <v>897</v>
      </c>
      <c r="AA110" s="4">
        <f>=ROUNDDOWN(47.2105263157895,0)</f>
      </c>
      <c r="AB110" s="5">
        <v>19</v>
      </c>
      <c r="AC110" s="2" t="s">
        <v>206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206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206</v>
      </c>
      <c r="AW110" s="8" t="s">
        <v>206</v>
      </c>
      <c r="AX110" s="4" t="s">
        <v>206</v>
      </c>
      <c r="AY110" s="8" t="s">
        <v>206</v>
      </c>
      <c r="AZ110" s="7" t="s">
        <v>206</v>
      </c>
      <c r="BA110" s="7" t="s">
        <v>206</v>
      </c>
      <c r="BB110" s="7" t="s">
        <v>206</v>
      </c>
      <c r="BC110" s="4" t="s">
        <v>206</v>
      </c>
      <c r="BD110" s="8" t="s">
        <v>206</v>
      </c>
      <c r="BE110" s="4" t="s">
        <v>206</v>
      </c>
      <c r="BF110" s="8" t="s">
        <v>206</v>
      </c>
      <c r="BG110" s="7" t="s">
        <v>206</v>
      </c>
      <c r="BH110" s="7" t="s">
        <v>206</v>
      </c>
      <c r="BI110" s="7"/>
      <c r="BJ110" s="4">
        <v>211</v>
      </c>
      <c r="BK110" s="8">
        <v>3628.99</v>
      </c>
      <c r="BL110" s="2" t="s">
        <v>1027</v>
      </c>
      <c r="BM110" s="7"/>
      <c r="BN110" s="7"/>
      <c r="BO110" s="4"/>
      <c r="BP110" s="8"/>
      <c r="BQ110" s="4"/>
      <c r="BR110" s="8"/>
      <c r="BS110" s="7"/>
      <c r="BT110" s="7"/>
      <c r="BU110" s="2" t="s">
        <v>1028</v>
      </c>
      <c r="BV110" s="2" t="s">
        <v>206</v>
      </c>
      <c r="BW110" s="2" t="s">
        <v>206</v>
      </c>
      <c r="BX110" s="2" t="s">
        <v>214</v>
      </c>
      <c r="BY110" s="2" t="s">
        <v>215</v>
      </c>
      <c r="BZ110" s="2" t="s">
        <v>203</v>
      </c>
      <c r="CA110" s="2" t="s">
        <v>1023</v>
      </c>
      <c r="CB110" s="2" t="s">
        <v>1029</v>
      </c>
      <c r="CC110" s="2" t="s">
        <v>218</v>
      </c>
      <c r="CD110" s="2" t="s">
        <v>206</v>
      </c>
      <c r="CE110" s="4">
        <v>897</v>
      </c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</row>
    <row r="111">
      <c r="A111" s="2" t="s">
        <v>1030</v>
      </c>
      <c r="B111" s="2" t="s">
        <v>461</v>
      </c>
      <c r="C111" s="2" t="s">
        <v>1031</v>
      </c>
      <c r="D111" s="2" t="s">
        <v>1032</v>
      </c>
      <c r="E111" s="2" t="s">
        <v>1033</v>
      </c>
      <c r="F111" s="2" t="s">
        <v>1034</v>
      </c>
      <c r="G111" s="2" t="s">
        <v>1034</v>
      </c>
      <c r="H111" s="2" t="s">
        <v>1034</v>
      </c>
      <c r="I111" s="2" t="s">
        <v>1035</v>
      </c>
      <c r="J111" s="2" t="s">
        <v>434</v>
      </c>
      <c r="K111" s="2" t="s">
        <v>1036</v>
      </c>
      <c r="L111" s="3">
        <v>217.8</v>
      </c>
      <c r="M111" s="3">
        <v>228.69</v>
      </c>
      <c r="N111" s="3">
        <v>459</v>
      </c>
      <c r="O111" s="2" t="s">
        <v>203</v>
      </c>
      <c r="P111" s="2" t="s">
        <v>1037</v>
      </c>
      <c r="Q111" s="2" t="s">
        <v>205</v>
      </c>
      <c r="R111" s="2" t="s">
        <v>206</v>
      </c>
      <c r="S111" s="2" t="s">
        <v>206</v>
      </c>
      <c r="T111" s="2" t="s">
        <v>206</v>
      </c>
      <c r="U111" s="2" t="s">
        <v>437</v>
      </c>
      <c r="V111" s="2" t="s">
        <v>209</v>
      </c>
      <c r="W111" s="2" t="s">
        <v>453</v>
      </c>
      <c r="X111" s="2" t="s">
        <v>877</v>
      </c>
      <c r="Y111" s="2" t="s">
        <v>1038</v>
      </c>
      <c r="Z111" s="4"/>
      <c r="AA111" s="4">
        <f>=ROUNDDOWN({0},0)</f>
      </c>
      <c r="AB111" s="5">
        <v>26</v>
      </c>
      <c r="AC111" s="2" t="s">
        <v>5</v>
      </c>
      <c r="AD111" s="4">
        <v>100</v>
      </c>
      <c r="AE111" s="4">
        <v>690</v>
      </c>
      <c r="AF111" s="6">
        <v>74</v>
      </c>
      <c r="AG111" s="6"/>
      <c r="AH111" s="7">
        <v>0</v>
      </c>
      <c r="AI111" s="4"/>
      <c r="AJ111" s="4">
        <f>=ROUNDDOWN({0},0)</f>
      </c>
      <c r="AK111" s="5"/>
      <c r="AL111" s="2" t="s">
        <v>206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2</v>
      </c>
      <c r="BK111" s="8">
        <v>457.38</v>
      </c>
      <c r="BL111" s="2" t="s">
        <v>1039</v>
      </c>
      <c r="BM111" s="7"/>
      <c r="BN111" s="7"/>
      <c r="BO111" s="4"/>
      <c r="BP111" s="8"/>
      <c r="BQ111" s="4"/>
      <c r="BR111" s="8"/>
      <c r="BS111" s="7"/>
      <c r="BT111" s="7"/>
      <c r="BU111" s="2" t="s">
        <v>1040</v>
      </c>
      <c r="BV111" s="2" t="s">
        <v>206</v>
      </c>
      <c r="BW111" s="2" t="s">
        <v>206</v>
      </c>
      <c r="BX111" s="2" t="s">
        <v>426</v>
      </c>
      <c r="BY111" s="2" t="s">
        <v>215</v>
      </c>
      <c r="BZ111" s="2" t="s">
        <v>203</v>
      </c>
      <c r="CA111" s="2" t="s">
        <v>1041</v>
      </c>
      <c r="CB111" s="2" t="s">
        <v>1042</v>
      </c>
      <c r="CC111" s="2" t="s">
        <v>218</v>
      </c>
      <c r="CD111" s="2" t="s">
        <v>206</v>
      </c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>
        <v>100</v>
      </c>
      <c r="CW111" s="4"/>
      <c r="CX111" s="4"/>
      <c r="CY111" s="4"/>
      <c r="CZ111" s="4"/>
      <c r="DA111" s="4"/>
      <c r="DB111" s="4"/>
      <c r="DC111" s="4"/>
      <c r="DD111" s="4"/>
      <c r="DE111" s="4">
        <v>50</v>
      </c>
      <c r="DF111" s="4"/>
      <c r="DG111" s="4"/>
      <c r="DH111" s="4"/>
      <c r="DI111" s="4"/>
      <c r="DJ111" s="4"/>
      <c r="DK111" s="4">
        <v>240</v>
      </c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>
        <v>300</v>
      </c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</row>
    <row r="112">
      <c r="A112" s="2" t="s">
        <v>1043</v>
      </c>
      <c r="B112" s="2" t="s">
        <v>613</v>
      </c>
      <c r="C112" s="2" t="s">
        <v>1044</v>
      </c>
      <c r="D112" s="2" t="s">
        <v>628</v>
      </c>
      <c r="E112" s="2" t="s">
        <v>629</v>
      </c>
      <c r="F112" s="2" t="s">
        <v>1045</v>
      </c>
      <c r="G112" s="2" t="s">
        <v>1046</v>
      </c>
      <c r="H112" s="2" t="s">
        <v>1047</v>
      </c>
      <c r="I112" s="2" t="s">
        <v>1048</v>
      </c>
      <c r="J112" s="2" t="s">
        <v>631</v>
      </c>
      <c r="K112" s="2" t="s">
        <v>1049</v>
      </c>
      <c r="L112" s="3">
        <v>16.8</v>
      </c>
      <c r="M112" s="3">
        <v>17.64</v>
      </c>
      <c r="N112" s="3">
        <v>39.99</v>
      </c>
      <c r="O112" s="2" t="s">
        <v>203</v>
      </c>
      <c r="P112" s="2" t="s">
        <v>204</v>
      </c>
      <c r="Q112" s="2" t="s">
        <v>205</v>
      </c>
      <c r="R112" s="2" t="s">
        <v>206</v>
      </c>
      <c r="S112" s="2" t="s">
        <v>1050</v>
      </c>
      <c r="T112" s="2" t="s">
        <v>206</v>
      </c>
      <c r="U112" s="2" t="s">
        <v>206</v>
      </c>
      <c r="V112" s="2" t="s">
        <v>809</v>
      </c>
      <c r="W112" s="2" t="s">
        <v>439</v>
      </c>
      <c r="X112" s="2" t="s">
        <v>1051</v>
      </c>
      <c r="Y112" s="2" t="s">
        <v>493</v>
      </c>
      <c r="Z112" s="4">
        <v>849</v>
      </c>
      <c r="AA112" s="4">
        <f>=ROUNDDOWN(44.6842105263158,0)</f>
      </c>
      <c r="AB112" s="5">
        <v>19</v>
      </c>
      <c r="AC112" s="2" t="s">
        <v>206</v>
      </c>
      <c r="AD112" s="4"/>
      <c r="AE112" s="4"/>
      <c r="AF112" s="6">
        <v>68</v>
      </c>
      <c r="AG112" s="6"/>
      <c r="AH112" s="7">
        <v>1</v>
      </c>
      <c r="AI112" s="4"/>
      <c r="AJ112" s="4">
        <f>=ROUNDDOWN({0},0)</f>
      </c>
      <c r="AK112" s="5"/>
      <c r="AL112" s="2" t="s">
        <v>206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206</v>
      </c>
      <c r="AW112" s="8" t="s">
        <v>206</v>
      </c>
      <c r="AX112" s="4" t="s">
        <v>206</v>
      </c>
      <c r="AY112" s="8" t="s">
        <v>206</v>
      </c>
      <c r="AZ112" s="7" t="s">
        <v>206</v>
      </c>
      <c r="BA112" s="7" t="s">
        <v>206</v>
      </c>
      <c r="BB112" s="7"/>
      <c r="BC112" s="4" t="s">
        <v>206</v>
      </c>
      <c r="BD112" s="8" t="s">
        <v>206</v>
      </c>
      <c r="BE112" s="4" t="s">
        <v>206</v>
      </c>
      <c r="BF112" s="8" t="s">
        <v>206</v>
      </c>
      <c r="BG112" s="7" t="s">
        <v>206</v>
      </c>
      <c r="BH112" s="7" t="s">
        <v>206</v>
      </c>
      <c r="BI112" s="7"/>
      <c r="BJ112" s="4">
        <v>58</v>
      </c>
      <c r="BK112" s="8">
        <v>986.89</v>
      </c>
      <c r="BL112" s="2" t="s">
        <v>1052</v>
      </c>
      <c r="BM112" s="7"/>
      <c r="BN112" s="7"/>
      <c r="BO112" s="4"/>
      <c r="BP112" s="8"/>
      <c r="BQ112" s="4"/>
      <c r="BR112" s="8"/>
      <c r="BS112" s="7"/>
      <c r="BT112" s="7"/>
      <c r="BU112" s="2" t="s">
        <v>1053</v>
      </c>
      <c r="BV112" s="2" t="s">
        <v>206</v>
      </c>
      <c r="BW112" s="2" t="s">
        <v>206</v>
      </c>
      <c r="BX112" s="2" t="s">
        <v>426</v>
      </c>
      <c r="BY112" s="2" t="s">
        <v>215</v>
      </c>
      <c r="BZ112" s="2" t="s">
        <v>203</v>
      </c>
      <c r="CA112" s="2" t="s">
        <v>1054</v>
      </c>
      <c r="CB112" s="2" t="s">
        <v>1055</v>
      </c>
      <c r="CC112" s="2" t="s">
        <v>218</v>
      </c>
      <c r="CD112" s="2" t="s">
        <v>206</v>
      </c>
      <c r="CE112" s="4">
        <v>849</v>
      </c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</row>
    <row r="113">
      <c r="A113" s="2" t="s">
        <v>1056</v>
      </c>
      <c r="B113" s="2" t="s">
        <v>613</v>
      </c>
      <c r="C113" s="2" t="s">
        <v>1044</v>
      </c>
      <c r="D113" s="2" t="s">
        <v>628</v>
      </c>
      <c r="E113" s="2" t="s">
        <v>629</v>
      </c>
      <c r="F113" s="2" t="s">
        <v>1045</v>
      </c>
      <c r="G113" s="2" t="s">
        <v>1046</v>
      </c>
      <c r="H113" s="2" t="s">
        <v>1047</v>
      </c>
      <c r="I113" s="2" t="s">
        <v>1048</v>
      </c>
      <c r="J113" s="2" t="s">
        <v>853</v>
      </c>
      <c r="K113" s="2" t="s">
        <v>1049</v>
      </c>
      <c r="L113" s="3">
        <v>21</v>
      </c>
      <c r="M113" s="3">
        <v>22.05</v>
      </c>
      <c r="N113" s="3">
        <v>49.99</v>
      </c>
      <c r="O113" s="2" t="s">
        <v>203</v>
      </c>
      <c r="P113" s="2" t="s">
        <v>204</v>
      </c>
      <c r="Q113" s="2" t="s">
        <v>205</v>
      </c>
      <c r="R113" s="2" t="s">
        <v>206</v>
      </c>
      <c r="S113" s="2" t="s">
        <v>1050</v>
      </c>
      <c r="T113" s="2" t="s">
        <v>206</v>
      </c>
      <c r="U113" s="2" t="s">
        <v>206</v>
      </c>
      <c r="V113" s="2" t="s">
        <v>809</v>
      </c>
      <c r="W113" s="2" t="s">
        <v>439</v>
      </c>
      <c r="X113" s="2" t="s">
        <v>1051</v>
      </c>
      <c r="Y113" s="2" t="s">
        <v>493</v>
      </c>
      <c r="Z113" s="4">
        <v>414</v>
      </c>
      <c r="AA113" s="4">
        <f>=ROUNDDOWN(59.1428571428571,0)</f>
      </c>
      <c r="AB113" s="5">
        <v>7</v>
      </c>
      <c r="AC113" s="2" t="s">
        <v>206</v>
      </c>
      <c r="AD113" s="4"/>
      <c r="AE113" s="4"/>
      <c r="AF113" s="6">
        <v>68</v>
      </c>
      <c r="AG113" s="6"/>
      <c r="AH113" s="7">
        <v>1</v>
      </c>
      <c r="AI113" s="4"/>
      <c r="AJ113" s="4">
        <f>=ROUNDDOWN({0},0)</f>
      </c>
      <c r="AK113" s="5"/>
      <c r="AL113" s="2" t="s">
        <v>206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206</v>
      </c>
      <c r="AW113" s="8" t="s">
        <v>206</v>
      </c>
      <c r="AX113" s="4" t="s">
        <v>206</v>
      </c>
      <c r="AY113" s="8" t="s">
        <v>206</v>
      </c>
      <c r="AZ113" s="7" t="s">
        <v>206</v>
      </c>
      <c r="BA113" s="7" t="s">
        <v>206</v>
      </c>
      <c r="BB113" s="7"/>
      <c r="BC113" s="4" t="s">
        <v>206</v>
      </c>
      <c r="BD113" s="8" t="s">
        <v>206</v>
      </c>
      <c r="BE113" s="4" t="s">
        <v>206</v>
      </c>
      <c r="BF113" s="8" t="s">
        <v>206</v>
      </c>
      <c r="BG113" s="7" t="s">
        <v>206</v>
      </c>
      <c r="BH113" s="7" t="s">
        <v>206</v>
      </c>
      <c r="BI113" s="7"/>
      <c r="BJ113" s="4">
        <v>7</v>
      </c>
      <c r="BK113" s="8">
        <v>140.53</v>
      </c>
      <c r="BL113" s="2" t="s">
        <v>1052</v>
      </c>
      <c r="BM113" s="7"/>
      <c r="BN113" s="7"/>
      <c r="BO113" s="4"/>
      <c r="BP113" s="8"/>
      <c r="BQ113" s="4"/>
      <c r="BR113" s="8"/>
      <c r="BS113" s="7"/>
      <c r="BT113" s="7"/>
      <c r="BU113" s="2" t="s">
        <v>1057</v>
      </c>
      <c r="BV113" s="2" t="s">
        <v>206</v>
      </c>
      <c r="BW113" s="2" t="s">
        <v>206</v>
      </c>
      <c r="BX113" s="2" t="s">
        <v>426</v>
      </c>
      <c r="BY113" s="2" t="s">
        <v>215</v>
      </c>
      <c r="BZ113" s="2" t="s">
        <v>203</v>
      </c>
      <c r="CA113" s="2" t="s">
        <v>1054</v>
      </c>
      <c r="CB113" s="2" t="s">
        <v>1058</v>
      </c>
      <c r="CC113" s="2" t="s">
        <v>218</v>
      </c>
      <c r="CD113" s="2" t="s">
        <v>206</v>
      </c>
      <c r="CE113" s="4">
        <v>414</v>
      </c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</row>
    <row r="114">
      <c r="A114" s="2" t="s">
        <v>1059</v>
      </c>
      <c r="B114" s="2" t="s">
        <v>613</v>
      </c>
      <c r="C114" s="2" t="s">
        <v>1044</v>
      </c>
      <c r="D114" s="2" t="s">
        <v>628</v>
      </c>
      <c r="E114" s="2" t="s">
        <v>629</v>
      </c>
      <c r="F114" s="2" t="s">
        <v>1045</v>
      </c>
      <c r="G114" s="2" t="s">
        <v>1046</v>
      </c>
      <c r="H114" s="2" t="s">
        <v>1047</v>
      </c>
      <c r="I114" s="2" t="s">
        <v>1048</v>
      </c>
      <c r="J114" s="2" t="s">
        <v>631</v>
      </c>
      <c r="K114" s="2" t="s">
        <v>1060</v>
      </c>
      <c r="L114" s="3">
        <v>16.8</v>
      </c>
      <c r="M114" s="3">
        <v>17.64</v>
      </c>
      <c r="N114" s="3">
        <v>39.99</v>
      </c>
      <c r="O114" s="2" t="s">
        <v>203</v>
      </c>
      <c r="P114" s="2" t="s">
        <v>204</v>
      </c>
      <c r="Q114" s="2" t="s">
        <v>205</v>
      </c>
      <c r="R114" s="2" t="s">
        <v>206</v>
      </c>
      <c r="S114" s="2" t="s">
        <v>1061</v>
      </c>
      <c r="T114" s="2" t="s">
        <v>206</v>
      </c>
      <c r="U114" s="2" t="s">
        <v>437</v>
      </c>
      <c r="V114" s="2" t="s">
        <v>809</v>
      </c>
      <c r="W114" s="2" t="s">
        <v>439</v>
      </c>
      <c r="X114" s="2" t="s">
        <v>1051</v>
      </c>
      <c r="Y114" s="2" t="s">
        <v>1062</v>
      </c>
      <c r="Z114" s="4">
        <v>813</v>
      </c>
      <c r="AA114" s="4">
        <f>=ROUNDDOWN(58.0714285714286,0)</f>
      </c>
      <c r="AB114" s="5">
        <v>14</v>
      </c>
      <c r="AC114" s="2" t="s">
        <v>206</v>
      </c>
      <c r="AD114" s="4"/>
      <c r="AE114" s="4"/>
      <c r="AF114" s="6">
        <v>68</v>
      </c>
      <c r="AG114" s="6"/>
      <c r="AH114" s="7">
        <v>1</v>
      </c>
      <c r="AI114" s="4"/>
      <c r="AJ114" s="4">
        <f>=ROUNDDOWN({0},0)</f>
      </c>
      <c r="AK114" s="5"/>
      <c r="AL114" s="2" t="s">
        <v>206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206</v>
      </c>
      <c r="AW114" s="8" t="s">
        <v>206</v>
      </c>
      <c r="AX114" s="4" t="s">
        <v>206</v>
      </c>
      <c r="AY114" s="8" t="s">
        <v>206</v>
      </c>
      <c r="AZ114" s="7" t="s">
        <v>206</v>
      </c>
      <c r="BA114" s="7" t="s">
        <v>206</v>
      </c>
      <c r="BB114" s="7"/>
      <c r="BC114" s="4" t="s">
        <v>206</v>
      </c>
      <c r="BD114" s="8" t="s">
        <v>206</v>
      </c>
      <c r="BE114" s="4" t="s">
        <v>206</v>
      </c>
      <c r="BF114" s="8" t="s">
        <v>206</v>
      </c>
      <c r="BG114" s="7" t="s">
        <v>206</v>
      </c>
      <c r="BH114" s="7" t="s">
        <v>206</v>
      </c>
      <c r="BI114" s="7"/>
      <c r="BJ114" s="4">
        <v>71</v>
      </c>
      <c r="BK114" s="8">
        <v>1261.88</v>
      </c>
      <c r="BL114" s="2" t="s">
        <v>1063</v>
      </c>
      <c r="BM114" s="7"/>
      <c r="BN114" s="7"/>
      <c r="BO114" s="4"/>
      <c r="BP114" s="8"/>
      <c r="BQ114" s="4"/>
      <c r="BR114" s="8"/>
      <c r="BS114" s="7"/>
      <c r="BT114" s="7"/>
      <c r="BU114" s="2" t="s">
        <v>1064</v>
      </c>
      <c r="BV114" s="2" t="s">
        <v>206</v>
      </c>
      <c r="BW114" s="2" t="s">
        <v>206</v>
      </c>
      <c r="BX114" s="2" t="s">
        <v>426</v>
      </c>
      <c r="BY114" s="2" t="s">
        <v>215</v>
      </c>
      <c r="BZ114" s="2" t="s">
        <v>203</v>
      </c>
      <c r="CA114" s="2" t="s">
        <v>1065</v>
      </c>
      <c r="CB114" s="2" t="s">
        <v>1066</v>
      </c>
      <c r="CC114" s="2" t="s">
        <v>218</v>
      </c>
      <c r="CD114" s="2" t="s">
        <v>206</v>
      </c>
      <c r="CE114" s="4">
        <v>813</v>
      </c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</row>
    <row r="115">
      <c r="A115" s="2" t="s">
        <v>1067</v>
      </c>
      <c r="B115" s="2" t="s">
        <v>613</v>
      </c>
      <c r="C115" s="2" t="s">
        <v>1044</v>
      </c>
      <c r="D115" s="2" t="s">
        <v>628</v>
      </c>
      <c r="E115" s="2" t="s">
        <v>629</v>
      </c>
      <c r="F115" s="2" t="s">
        <v>1045</v>
      </c>
      <c r="G115" s="2" t="s">
        <v>1046</v>
      </c>
      <c r="H115" s="2" t="s">
        <v>1047</v>
      </c>
      <c r="I115" s="2" t="s">
        <v>1048</v>
      </c>
      <c r="J115" s="2" t="s">
        <v>731</v>
      </c>
      <c r="K115" s="2" t="s">
        <v>1060</v>
      </c>
      <c r="L115" s="3">
        <v>18.9</v>
      </c>
      <c r="M115" s="3">
        <v>19.84</v>
      </c>
      <c r="N115" s="3">
        <v>44.99</v>
      </c>
      <c r="O115" s="2" t="s">
        <v>203</v>
      </c>
      <c r="P115" s="2" t="s">
        <v>204</v>
      </c>
      <c r="Q115" s="2" t="s">
        <v>205</v>
      </c>
      <c r="R115" s="2" t="s">
        <v>206</v>
      </c>
      <c r="S115" s="2" t="s">
        <v>1061</v>
      </c>
      <c r="T115" s="2" t="s">
        <v>206</v>
      </c>
      <c r="U115" s="2" t="s">
        <v>437</v>
      </c>
      <c r="V115" s="2" t="s">
        <v>809</v>
      </c>
      <c r="W115" s="2" t="s">
        <v>439</v>
      </c>
      <c r="X115" s="2" t="s">
        <v>1051</v>
      </c>
      <c r="Y115" s="2" t="s">
        <v>1062</v>
      </c>
      <c r="Z115" s="4">
        <v>428</v>
      </c>
      <c r="AA115" s="4">
        <f>=ROUNDDOWN(35.6666666666667,0)</f>
      </c>
      <c r="AB115" s="5">
        <v>12</v>
      </c>
      <c r="AC115" s="2" t="s">
        <v>206</v>
      </c>
      <c r="AD115" s="4"/>
      <c r="AE115" s="4"/>
      <c r="AF115" s="6">
        <v>68</v>
      </c>
      <c r="AG115" s="6"/>
      <c r="AH115" s="7">
        <v>1</v>
      </c>
      <c r="AI115" s="4"/>
      <c r="AJ115" s="4">
        <f>=ROUNDDOWN({0},0)</f>
      </c>
      <c r="AK115" s="5"/>
      <c r="AL115" s="2" t="s">
        <v>206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206</v>
      </c>
      <c r="AW115" s="8" t="s">
        <v>206</v>
      </c>
      <c r="AX115" s="4" t="s">
        <v>206</v>
      </c>
      <c r="AY115" s="8" t="s">
        <v>206</v>
      </c>
      <c r="AZ115" s="7" t="s">
        <v>206</v>
      </c>
      <c r="BA115" s="7" t="s">
        <v>206</v>
      </c>
      <c r="BB115" s="7"/>
      <c r="BC115" s="4" t="s">
        <v>206</v>
      </c>
      <c r="BD115" s="8" t="s">
        <v>206</v>
      </c>
      <c r="BE115" s="4" t="s">
        <v>206</v>
      </c>
      <c r="BF115" s="8" t="s">
        <v>206</v>
      </c>
      <c r="BG115" s="7" t="s">
        <v>206</v>
      </c>
      <c r="BH115" s="7" t="s">
        <v>206</v>
      </c>
      <c r="BI115" s="7"/>
      <c r="BJ115" s="4">
        <v>53</v>
      </c>
      <c r="BK115" s="8">
        <v>1137.19</v>
      </c>
      <c r="BL115" s="2" t="s">
        <v>1068</v>
      </c>
      <c r="BM115" s="7"/>
      <c r="BN115" s="7"/>
      <c r="BO115" s="4"/>
      <c r="BP115" s="8"/>
      <c r="BQ115" s="4"/>
      <c r="BR115" s="8"/>
      <c r="BS115" s="7"/>
      <c r="BT115" s="7"/>
      <c r="BU115" s="2" t="s">
        <v>1069</v>
      </c>
      <c r="BV115" s="2" t="s">
        <v>206</v>
      </c>
      <c r="BW115" s="2" t="s">
        <v>206</v>
      </c>
      <c r="BX115" s="2" t="s">
        <v>426</v>
      </c>
      <c r="BY115" s="2" t="s">
        <v>215</v>
      </c>
      <c r="BZ115" s="2" t="s">
        <v>203</v>
      </c>
      <c r="CA115" s="2" t="s">
        <v>1065</v>
      </c>
      <c r="CB115" s="2" t="s">
        <v>1070</v>
      </c>
      <c r="CC115" s="2" t="s">
        <v>218</v>
      </c>
      <c r="CD115" s="2" t="s">
        <v>206</v>
      </c>
      <c r="CE115" s="4">
        <v>428</v>
      </c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</row>
    <row r="116">
      <c r="A116" s="2" t="s">
        <v>1071</v>
      </c>
      <c r="B116" s="2" t="s">
        <v>461</v>
      </c>
      <c r="C116" s="2" t="s">
        <v>287</v>
      </c>
      <c r="D116" s="2" t="s">
        <v>1072</v>
      </c>
      <c r="E116" s="2" t="s">
        <v>1073</v>
      </c>
      <c r="F116" s="2" t="s">
        <v>1074</v>
      </c>
      <c r="G116" s="2" t="s">
        <v>1075</v>
      </c>
      <c r="H116" s="2" t="s">
        <v>1076</v>
      </c>
      <c r="I116" s="2" t="s">
        <v>1077</v>
      </c>
      <c r="J116" s="2" t="s">
        <v>434</v>
      </c>
      <c r="K116" s="2" t="s">
        <v>262</v>
      </c>
      <c r="L116" s="3">
        <v>125.4</v>
      </c>
      <c r="M116" s="3">
        <v>131.67</v>
      </c>
      <c r="N116" s="3">
        <v>259</v>
      </c>
      <c r="O116" s="2" t="s">
        <v>203</v>
      </c>
      <c r="P116" s="2" t="s">
        <v>467</v>
      </c>
      <c r="Q116" s="2" t="s">
        <v>205</v>
      </c>
      <c r="R116" s="2" t="s">
        <v>206</v>
      </c>
      <c r="S116" s="2" t="s">
        <v>1078</v>
      </c>
      <c r="T116" s="2" t="s">
        <v>206</v>
      </c>
      <c r="U116" s="2" t="s">
        <v>206</v>
      </c>
      <c r="V116" s="2" t="s">
        <v>209</v>
      </c>
      <c r="W116" s="2" t="s">
        <v>439</v>
      </c>
      <c r="X116" s="2" t="s">
        <v>206</v>
      </c>
      <c r="Y116" s="2" t="s">
        <v>211</v>
      </c>
      <c r="Z116" s="4">
        <v>113</v>
      </c>
      <c r="AA116" s="4">
        <f>=ROUNDDOWN(18.8333333333333,0)</f>
      </c>
      <c r="AB116" s="5">
        <v>6</v>
      </c>
      <c r="AC116" s="2" t="s">
        <v>119</v>
      </c>
      <c r="AD116" s="4">
        <v>130</v>
      </c>
      <c r="AE116" s="4">
        <v>195</v>
      </c>
      <c r="AF116" s="6">
        <v>68</v>
      </c>
      <c r="AG116" s="6"/>
      <c r="AH116" s="7">
        <v>1</v>
      </c>
      <c r="AI116" s="4"/>
      <c r="AJ116" s="4">
        <f>=ROUNDDOWN({0},0)</f>
      </c>
      <c r="AK116" s="5"/>
      <c r="AL116" s="2" t="s">
        <v>206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206</v>
      </c>
      <c r="BD116" s="8" t="s">
        <v>206</v>
      </c>
      <c r="BE116" s="4" t="s">
        <v>206</v>
      </c>
      <c r="BF116" s="8" t="s">
        <v>206</v>
      </c>
      <c r="BG116" s="7" t="s">
        <v>206</v>
      </c>
      <c r="BH116" s="7" t="s">
        <v>206</v>
      </c>
      <c r="BI116" s="7"/>
      <c r="BJ116" s="4">
        <v>22</v>
      </c>
      <c r="BK116" s="8">
        <v>3281.51</v>
      </c>
      <c r="BL116" s="2" t="s">
        <v>1079</v>
      </c>
      <c r="BM116" s="7"/>
      <c r="BN116" s="7"/>
      <c r="BO116" s="4"/>
      <c r="BP116" s="8"/>
      <c r="BQ116" s="4"/>
      <c r="BR116" s="8"/>
      <c r="BS116" s="7"/>
      <c r="BT116" s="7"/>
      <c r="BU116" s="2" t="s">
        <v>1080</v>
      </c>
      <c r="BV116" s="2" t="s">
        <v>206</v>
      </c>
      <c r="BW116" s="2" t="s">
        <v>206</v>
      </c>
      <c r="BX116" s="2" t="s">
        <v>214</v>
      </c>
      <c r="BY116" s="2" t="s">
        <v>215</v>
      </c>
      <c r="BZ116" s="2" t="s">
        <v>203</v>
      </c>
      <c r="CA116" s="2" t="s">
        <v>1081</v>
      </c>
      <c r="CB116" s="2" t="s">
        <v>1082</v>
      </c>
      <c r="CC116" s="2" t="s">
        <v>218</v>
      </c>
      <c r="CD116" s="2" t="s">
        <v>206</v>
      </c>
      <c r="CE116" s="4"/>
      <c r="CF116" s="4">
        <v>113</v>
      </c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>
        <v>130</v>
      </c>
      <c r="DH116" s="4">
        <v>65</v>
      </c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</row>
    <row r="117">
      <c r="A117" s="2" t="s">
        <v>1083</v>
      </c>
      <c r="B117" s="2" t="s">
        <v>461</v>
      </c>
      <c r="C117" s="2" t="s">
        <v>287</v>
      </c>
      <c r="D117" s="2" t="s">
        <v>1072</v>
      </c>
      <c r="E117" s="2" t="s">
        <v>1073</v>
      </c>
      <c r="F117" s="2" t="s">
        <v>1074</v>
      </c>
      <c r="G117" s="2" t="s">
        <v>1075</v>
      </c>
      <c r="H117" s="2" t="s">
        <v>1076</v>
      </c>
      <c r="I117" s="2" t="s">
        <v>1077</v>
      </c>
      <c r="J117" s="2" t="s">
        <v>434</v>
      </c>
      <c r="K117" s="2" t="s">
        <v>656</v>
      </c>
      <c r="L117" s="3">
        <v>125.4</v>
      </c>
      <c r="M117" s="3">
        <v>131.67</v>
      </c>
      <c r="N117" s="3">
        <v>259</v>
      </c>
      <c r="O117" s="2" t="s">
        <v>203</v>
      </c>
      <c r="P117" s="2" t="s">
        <v>204</v>
      </c>
      <c r="Q117" s="2" t="s">
        <v>205</v>
      </c>
      <c r="R117" s="2" t="s">
        <v>206</v>
      </c>
      <c r="S117" s="2" t="s">
        <v>1084</v>
      </c>
      <c r="T117" s="2" t="s">
        <v>206</v>
      </c>
      <c r="U117" s="2" t="s">
        <v>206</v>
      </c>
      <c r="V117" s="2" t="s">
        <v>209</v>
      </c>
      <c r="W117" s="2" t="s">
        <v>439</v>
      </c>
      <c r="X117" s="2" t="s">
        <v>206</v>
      </c>
      <c r="Y117" s="2" t="s">
        <v>211</v>
      </c>
      <c r="Z117" s="4">
        <v>234</v>
      </c>
      <c r="AA117" s="4">
        <f>=ROUNDDOWN(23.4,0)</f>
      </c>
      <c r="AB117" s="5">
        <v>10</v>
      </c>
      <c r="AC117" s="2" t="s">
        <v>1085</v>
      </c>
      <c r="AD117" s="4">
        <v>90</v>
      </c>
      <c r="AE117" s="4">
        <v>90</v>
      </c>
      <c r="AF117" s="6">
        <v>68</v>
      </c>
      <c r="AG117" s="6">
        <v>51</v>
      </c>
      <c r="AH117" s="7">
        <v>1</v>
      </c>
      <c r="AI117" s="4"/>
      <c r="AJ117" s="4">
        <f>=ROUNDDOWN({0},0)</f>
      </c>
      <c r="AK117" s="5"/>
      <c r="AL117" s="2" t="s">
        <v>206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206</v>
      </c>
      <c r="BD117" s="8" t="s">
        <v>206</v>
      </c>
      <c r="BE117" s="4" t="s">
        <v>206</v>
      </c>
      <c r="BF117" s="8" t="s">
        <v>206</v>
      </c>
      <c r="BG117" s="7" t="s">
        <v>206</v>
      </c>
      <c r="BH117" s="7" t="s">
        <v>206</v>
      </c>
      <c r="BI117" s="7"/>
      <c r="BJ117" s="4">
        <v>47</v>
      </c>
      <c r="BK117" s="8">
        <v>5553.75</v>
      </c>
      <c r="BL117" s="2" t="s">
        <v>1086</v>
      </c>
      <c r="BM117" s="7"/>
      <c r="BN117" s="7"/>
      <c r="BO117" s="4"/>
      <c r="BP117" s="8"/>
      <c r="BQ117" s="4"/>
      <c r="BR117" s="8"/>
      <c r="BS117" s="7"/>
      <c r="BT117" s="7"/>
      <c r="BU117" s="2" t="s">
        <v>1087</v>
      </c>
      <c r="BV117" s="2" t="s">
        <v>206</v>
      </c>
      <c r="BW117" s="2" t="s">
        <v>206</v>
      </c>
      <c r="BX117" s="2" t="s">
        <v>214</v>
      </c>
      <c r="BY117" s="2" t="s">
        <v>215</v>
      </c>
      <c r="BZ117" s="2" t="s">
        <v>203</v>
      </c>
      <c r="CA117" s="2" t="s">
        <v>1088</v>
      </c>
      <c r="CB117" s="2" t="s">
        <v>1089</v>
      </c>
      <c r="CC117" s="2" t="s">
        <v>218</v>
      </c>
      <c r="CD117" s="2" t="s">
        <v>206</v>
      </c>
      <c r="CE117" s="4"/>
      <c r="CF117" s="4">
        <v>234</v>
      </c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>
        <v>90</v>
      </c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</row>
    <row r="118">
      <c r="A118" s="2" t="s">
        <v>1090</v>
      </c>
      <c r="B118" s="2" t="s">
        <v>475</v>
      </c>
      <c r="C118" s="2" t="s">
        <v>828</v>
      </c>
      <c r="D118" s="2" t="s">
        <v>476</v>
      </c>
      <c r="E118" s="2" t="s">
        <v>477</v>
      </c>
      <c r="F118" s="2" t="s">
        <v>1091</v>
      </c>
      <c r="G118" s="2" t="s">
        <v>1091</v>
      </c>
      <c r="H118" s="2" t="s">
        <v>1091</v>
      </c>
      <c r="I118" s="2" t="s">
        <v>1092</v>
      </c>
      <c r="J118" s="2" t="s">
        <v>1093</v>
      </c>
      <c r="K118" s="2" t="s">
        <v>1094</v>
      </c>
      <c r="L118" s="3">
        <v>26.4</v>
      </c>
      <c r="M118" s="3">
        <v>27.72</v>
      </c>
      <c r="N118" s="3">
        <v>54.99</v>
      </c>
      <c r="O118" s="2" t="s">
        <v>203</v>
      </c>
      <c r="P118" s="2" t="s">
        <v>773</v>
      </c>
      <c r="Q118" s="2" t="s">
        <v>205</v>
      </c>
      <c r="R118" s="2" t="s">
        <v>206</v>
      </c>
      <c r="S118" s="2" t="s">
        <v>1095</v>
      </c>
      <c r="T118" s="2" t="s">
        <v>234</v>
      </c>
      <c r="U118" s="2" t="s">
        <v>1096</v>
      </c>
      <c r="V118" s="2" t="s">
        <v>209</v>
      </c>
      <c r="W118" s="2" t="s">
        <v>210</v>
      </c>
      <c r="X118" s="2" t="s">
        <v>206</v>
      </c>
      <c r="Y118" s="2" t="s">
        <v>1097</v>
      </c>
      <c r="Z118" s="4">
        <v>1087</v>
      </c>
      <c r="AA118" s="4">
        <f>=ROUNDDOWN(54.35,0)</f>
      </c>
      <c r="AB118" s="5">
        <v>20</v>
      </c>
      <c r="AC118" s="2" t="s">
        <v>1098</v>
      </c>
      <c r="AD118" s="4">
        <v>100</v>
      </c>
      <c r="AE118" s="4">
        <v>640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206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206</v>
      </c>
      <c r="BD118" s="8" t="s">
        <v>206</v>
      </c>
      <c r="BE118" s="4" t="s">
        <v>206</v>
      </c>
      <c r="BF118" s="8" t="s">
        <v>206</v>
      </c>
      <c r="BG118" s="7" t="s">
        <v>206</v>
      </c>
      <c r="BH118" s="7" t="s">
        <v>206</v>
      </c>
      <c r="BI118" s="7"/>
      <c r="BJ118" s="4">
        <v>62</v>
      </c>
      <c r="BK118" s="8">
        <v>1792.69</v>
      </c>
      <c r="BL118" s="2" t="s">
        <v>1099</v>
      </c>
      <c r="BM118" s="7"/>
      <c r="BN118" s="7"/>
      <c r="BO118" s="4"/>
      <c r="BP118" s="8"/>
      <c r="BQ118" s="4"/>
      <c r="BR118" s="8"/>
      <c r="BS118" s="7"/>
      <c r="BT118" s="7"/>
      <c r="BU118" s="2" t="s">
        <v>1100</v>
      </c>
      <c r="BV118" s="2" t="s">
        <v>206</v>
      </c>
      <c r="BW118" s="2" t="s">
        <v>206</v>
      </c>
      <c r="BX118" s="2" t="s">
        <v>214</v>
      </c>
      <c r="BY118" s="2" t="s">
        <v>215</v>
      </c>
      <c r="BZ118" s="2" t="s">
        <v>203</v>
      </c>
      <c r="CA118" s="2" t="s">
        <v>892</v>
      </c>
      <c r="CB118" s="2" t="s">
        <v>1101</v>
      </c>
      <c r="CC118" s="2" t="s">
        <v>218</v>
      </c>
      <c r="CD118" s="2" t="s">
        <v>206</v>
      </c>
      <c r="CE118" s="4">
        <v>1087</v>
      </c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>
        <v>100</v>
      </c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>
        <v>540</v>
      </c>
      <c r="GB118" s="4"/>
      <c r="GC118" s="4"/>
      <c r="GD118" s="4"/>
      <c r="GE118" s="4"/>
      <c r="GF118" s="4"/>
    </row>
    <row r="119">
      <c r="A119" s="2" t="s">
        <v>1102</v>
      </c>
      <c r="B119" s="2" t="s">
        <v>475</v>
      </c>
      <c r="C119" s="2" t="s">
        <v>828</v>
      </c>
      <c r="D119" s="2" t="s">
        <v>476</v>
      </c>
      <c r="E119" s="2" t="s">
        <v>477</v>
      </c>
      <c r="F119" s="2" t="s">
        <v>1091</v>
      </c>
      <c r="G119" s="2" t="s">
        <v>1091</v>
      </c>
      <c r="H119" s="2" t="s">
        <v>1091</v>
      </c>
      <c r="I119" s="2" t="s">
        <v>1092</v>
      </c>
      <c r="J119" s="2" t="s">
        <v>1093</v>
      </c>
      <c r="K119" s="2" t="s">
        <v>336</v>
      </c>
      <c r="L119" s="3">
        <v>26.4</v>
      </c>
      <c r="M119" s="3">
        <v>27.72</v>
      </c>
      <c r="N119" s="3">
        <v>54.99</v>
      </c>
      <c r="O119" s="2" t="s">
        <v>203</v>
      </c>
      <c r="P119" s="2" t="s">
        <v>492</v>
      </c>
      <c r="Q119" s="2" t="s">
        <v>205</v>
      </c>
      <c r="R119" s="2" t="s">
        <v>206</v>
      </c>
      <c r="S119" s="2" t="s">
        <v>1103</v>
      </c>
      <c r="T119" s="2" t="s">
        <v>234</v>
      </c>
      <c r="U119" s="2" t="s">
        <v>1096</v>
      </c>
      <c r="V119" s="2" t="s">
        <v>209</v>
      </c>
      <c r="W119" s="2" t="s">
        <v>210</v>
      </c>
      <c r="X119" s="2" t="s">
        <v>206</v>
      </c>
      <c r="Y119" s="2" t="s">
        <v>1104</v>
      </c>
      <c r="Z119" s="4">
        <v>1532</v>
      </c>
      <c r="AA119" s="4">
        <f>=ROUNDDOWN(34.8181818181818,0)</f>
      </c>
      <c r="AB119" s="5">
        <v>44</v>
      </c>
      <c r="AC119" s="2" t="s">
        <v>114</v>
      </c>
      <c r="AD119" s="4">
        <v>156</v>
      </c>
      <c r="AE119" s="4">
        <v>1856</v>
      </c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206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206</v>
      </c>
      <c r="BD119" s="8" t="s">
        <v>206</v>
      </c>
      <c r="BE119" s="4" t="s">
        <v>206</v>
      </c>
      <c r="BF119" s="8" t="s">
        <v>206</v>
      </c>
      <c r="BG119" s="7" t="s">
        <v>206</v>
      </c>
      <c r="BH119" s="7" t="s">
        <v>206</v>
      </c>
      <c r="BI119" s="7"/>
      <c r="BJ119" s="4">
        <v>142</v>
      </c>
      <c r="BK119" s="8">
        <v>4196.16</v>
      </c>
      <c r="BL119" s="2" t="s">
        <v>1105</v>
      </c>
      <c r="BM119" s="7"/>
      <c r="BN119" s="7"/>
      <c r="BO119" s="4"/>
      <c r="BP119" s="8"/>
      <c r="BQ119" s="4"/>
      <c r="BR119" s="8"/>
      <c r="BS119" s="7"/>
      <c r="BT119" s="7"/>
      <c r="BU119" s="2" t="s">
        <v>1106</v>
      </c>
      <c r="BV119" s="2" t="s">
        <v>206</v>
      </c>
      <c r="BW119" s="2" t="s">
        <v>206</v>
      </c>
      <c r="BX119" s="2" t="s">
        <v>214</v>
      </c>
      <c r="BY119" s="2" t="s">
        <v>215</v>
      </c>
      <c r="BZ119" s="2" t="s">
        <v>203</v>
      </c>
      <c r="CA119" s="2" t="s">
        <v>1107</v>
      </c>
      <c r="CB119" s="2" t="s">
        <v>1108</v>
      </c>
      <c r="CC119" s="2" t="s">
        <v>218</v>
      </c>
      <c r="CD119" s="2" t="s">
        <v>206</v>
      </c>
      <c r="CE119" s="4">
        <v>1532</v>
      </c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>
        <v>156</v>
      </c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>
        <v>600</v>
      </c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>
        <v>1100</v>
      </c>
      <c r="GB119" s="4"/>
      <c r="GC119" s="4"/>
      <c r="GD119" s="4"/>
      <c r="GE119" s="4"/>
      <c r="GF119" s="4"/>
    </row>
    <row r="120">
      <c r="A120" s="2" t="s">
        <v>1109</v>
      </c>
      <c r="B120" s="2" t="s">
        <v>475</v>
      </c>
      <c r="C120" s="2" t="s">
        <v>828</v>
      </c>
      <c r="D120" s="2" t="s">
        <v>476</v>
      </c>
      <c r="E120" s="2" t="s">
        <v>477</v>
      </c>
      <c r="F120" s="2" t="s">
        <v>1091</v>
      </c>
      <c r="G120" s="2" t="s">
        <v>1091</v>
      </c>
      <c r="H120" s="2" t="s">
        <v>1091</v>
      </c>
      <c r="I120" s="2" t="s">
        <v>1092</v>
      </c>
      <c r="J120" s="2" t="s">
        <v>1093</v>
      </c>
      <c r="K120" s="2" t="s">
        <v>1110</v>
      </c>
      <c r="L120" s="3">
        <v>26.4</v>
      </c>
      <c r="M120" s="3">
        <v>27.72</v>
      </c>
      <c r="N120" s="3">
        <v>54.99</v>
      </c>
      <c r="O120" s="2" t="s">
        <v>203</v>
      </c>
      <c r="P120" s="2" t="s">
        <v>492</v>
      </c>
      <c r="Q120" s="2" t="s">
        <v>205</v>
      </c>
      <c r="R120" s="2" t="s">
        <v>206</v>
      </c>
      <c r="S120" s="2" t="s">
        <v>1111</v>
      </c>
      <c r="T120" s="2" t="s">
        <v>234</v>
      </c>
      <c r="U120" s="2" t="s">
        <v>1096</v>
      </c>
      <c r="V120" s="2" t="s">
        <v>209</v>
      </c>
      <c r="W120" s="2" t="s">
        <v>210</v>
      </c>
      <c r="X120" s="2" t="s">
        <v>206</v>
      </c>
      <c r="Y120" s="2" t="s">
        <v>1104</v>
      </c>
      <c r="Z120" s="4">
        <v>2098</v>
      </c>
      <c r="AA120" s="4">
        <f>=ROUNDDOWN(58.2777777777778,0)</f>
      </c>
      <c r="AB120" s="5">
        <v>36</v>
      </c>
      <c r="AC120" s="2" t="s">
        <v>114</v>
      </c>
      <c r="AD120" s="4">
        <v>5</v>
      </c>
      <c r="AE120" s="4">
        <v>865</v>
      </c>
      <c r="AF120" s="6">
        <v>69</v>
      </c>
      <c r="AG120" s="6"/>
      <c r="AH120" s="7">
        <v>1</v>
      </c>
      <c r="AI120" s="4"/>
      <c r="AJ120" s="4">
        <f>=ROUNDDOWN({0},0)</f>
      </c>
      <c r="AK120" s="5"/>
      <c r="AL120" s="2" t="s">
        <v>206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206</v>
      </c>
      <c r="BD120" s="8" t="s">
        <v>206</v>
      </c>
      <c r="BE120" s="4" t="s">
        <v>206</v>
      </c>
      <c r="BF120" s="8" t="s">
        <v>206</v>
      </c>
      <c r="BG120" s="7" t="s">
        <v>206</v>
      </c>
      <c r="BH120" s="7" t="s">
        <v>206</v>
      </c>
      <c r="BI120" s="7"/>
      <c r="BJ120" s="4">
        <v>121</v>
      </c>
      <c r="BK120" s="8">
        <v>3558.06</v>
      </c>
      <c r="BL120" s="2" t="s">
        <v>1112</v>
      </c>
      <c r="BM120" s="7"/>
      <c r="BN120" s="7"/>
      <c r="BO120" s="4"/>
      <c r="BP120" s="8"/>
      <c r="BQ120" s="4"/>
      <c r="BR120" s="8"/>
      <c r="BS120" s="7"/>
      <c r="BT120" s="7"/>
      <c r="BU120" s="2" t="s">
        <v>1113</v>
      </c>
      <c r="BV120" s="2" t="s">
        <v>206</v>
      </c>
      <c r="BW120" s="2" t="s">
        <v>206</v>
      </c>
      <c r="BX120" s="2" t="s">
        <v>214</v>
      </c>
      <c r="BY120" s="2" t="s">
        <v>215</v>
      </c>
      <c r="BZ120" s="2" t="s">
        <v>203</v>
      </c>
      <c r="CA120" s="2" t="s">
        <v>1107</v>
      </c>
      <c r="CB120" s="2" t="s">
        <v>1114</v>
      </c>
      <c r="CC120" s="2" t="s">
        <v>218</v>
      </c>
      <c r="CD120" s="2" t="s">
        <v>206</v>
      </c>
      <c r="CE120" s="4">
        <v>2098</v>
      </c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>
        <v>5</v>
      </c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>
        <v>860</v>
      </c>
      <c r="GB120" s="4"/>
      <c r="GC120" s="4"/>
      <c r="GD120" s="4"/>
      <c r="GE120" s="4"/>
      <c r="GF120" s="4"/>
    </row>
    <row r="121">
      <c r="A121" s="2" t="s">
        <v>1115</v>
      </c>
      <c r="B121" s="2" t="s">
        <v>475</v>
      </c>
      <c r="C121" s="2" t="s">
        <v>828</v>
      </c>
      <c r="D121" s="2" t="s">
        <v>476</v>
      </c>
      <c r="E121" s="2" t="s">
        <v>477</v>
      </c>
      <c r="F121" s="2" t="s">
        <v>1091</v>
      </c>
      <c r="G121" s="2" t="s">
        <v>1091</v>
      </c>
      <c r="H121" s="2" t="s">
        <v>1091</v>
      </c>
      <c r="I121" s="2" t="s">
        <v>1092</v>
      </c>
      <c r="J121" s="2" t="s">
        <v>1093</v>
      </c>
      <c r="K121" s="2" t="s">
        <v>202</v>
      </c>
      <c r="L121" s="3">
        <v>26.4</v>
      </c>
      <c r="M121" s="3">
        <v>27.72</v>
      </c>
      <c r="N121" s="3">
        <v>54.99</v>
      </c>
      <c r="O121" s="2" t="s">
        <v>203</v>
      </c>
      <c r="P121" s="2" t="s">
        <v>492</v>
      </c>
      <c r="Q121" s="2" t="s">
        <v>205</v>
      </c>
      <c r="R121" s="2" t="s">
        <v>206</v>
      </c>
      <c r="S121" s="2" t="s">
        <v>1116</v>
      </c>
      <c r="T121" s="2" t="s">
        <v>234</v>
      </c>
      <c r="U121" s="2" t="s">
        <v>1096</v>
      </c>
      <c r="V121" s="2" t="s">
        <v>209</v>
      </c>
      <c r="W121" s="2" t="s">
        <v>210</v>
      </c>
      <c r="X121" s="2" t="s">
        <v>206</v>
      </c>
      <c r="Y121" s="2" t="s">
        <v>1104</v>
      </c>
      <c r="Z121" s="4">
        <v>1454</v>
      </c>
      <c r="AA121" s="4">
        <f>=ROUNDDOWN(37.2820512820513,0)</f>
      </c>
      <c r="AB121" s="5">
        <v>39</v>
      </c>
      <c r="AC121" s="2" t="s">
        <v>114</v>
      </c>
      <c r="AD121" s="4">
        <v>271</v>
      </c>
      <c r="AE121" s="4">
        <v>1291</v>
      </c>
      <c r="AF121" s="6">
        <v>69</v>
      </c>
      <c r="AG121" s="6"/>
      <c r="AH121" s="7">
        <v>1</v>
      </c>
      <c r="AI121" s="4"/>
      <c r="AJ121" s="4">
        <f>=ROUNDDOWN({0},0)</f>
      </c>
      <c r="AK121" s="5"/>
      <c r="AL121" s="2" t="s">
        <v>206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206</v>
      </c>
      <c r="BD121" s="8" t="s">
        <v>206</v>
      </c>
      <c r="BE121" s="4" t="s">
        <v>206</v>
      </c>
      <c r="BF121" s="8" t="s">
        <v>206</v>
      </c>
      <c r="BG121" s="7" t="s">
        <v>206</v>
      </c>
      <c r="BH121" s="7" t="s">
        <v>206</v>
      </c>
      <c r="BI121" s="7"/>
      <c r="BJ121" s="4">
        <v>128</v>
      </c>
      <c r="BK121" s="8">
        <v>3731.46</v>
      </c>
      <c r="BL121" s="2" t="s">
        <v>1117</v>
      </c>
      <c r="BM121" s="7"/>
      <c r="BN121" s="7"/>
      <c r="BO121" s="4"/>
      <c r="BP121" s="8"/>
      <c r="BQ121" s="4"/>
      <c r="BR121" s="8"/>
      <c r="BS121" s="7"/>
      <c r="BT121" s="7"/>
      <c r="BU121" s="2" t="s">
        <v>1118</v>
      </c>
      <c r="BV121" s="2" t="s">
        <v>206</v>
      </c>
      <c r="BW121" s="2" t="s">
        <v>206</v>
      </c>
      <c r="BX121" s="2" t="s">
        <v>214</v>
      </c>
      <c r="BY121" s="2" t="s">
        <v>215</v>
      </c>
      <c r="BZ121" s="2" t="s">
        <v>203</v>
      </c>
      <c r="CA121" s="2" t="s">
        <v>1107</v>
      </c>
      <c r="CB121" s="2" t="s">
        <v>1119</v>
      </c>
      <c r="CC121" s="2" t="s">
        <v>218</v>
      </c>
      <c r="CD121" s="2" t="s">
        <v>206</v>
      </c>
      <c r="CE121" s="4">
        <v>1454</v>
      </c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>
        <v>271</v>
      </c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>
        <v>100</v>
      </c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>
        <v>920</v>
      </c>
      <c r="GB121" s="4"/>
      <c r="GC121" s="4"/>
      <c r="GD121" s="4"/>
      <c r="GE121" s="4"/>
      <c r="GF121" s="4"/>
    </row>
    <row r="122">
      <c r="A122" s="2" t="s">
        <v>1120</v>
      </c>
      <c r="B122" s="2" t="s">
        <v>528</v>
      </c>
      <c r="C122" s="2" t="s">
        <v>941</v>
      </c>
      <c r="D122" s="2" t="s">
        <v>1121</v>
      </c>
      <c r="E122" s="2" t="s">
        <v>1122</v>
      </c>
      <c r="F122" s="2" t="s">
        <v>1123</v>
      </c>
      <c r="G122" s="2" t="s">
        <v>1123</v>
      </c>
      <c r="H122" s="2" t="s">
        <v>1123</v>
      </c>
      <c r="I122" s="2" t="s">
        <v>1124</v>
      </c>
      <c r="J122" s="2" t="s">
        <v>1125</v>
      </c>
      <c r="K122" s="2" t="s">
        <v>1126</v>
      </c>
      <c r="L122" s="3">
        <v>24.76</v>
      </c>
      <c r="M122" s="3">
        <v>26</v>
      </c>
      <c r="N122" s="3">
        <v>79.99</v>
      </c>
      <c r="O122" s="2" t="s">
        <v>203</v>
      </c>
      <c r="P122" s="2" t="s">
        <v>467</v>
      </c>
      <c r="Q122" s="2" t="s">
        <v>205</v>
      </c>
      <c r="R122" s="2" t="s">
        <v>206</v>
      </c>
      <c r="S122" s="2" t="s">
        <v>206</v>
      </c>
      <c r="T122" s="2" t="s">
        <v>206</v>
      </c>
      <c r="U122" s="2" t="s">
        <v>437</v>
      </c>
      <c r="V122" s="2" t="s">
        <v>1127</v>
      </c>
      <c r="W122" s="2" t="s">
        <v>453</v>
      </c>
      <c r="X122" s="2" t="s">
        <v>206</v>
      </c>
      <c r="Y122" s="2" t="s">
        <v>1128</v>
      </c>
      <c r="Z122" s="4">
        <v>158</v>
      </c>
      <c r="AA122" s="4">
        <f>=ROUNDDOWN(112.857142857143,0)</f>
      </c>
      <c r="AB122" s="5">
        <v>1.4</v>
      </c>
      <c r="AC122" s="2" t="s">
        <v>206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206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>
        <v>1</v>
      </c>
      <c r="BK122" s="8">
        <v>28.47</v>
      </c>
      <c r="BL122" s="2" t="s">
        <v>1129</v>
      </c>
      <c r="BM122" s="7"/>
      <c r="BN122" s="7"/>
      <c r="BO122" s="4"/>
      <c r="BP122" s="8"/>
      <c r="BQ122" s="4"/>
      <c r="BR122" s="8"/>
      <c r="BS122" s="7"/>
      <c r="BT122" s="7"/>
      <c r="BU122" s="2" t="s">
        <v>1130</v>
      </c>
      <c r="BV122" s="2" t="s">
        <v>206</v>
      </c>
      <c r="BW122" s="2" t="s">
        <v>206</v>
      </c>
      <c r="BX122" s="2" t="s">
        <v>214</v>
      </c>
      <c r="BY122" s="2" t="s">
        <v>215</v>
      </c>
      <c r="BZ122" s="2" t="s">
        <v>203</v>
      </c>
      <c r="CA122" s="2" t="s">
        <v>1131</v>
      </c>
      <c r="CB122" s="2" t="s">
        <v>1132</v>
      </c>
      <c r="CC122" s="2" t="s">
        <v>218</v>
      </c>
      <c r="CD122" s="2" t="s">
        <v>206</v>
      </c>
      <c r="CE122" s="4">
        <v>158</v>
      </c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</row>
    <row r="123">
      <c r="A123" s="2" t="s">
        <v>1133</v>
      </c>
      <c r="B123" s="2" t="s">
        <v>800</v>
      </c>
      <c r="C123" s="2" t="s">
        <v>287</v>
      </c>
      <c r="D123" s="2" t="s">
        <v>529</v>
      </c>
      <c r="E123" s="2" t="s">
        <v>1134</v>
      </c>
      <c r="F123" s="2" t="s">
        <v>1135</v>
      </c>
      <c r="G123" s="2" t="s">
        <v>1136</v>
      </c>
      <c r="H123" s="2" t="s">
        <v>1136</v>
      </c>
      <c r="I123" s="2" t="s">
        <v>1137</v>
      </c>
      <c r="J123" s="2" t="s">
        <v>582</v>
      </c>
      <c r="K123" s="2" t="s">
        <v>353</v>
      </c>
      <c r="L123" s="3">
        <v>61.9</v>
      </c>
      <c r="M123" s="3">
        <v>65</v>
      </c>
      <c r="N123" s="3">
        <v>129.99</v>
      </c>
      <c r="O123" s="2" t="s">
        <v>203</v>
      </c>
      <c r="P123" s="2" t="s">
        <v>204</v>
      </c>
      <c r="Q123" s="2" t="s">
        <v>205</v>
      </c>
      <c r="R123" s="2" t="s">
        <v>206</v>
      </c>
      <c r="S123" s="2" t="s">
        <v>1138</v>
      </c>
      <c r="T123" s="2" t="s">
        <v>808</v>
      </c>
      <c r="U123" s="2" t="s">
        <v>556</v>
      </c>
      <c r="V123" s="2" t="s">
        <v>209</v>
      </c>
      <c r="W123" s="2" t="s">
        <v>914</v>
      </c>
      <c r="X123" s="2" t="s">
        <v>210</v>
      </c>
      <c r="Y123" s="2" t="s">
        <v>1139</v>
      </c>
      <c r="Z123" s="4">
        <v>260</v>
      </c>
      <c r="AA123" s="4">
        <f>=ROUNDDOWN(32.5,0)</f>
      </c>
      <c r="AB123" s="5">
        <v>8</v>
      </c>
      <c r="AC123" s="2" t="s">
        <v>114</v>
      </c>
      <c r="AD123" s="4">
        <v>270</v>
      </c>
      <c r="AE123" s="4">
        <v>270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206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25</v>
      </c>
      <c r="BK123" s="8">
        <v>1733.96</v>
      </c>
      <c r="BL123" s="2" t="s">
        <v>1140</v>
      </c>
      <c r="BM123" s="7"/>
      <c r="BN123" s="7"/>
      <c r="BO123" s="4"/>
      <c r="BP123" s="8"/>
      <c r="BQ123" s="4"/>
      <c r="BR123" s="8"/>
      <c r="BS123" s="7"/>
      <c r="BT123" s="7"/>
      <c r="BU123" s="2" t="s">
        <v>1141</v>
      </c>
      <c r="BV123" s="2" t="s">
        <v>206</v>
      </c>
      <c r="BW123" s="2" t="s">
        <v>206</v>
      </c>
      <c r="BX123" s="2" t="s">
        <v>214</v>
      </c>
      <c r="BY123" s="2" t="s">
        <v>215</v>
      </c>
      <c r="BZ123" s="2" t="s">
        <v>203</v>
      </c>
      <c r="CA123" s="2" t="s">
        <v>1142</v>
      </c>
      <c r="CB123" s="2" t="s">
        <v>1143</v>
      </c>
      <c r="CC123" s="2" t="s">
        <v>218</v>
      </c>
      <c r="CD123" s="2" t="s">
        <v>206</v>
      </c>
      <c r="CE123" s="4">
        <v>260</v>
      </c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>
        <v>270</v>
      </c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</row>
    <row r="124">
      <c r="A124" s="2" t="s">
        <v>1144</v>
      </c>
      <c r="B124" s="2" t="s">
        <v>546</v>
      </c>
      <c r="C124" s="2" t="s">
        <v>1145</v>
      </c>
      <c r="D124" s="2" t="s">
        <v>529</v>
      </c>
      <c r="E124" s="2" t="s">
        <v>816</v>
      </c>
      <c r="F124" s="2" t="s">
        <v>1146</v>
      </c>
      <c r="G124" s="2" t="s">
        <v>1147</v>
      </c>
      <c r="H124" s="2" t="s">
        <v>1148</v>
      </c>
      <c r="I124" s="2" t="s">
        <v>1149</v>
      </c>
      <c r="J124" s="2" t="s">
        <v>821</v>
      </c>
      <c r="K124" s="2" t="s">
        <v>1150</v>
      </c>
      <c r="L124" s="3">
        <v>23.8</v>
      </c>
      <c r="M124" s="3">
        <v>24.99</v>
      </c>
      <c r="N124" s="3">
        <v>49.99</v>
      </c>
      <c r="O124" s="2" t="s">
        <v>203</v>
      </c>
      <c r="P124" s="2" t="s">
        <v>204</v>
      </c>
      <c r="Q124" s="2" t="s">
        <v>205</v>
      </c>
      <c r="R124" s="2" t="s">
        <v>206</v>
      </c>
      <c r="S124" s="2" t="s">
        <v>1151</v>
      </c>
      <c r="T124" s="2" t="s">
        <v>292</v>
      </c>
      <c r="U124" s="2" t="s">
        <v>235</v>
      </c>
      <c r="V124" s="2" t="s">
        <v>698</v>
      </c>
      <c r="W124" s="2" t="s">
        <v>210</v>
      </c>
      <c r="X124" s="2" t="s">
        <v>1152</v>
      </c>
      <c r="Y124" s="2" t="s">
        <v>1153</v>
      </c>
      <c r="Z124" s="4"/>
      <c r="AA124" s="4">
        <f>=ROUNDDOWN({0},0)</f>
      </c>
      <c r="AB124" s="5">
        <v>9</v>
      </c>
      <c r="AC124" s="2" t="s">
        <v>114</v>
      </c>
      <c r="AD124" s="4">
        <v>210</v>
      </c>
      <c r="AE124" s="4">
        <v>390</v>
      </c>
      <c r="AF124" s="6">
        <v>64</v>
      </c>
      <c r="AG124" s="6"/>
      <c r="AH124" s="7">
        <v>0</v>
      </c>
      <c r="AI124" s="4"/>
      <c r="AJ124" s="4">
        <f>=ROUNDDOWN({0},0)</f>
      </c>
      <c r="AK124" s="5"/>
      <c r="AL124" s="2" t="s">
        <v>206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3</v>
      </c>
      <c r="BK124" s="8">
        <v>80.98</v>
      </c>
      <c r="BL124" s="2" t="s">
        <v>1154</v>
      </c>
      <c r="BM124" s="7"/>
      <c r="BN124" s="7"/>
      <c r="BO124" s="4"/>
      <c r="BP124" s="8"/>
      <c r="BQ124" s="4"/>
      <c r="BR124" s="8"/>
      <c r="BS124" s="7"/>
      <c r="BT124" s="7"/>
      <c r="BU124" s="2" t="s">
        <v>1155</v>
      </c>
      <c r="BV124" s="2" t="s">
        <v>206</v>
      </c>
      <c r="BW124" s="2" t="s">
        <v>206</v>
      </c>
      <c r="BX124" s="2" t="s">
        <v>214</v>
      </c>
      <c r="BY124" s="2" t="s">
        <v>215</v>
      </c>
      <c r="BZ124" s="2" t="s">
        <v>203</v>
      </c>
      <c r="CA124" s="2" t="s">
        <v>1156</v>
      </c>
      <c r="CB124" s="2" t="s">
        <v>1157</v>
      </c>
      <c r="CC124" s="2" t="s">
        <v>218</v>
      </c>
      <c r="CD124" s="2" t="s">
        <v>206</v>
      </c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>
        <v>210</v>
      </c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>
        <v>180</v>
      </c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</row>
    <row r="125">
      <c r="A125" s="2" t="s">
        <v>1158</v>
      </c>
      <c r="B125" s="2" t="s">
        <v>613</v>
      </c>
      <c r="C125" s="2" t="s">
        <v>1044</v>
      </c>
      <c r="D125" s="2" t="s">
        <v>628</v>
      </c>
      <c r="E125" s="2" t="s">
        <v>629</v>
      </c>
      <c r="F125" s="2" t="s">
        <v>1159</v>
      </c>
      <c r="G125" s="2" t="s">
        <v>1160</v>
      </c>
      <c r="H125" s="2" t="s">
        <v>1161</v>
      </c>
      <c r="I125" s="2" t="s">
        <v>1162</v>
      </c>
      <c r="J125" s="2" t="s">
        <v>631</v>
      </c>
      <c r="K125" s="2" t="s">
        <v>1060</v>
      </c>
      <c r="L125" s="3">
        <v>16.65</v>
      </c>
      <c r="M125" s="3">
        <v>17.48</v>
      </c>
      <c r="N125" s="3">
        <v>36.99</v>
      </c>
      <c r="O125" s="2" t="s">
        <v>203</v>
      </c>
      <c r="P125" s="2" t="s">
        <v>204</v>
      </c>
      <c r="Q125" s="2" t="s">
        <v>205</v>
      </c>
      <c r="R125" s="2" t="s">
        <v>206</v>
      </c>
      <c r="S125" s="2" t="s">
        <v>1163</v>
      </c>
      <c r="T125" s="2" t="s">
        <v>206</v>
      </c>
      <c r="U125" s="2" t="s">
        <v>206</v>
      </c>
      <c r="V125" s="2" t="s">
        <v>958</v>
      </c>
      <c r="W125" s="2" t="s">
        <v>439</v>
      </c>
      <c r="X125" s="2" t="s">
        <v>1164</v>
      </c>
      <c r="Y125" s="2" t="s">
        <v>493</v>
      </c>
      <c r="Z125" s="4">
        <v>425</v>
      </c>
      <c r="AA125" s="4">
        <f>=ROUNDDOWN(25,0)</f>
      </c>
      <c r="AB125" s="5">
        <v>17</v>
      </c>
      <c r="AC125" s="2" t="s">
        <v>318</v>
      </c>
      <c r="AD125" s="4">
        <v>112</v>
      </c>
      <c r="AE125" s="4">
        <v>232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206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206</v>
      </c>
      <c r="AW125" s="8" t="s">
        <v>206</v>
      </c>
      <c r="AX125" s="4" t="s">
        <v>206</v>
      </c>
      <c r="AY125" s="8" t="s">
        <v>206</v>
      </c>
      <c r="AZ125" s="7" t="s">
        <v>206</v>
      </c>
      <c r="BA125" s="7" t="s">
        <v>206</v>
      </c>
      <c r="BB125" s="7"/>
      <c r="BC125" s="4" t="s">
        <v>206</v>
      </c>
      <c r="BD125" s="8" t="s">
        <v>206</v>
      </c>
      <c r="BE125" s="4" t="s">
        <v>206</v>
      </c>
      <c r="BF125" s="8" t="s">
        <v>206</v>
      </c>
      <c r="BG125" s="7" t="s">
        <v>206</v>
      </c>
      <c r="BH125" s="7" t="s">
        <v>206</v>
      </c>
      <c r="BI125" s="7"/>
      <c r="BJ125" s="4">
        <v>52</v>
      </c>
      <c r="BK125" s="8">
        <v>846.1</v>
      </c>
      <c r="BL125" s="2" t="s">
        <v>1165</v>
      </c>
      <c r="BM125" s="7"/>
      <c r="BN125" s="7"/>
      <c r="BO125" s="4"/>
      <c r="BP125" s="8"/>
      <c r="BQ125" s="4"/>
      <c r="BR125" s="8"/>
      <c r="BS125" s="7"/>
      <c r="BT125" s="7"/>
      <c r="BU125" s="2" t="s">
        <v>1166</v>
      </c>
      <c r="BV125" s="2" t="s">
        <v>206</v>
      </c>
      <c r="BW125" s="2" t="s">
        <v>206</v>
      </c>
      <c r="BX125" s="2" t="s">
        <v>214</v>
      </c>
      <c r="BY125" s="2" t="s">
        <v>215</v>
      </c>
      <c r="BZ125" s="2" t="s">
        <v>203</v>
      </c>
      <c r="CA125" s="2" t="s">
        <v>1167</v>
      </c>
      <c r="CB125" s="2" t="s">
        <v>1168</v>
      </c>
      <c r="CC125" s="2" t="s">
        <v>218</v>
      </c>
      <c r="CD125" s="2" t="s">
        <v>206</v>
      </c>
      <c r="CE125" s="4">
        <v>425</v>
      </c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>
        <v>112</v>
      </c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>
        <v>120</v>
      </c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</row>
    <row r="126">
      <c r="A126" s="2" t="s">
        <v>1169</v>
      </c>
      <c r="B126" s="2" t="s">
        <v>613</v>
      </c>
      <c r="C126" s="2" t="s">
        <v>1044</v>
      </c>
      <c r="D126" s="2" t="s">
        <v>628</v>
      </c>
      <c r="E126" s="2" t="s">
        <v>629</v>
      </c>
      <c r="F126" s="2" t="s">
        <v>1159</v>
      </c>
      <c r="G126" s="2" t="s">
        <v>1160</v>
      </c>
      <c r="H126" s="2" t="s">
        <v>1161</v>
      </c>
      <c r="I126" s="2" t="s">
        <v>1162</v>
      </c>
      <c r="J126" s="2" t="s">
        <v>731</v>
      </c>
      <c r="K126" s="2" t="s">
        <v>1060</v>
      </c>
      <c r="L126" s="3">
        <v>18</v>
      </c>
      <c r="M126" s="3">
        <v>18.9</v>
      </c>
      <c r="N126" s="3">
        <v>39.99</v>
      </c>
      <c r="O126" s="2" t="s">
        <v>203</v>
      </c>
      <c r="P126" s="2" t="s">
        <v>204</v>
      </c>
      <c r="Q126" s="2" t="s">
        <v>205</v>
      </c>
      <c r="R126" s="2" t="s">
        <v>206</v>
      </c>
      <c r="S126" s="2" t="s">
        <v>1163</v>
      </c>
      <c r="T126" s="2" t="s">
        <v>206</v>
      </c>
      <c r="U126" s="2" t="s">
        <v>206</v>
      </c>
      <c r="V126" s="2" t="s">
        <v>958</v>
      </c>
      <c r="W126" s="2" t="s">
        <v>439</v>
      </c>
      <c r="X126" s="2" t="s">
        <v>1164</v>
      </c>
      <c r="Y126" s="2" t="s">
        <v>493</v>
      </c>
      <c r="Z126" s="4">
        <v>190</v>
      </c>
      <c r="AA126" s="4">
        <f>=ROUNDDOWN(17.2727272727273,0)</f>
      </c>
      <c r="AB126" s="5">
        <v>11</v>
      </c>
      <c r="AC126" s="2" t="s">
        <v>318</v>
      </c>
      <c r="AD126" s="4">
        <v>140</v>
      </c>
      <c r="AE126" s="4">
        <v>220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206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206</v>
      </c>
      <c r="AW126" s="8" t="s">
        <v>206</v>
      </c>
      <c r="AX126" s="4" t="s">
        <v>206</v>
      </c>
      <c r="AY126" s="8" t="s">
        <v>206</v>
      </c>
      <c r="AZ126" s="7" t="s">
        <v>206</v>
      </c>
      <c r="BA126" s="7" t="s">
        <v>206</v>
      </c>
      <c r="BB126" s="7"/>
      <c r="BC126" s="4" t="s">
        <v>206</v>
      </c>
      <c r="BD126" s="8" t="s">
        <v>206</v>
      </c>
      <c r="BE126" s="4" t="s">
        <v>206</v>
      </c>
      <c r="BF126" s="8" t="s">
        <v>206</v>
      </c>
      <c r="BG126" s="7" t="s">
        <v>206</v>
      </c>
      <c r="BH126" s="7" t="s">
        <v>206</v>
      </c>
      <c r="BI126" s="7"/>
      <c r="BJ126" s="4">
        <v>20</v>
      </c>
      <c r="BK126" s="8">
        <v>351.44</v>
      </c>
      <c r="BL126" s="2" t="s">
        <v>1170</v>
      </c>
      <c r="BM126" s="7"/>
      <c r="BN126" s="7"/>
      <c r="BO126" s="4"/>
      <c r="BP126" s="8"/>
      <c r="BQ126" s="4"/>
      <c r="BR126" s="8"/>
      <c r="BS126" s="7"/>
      <c r="BT126" s="7"/>
      <c r="BU126" s="2" t="s">
        <v>1171</v>
      </c>
      <c r="BV126" s="2" t="s">
        <v>206</v>
      </c>
      <c r="BW126" s="2" t="s">
        <v>206</v>
      </c>
      <c r="BX126" s="2" t="s">
        <v>214</v>
      </c>
      <c r="BY126" s="2" t="s">
        <v>215</v>
      </c>
      <c r="BZ126" s="2" t="s">
        <v>203</v>
      </c>
      <c r="CA126" s="2" t="s">
        <v>1167</v>
      </c>
      <c r="CB126" s="2" t="s">
        <v>1172</v>
      </c>
      <c r="CC126" s="2" t="s">
        <v>218</v>
      </c>
      <c r="CD126" s="2" t="s">
        <v>206</v>
      </c>
      <c r="CE126" s="4">
        <v>190</v>
      </c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>
        <v>140</v>
      </c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>
        <v>80</v>
      </c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</row>
    <row r="127">
      <c r="A127" s="2" t="s">
        <v>1173</v>
      </c>
      <c r="B127" s="2" t="s">
        <v>429</v>
      </c>
      <c r="C127" s="2" t="s">
        <v>447</v>
      </c>
      <c r="D127" s="2" t="s">
        <v>909</v>
      </c>
      <c r="E127" s="2" t="s">
        <v>431</v>
      </c>
      <c r="F127" s="2" t="s">
        <v>1174</v>
      </c>
      <c r="G127" s="2" t="s">
        <v>1174</v>
      </c>
      <c r="H127" s="2" t="s">
        <v>1174</v>
      </c>
      <c r="I127" s="2" t="s">
        <v>1175</v>
      </c>
      <c r="J127" s="2" t="s">
        <v>434</v>
      </c>
      <c r="K127" s="2" t="s">
        <v>450</v>
      </c>
      <c r="L127" s="3">
        <v>79.42</v>
      </c>
      <c r="M127" s="3">
        <v>83.39</v>
      </c>
      <c r="N127" s="3">
        <v>157.24</v>
      </c>
      <c r="O127" s="2" t="s">
        <v>203</v>
      </c>
      <c r="P127" s="2" t="s">
        <v>492</v>
      </c>
      <c r="Q127" s="2" t="s">
        <v>205</v>
      </c>
      <c r="R127" s="2" t="s">
        <v>206</v>
      </c>
      <c r="S127" s="2" t="s">
        <v>1176</v>
      </c>
      <c r="T127" s="2" t="s">
        <v>206</v>
      </c>
      <c r="U127" s="2" t="s">
        <v>1177</v>
      </c>
      <c r="V127" s="2" t="s">
        <v>438</v>
      </c>
      <c r="W127" s="2" t="s">
        <v>439</v>
      </c>
      <c r="X127" s="2" t="s">
        <v>1178</v>
      </c>
      <c r="Y127" s="2" t="s">
        <v>1179</v>
      </c>
      <c r="Z127" s="4">
        <v>127</v>
      </c>
      <c r="AA127" s="4">
        <f>=ROUNDDOWN(18.1428571428571,0)</f>
      </c>
      <c r="AB127" s="5">
        <v>7</v>
      </c>
      <c r="AC127" s="2" t="s">
        <v>923</v>
      </c>
      <c r="AD127" s="4">
        <v>100</v>
      </c>
      <c r="AE127" s="4">
        <v>100</v>
      </c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206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33</v>
      </c>
      <c r="BK127" s="8">
        <v>3066.31</v>
      </c>
      <c r="BL127" s="2" t="s">
        <v>1180</v>
      </c>
      <c r="BM127" s="7"/>
      <c r="BN127" s="7"/>
      <c r="BO127" s="4"/>
      <c r="BP127" s="8"/>
      <c r="BQ127" s="4"/>
      <c r="BR127" s="8"/>
      <c r="BS127" s="7"/>
      <c r="BT127" s="7"/>
      <c r="BU127" s="2" t="s">
        <v>1181</v>
      </c>
      <c r="BV127" s="2" t="s">
        <v>206</v>
      </c>
      <c r="BW127" s="2" t="s">
        <v>206</v>
      </c>
      <c r="BX127" s="2" t="s">
        <v>214</v>
      </c>
      <c r="BY127" s="2" t="s">
        <v>215</v>
      </c>
      <c r="BZ127" s="2" t="s">
        <v>203</v>
      </c>
      <c r="CA127" s="2" t="s">
        <v>1182</v>
      </c>
      <c r="CB127" s="2" t="s">
        <v>1183</v>
      </c>
      <c r="CC127" s="2" t="s">
        <v>218</v>
      </c>
      <c r="CD127" s="2" t="s">
        <v>206</v>
      </c>
      <c r="CE127" s="4"/>
      <c r="CF127" s="4">
        <v>127</v>
      </c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>
        <v>100</v>
      </c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</row>
    <row r="128">
      <c r="A128" s="2" t="s">
        <v>1184</v>
      </c>
      <c r="B128" s="2" t="s">
        <v>429</v>
      </c>
      <c r="C128" s="2" t="s">
        <v>287</v>
      </c>
      <c r="D128" s="2" t="s">
        <v>909</v>
      </c>
      <c r="E128" s="2" t="s">
        <v>431</v>
      </c>
      <c r="F128" s="2" t="s">
        <v>1185</v>
      </c>
      <c r="G128" s="2" t="s">
        <v>1185</v>
      </c>
      <c r="H128" s="2" t="s">
        <v>1185</v>
      </c>
      <c r="I128" s="2" t="s">
        <v>1186</v>
      </c>
      <c r="J128" s="2" t="s">
        <v>434</v>
      </c>
      <c r="K128" s="2" t="s">
        <v>1187</v>
      </c>
      <c r="L128" s="3">
        <v>69.19</v>
      </c>
      <c r="M128" s="3">
        <v>72.65</v>
      </c>
      <c r="N128" s="3">
        <v>135.99</v>
      </c>
      <c r="O128" s="2" t="s">
        <v>203</v>
      </c>
      <c r="P128" s="2" t="s">
        <v>204</v>
      </c>
      <c r="Q128" s="2" t="s">
        <v>205</v>
      </c>
      <c r="R128" s="2" t="s">
        <v>206</v>
      </c>
      <c r="S128" s="2" t="s">
        <v>1188</v>
      </c>
      <c r="T128" s="2" t="s">
        <v>206</v>
      </c>
      <c r="U128" s="2" t="s">
        <v>1177</v>
      </c>
      <c r="V128" s="2" t="s">
        <v>438</v>
      </c>
      <c r="W128" s="2" t="s">
        <v>439</v>
      </c>
      <c r="X128" s="2" t="s">
        <v>1189</v>
      </c>
      <c r="Y128" s="2" t="s">
        <v>1190</v>
      </c>
      <c r="Z128" s="4">
        <v>62</v>
      </c>
      <c r="AA128" s="4">
        <f>=ROUNDDOWN(20.6666666666667,0)</f>
      </c>
      <c r="AB128" s="5">
        <v>3</v>
      </c>
      <c r="AC128" s="2" t="s">
        <v>206</v>
      </c>
      <c r="AD128" s="4"/>
      <c r="AE128" s="4"/>
      <c r="AF128" s="6">
        <v>63</v>
      </c>
      <c r="AG128" s="6">
        <v>46</v>
      </c>
      <c r="AH128" s="7">
        <v>0.7742</v>
      </c>
      <c r="AI128" s="4"/>
      <c r="AJ128" s="4">
        <f>=ROUNDDOWN({0},0)</f>
      </c>
      <c r="AK128" s="5"/>
      <c r="AL128" s="2" t="s">
        <v>206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>
        <v>20</v>
      </c>
      <c r="BK128" s="8">
        <v>1616.92</v>
      </c>
      <c r="BL128" s="2" t="s">
        <v>1191</v>
      </c>
      <c r="BM128" s="7"/>
      <c r="BN128" s="7"/>
      <c r="BO128" s="4"/>
      <c r="BP128" s="8"/>
      <c r="BQ128" s="4"/>
      <c r="BR128" s="8"/>
      <c r="BS128" s="7"/>
      <c r="BT128" s="7"/>
      <c r="BU128" s="2" t="s">
        <v>1192</v>
      </c>
      <c r="BV128" s="2" t="s">
        <v>206</v>
      </c>
      <c r="BW128" s="2" t="s">
        <v>206</v>
      </c>
      <c r="BX128" s="2" t="s">
        <v>214</v>
      </c>
      <c r="BY128" s="2" t="s">
        <v>215</v>
      </c>
      <c r="BZ128" s="2" t="s">
        <v>203</v>
      </c>
      <c r="CA128" s="2" t="s">
        <v>1193</v>
      </c>
      <c r="CB128" s="2" t="s">
        <v>1194</v>
      </c>
      <c r="CC128" s="2" t="s">
        <v>218</v>
      </c>
      <c r="CD128" s="2" t="s">
        <v>206</v>
      </c>
      <c r="CE128" s="4"/>
      <c r="CF128" s="4">
        <v>2</v>
      </c>
      <c r="CG128" s="4"/>
      <c r="CH128" s="4"/>
      <c r="CI128" s="4"/>
      <c r="CJ128" s="4"/>
      <c r="CK128" s="4"/>
      <c r="CL128" s="4"/>
      <c r="CM128" s="4"/>
      <c r="CN128" s="4"/>
      <c r="CO128" s="4">
        <v>60</v>
      </c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</row>
    <row r="129">
      <c r="A129" s="2" t="s">
        <v>1195</v>
      </c>
      <c r="B129" s="2" t="s">
        <v>461</v>
      </c>
      <c r="C129" s="2" t="s">
        <v>462</v>
      </c>
      <c r="D129" s="2" t="s">
        <v>882</v>
      </c>
      <c r="E129" s="2" t="s">
        <v>1196</v>
      </c>
      <c r="F129" s="2" t="s">
        <v>1197</v>
      </c>
      <c r="G129" s="2" t="s">
        <v>1197</v>
      </c>
      <c r="H129" s="2" t="s">
        <v>1197</v>
      </c>
      <c r="I129" s="2" t="s">
        <v>1198</v>
      </c>
      <c r="J129" s="2" t="s">
        <v>434</v>
      </c>
      <c r="K129" s="2" t="s">
        <v>1094</v>
      </c>
      <c r="L129" s="3">
        <v>213.75</v>
      </c>
      <c r="M129" s="3">
        <v>224.44</v>
      </c>
      <c r="N129" s="3">
        <v>449</v>
      </c>
      <c r="O129" s="2" t="s">
        <v>203</v>
      </c>
      <c r="P129" s="2" t="s">
        <v>204</v>
      </c>
      <c r="Q129" s="2" t="s">
        <v>205</v>
      </c>
      <c r="R129" s="2" t="s">
        <v>206</v>
      </c>
      <c r="S129" s="2" t="s">
        <v>206</v>
      </c>
      <c r="T129" s="2" t="s">
        <v>206</v>
      </c>
      <c r="U129" s="2" t="s">
        <v>437</v>
      </c>
      <c r="V129" s="2" t="s">
        <v>468</v>
      </c>
      <c r="W129" s="2" t="s">
        <v>539</v>
      </c>
      <c r="X129" s="2" t="s">
        <v>210</v>
      </c>
      <c r="Y129" s="2" t="s">
        <v>1199</v>
      </c>
      <c r="Z129" s="4">
        <v>91</v>
      </c>
      <c r="AA129" s="4">
        <f>=ROUNDDOWN(27.5757575757576,0)</f>
      </c>
      <c r="AB129" s="5">
        <v>3.3</v>
      </c>
      <c r="AC129" s="2" t="s">
        <v>1200</v>
      </c>
      <c r="AD129" s="4">
        <v>180</v>
      </c>
      <c r="AE129" s="4">
        <v>180</v>
      </c>
      <c r="AF129" s="6">
        <v>74</v>
      </c>
      <c r="AG129" s="6"/>
      <c r="AH129" s="7">
        <v>1</v>
      </c>
      <c r="AI129" s="4"/>
      <c r="AJ129" s="4">
        <f>=ROUNDDOWN({0},0)</f>
      </c>
      <c r="AK129" s="5"/>
      <c r="AL129" s="2" t="s">
        <v>206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>
        <v>6</v>
      </c>
      <c r="BK129" s="8">
        <v>1391.51</v>
      </c>
      <c r="BL129" s="2" t="s">
        <v>1201</v>
      </c>
      <c r="BM129" s="7"/>
      <c r="BN129" s="7"/>
      <c r="BO129" s="4"/>
      <c r="BP129" s="8"/>
      <c r="BQ129" s="4"/>
      <c r="BR129" s="8"/>
      <c r="BS129" s="7"/>
      <c r="BT129" s="7"/>
      <c r="BU129" s="2" t="s">
        <v>1202</v>
      </c>
      <c r="BV129" s="2" t="s">
        <v>206</v>
      </c>
      <c r="BW129" s="2" t="s">
        <v>206</v>
      </c>
      <c r="BX129" s="2" t="s">
        <v>214</v>
      </c>
      <c r="BY129" s="2" t="s">
        <v>215</v>
      </c>
      <c r="BZ129" s="2" t="s">
        <v>203</v>
      </c>
      <c r="CA129" s="2" t="s">
        <v>1203</v>
      </c>
      <c r="CB129" s="2" t="s">
        <v>1204</v>
      </c>
      <c r="CC129" s="2" t="s">
        <v>218</v>
      </c>
      <c r="CD129" s="2" t="s">
        <v>206</v>
      </c>
      <c r="CE129" s="4"/>
      <c r="CF129" s="4">
        <v>91</v>
      </c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>
        <v>180</v>
      </c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</row>
    <row r="130">
      <c r="A130" s="2" t="s">
        <v>1205</v>
      </c>
      <c r="B130" s="2" t="s">
        <v>461</v>
      </c>
      <c r="C130" s="2" t="s">
        <v>462</v>
      </c>
      <c r="D130" s="2" t="s">
        <v>975</v>
      </c>
      <c r="E130" s="2" t="s">
        <v>1206</v>
      </c>
      <c r="F130" s="2" t="s">
        <v>1207</v>
      </c>
      <c r="G130" s="2" t="s">
        <v>1207</v>
      </c>
      <c r="H130" s="2" t="s">
        <v>1207</v>
      </c>
      <c r="I130" s="2" t="s">
        <v>1208</v>
      </c>
      <c r="J130" s="2" t="s">
        <v>434</v>
      </c>
      <c r="K130" s="2" t="s">
        <v>696</v>
      </c>
      <c r="L130" s="3">
        <v>225</v>
      </c>
      <c r="M130" s="3">
        <v>236.25</v>
      </c>
      <c r="N130" s="3">
        <v>479</v>
      </c>
      <c r="O130" s="2" t="s">
        <v>203</v>
      </c>
      <c r="P130" s="2" t="s">
        <v>467</v>
      </c>
      <c r="Q130" s="2" t="s">
        <v>205</v>
      </c>
      <c r="R130" s="2" t="s">
        <v>206</v>
      </c>
      <c r="S130" s="2" t="s">
        <v>1209</v>
      </c>
      <c r="T130" s="2" t="s">
        <v>206</v>
      </c>
      <c r="U130" s="2" t="s">
        <v>206</v>
      </c>
      <c r="V130" s="2" t="s">
        <v>209</v>
      </c>
      <c r="W130" s="2" t="s">
        <v>1210</v>
      </c>
      <c r="X130" s="2" t="s">
        <v>206</v>
      </c>
      <c r="Y130" s="2" t="s">
        <v>1211</v>
      </c>
      <c r="Z130" s="4">
        <v>24</v>
      </c>
      <c r="AA130" s="4">
        <f>=ROUNDDOWN(4.8,0)</f>
      </c>
      <c r="AB130" s="5">
        <v>5</v>
      </c>
      <c r="AC130" s="2" t="s">
        <v>514</v>
      </c>
      <c r="AD130" s="4">
        <v>97</v>
      </c>
      <c r="AE130" s="4">
        <v>150</v>
      </c>
      <c r="AF130" s="6">
        <v>66</v>
      </c>
      <c r="AG130" s="6">
        <v>49</v>
      </c>
      <c r="AH130" s="7">
        <v>1</v>
      </c>
      <c r="AI130" s="4"/>
      <c r="AJ130" s="4">
        <f>=ROUNDDOWN({0},0)</f>
      </c>
      <c r="AK130" s="5"/>
      <c r="AL130" s="2" t="s">
        <v>206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206</v>
      </c>
      <c r="BD130" s="8" t="s">
        <v>206</v>
      </c>
      <c r="BE130" s="4" t="s">
        <v>206</v>
      </c>
      <c r="BF130" s="8" t="s">
        <v>206</v>
      </c>
      <c r="BG130" s="7" t="s">
        <v>206</v>
      </c>
      <c r="BH130" s="7" t="s">
        <v>206</v>
      </c>
      <c r="BI130" s="7"/>
      <c r="BJ130" s="4">
        <v>14</v>
      </c>
      <c r="BK130" s="8">
        <v>2928.6</v>
      </c>
      <c r="BL130" s="2" t="s">
        <v>1212</v>
      </c>
      <c r="BM130" s="7"/>
      <c r="BN130" s="7"/>
      <c r="BO130" s="4"/>
      <c r="BP130" s="8"/>
      <c r="BQ130" s="4"/>
      <c r="BR130" s="8"/>
      <c r="BS130" s="7"/>
      <c r="BT130" s="7"/>
      <c r="BU130" s="2" t="s">
        <v>1213</v>
      </c>
      <c r="BV130" s="2" t="s">
        <v>206</v>
      </c>
      <c r="BW130" s="2" t="s">
        <v>206</v>
      </c>
      <c r="BX130" s="2" t="s">
        <v>214</v>
      </c>
      <c r="BY130" s="2" t="s">
        <v>215</v>
      </c>
      <c r="BZ130" s="2" t="s">
        <v>203</v>
      </c>
      <c r="CA130" s="2" t="s">
        <v>1214</v>
      </c>
      <c r="CB130" s="2" t="s">
        <v>1215</v>
      </c>
      <c r="CC130" s="2" t="s">
        <v>218</v>
      </c>
      <c r="CD130" s="2" t="s">
        <v>206</v>
      </c>
      <c r="CE130" s="4"/>
      <c r="CF130" s="4">
        <v>23</v>
      </c>
      <c r="CG130" s="4"/>
      <c r="CH130" s="4">
        <v>1</v>
      </c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>
        <v>97</v>
      </c>
      <c r="CX130" s="4"/>
      <c r="CY130" s="4"/>
      <c r="CZ130" s="4"/>
      <c r="DA130" s="4"/>
      <c r="DB130" s="4"/>
      <c r="DC130" s="4">
        <v>3</v>
      </c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>
        <v>50</v>
      </c>
      <c r="FZ130" s="4"/>
      <c r="GA130" s="4"/>
      <c r="GB130" s="4"/>
      <c r="GC130" s="4"/>
      <c r="GD130" s="4"/>
      <c r="GE130" s="4"/>
      <c r="GF130" s="4"/>
    </row>
    <row r="131">
      <c r="A131" s="2" t="s">
        <v>1216</v>
      </c>
      <c r="B131" s="2" t="s">
        <v>461</v>
      </c>
      <c r="C131" s="2" t="s">
        <v>462</v>
      </c>
      <c r="D131" s="2" t="s">
        <v>975</v>
      </c>
      <c r="E131" s="2" t="s">
        <v>1206</v>
      </c>
      <c r="F131" s="2" t="s">
        <v>1207</v>
      </c>
      <c r="G131" s="2" t="s">
        <v>1207</v>
      </c>
      <c r="H131" s="2" t="s">
        <v>206</v>
      </c>
      <c r="I131" s="2" t="s">
        <v>1208</v>
      </c>
      <c r="J131" s="2" t="s">
        <v>434</v>
      </c>
      <c r="K131" s="2" t="s">
        <v>1217</v>
      </c>
      <c r="L131" s="3">
        <v>225</v>
      </c>
      <c r="M131" s="3">
        <v>236.25</v>
      </c>
      <c r="N131" s="3">
        <v>479</v>
      </c>
      <c r="O131" s="2" t="s">
        <v>203</v>
      </c>
      <c r="P131" s="2" t="s">
        <v>467</v>
      </c>
      <c r="Q131" s="2" t="s">
        <v>205</v>
      </c>
      <c r="R131" s="2" t="s">
        <v>206</v>
      </c>
      <c r="S131" s="2" t="s">
        <v>1218</v>
      </c>
      <c r="T131" s="2" t="s">
        <v>206</v>
      </c>
      <c r="U131" s="2" t="s">
        <v>206</v>
      </c>
      <c r="V131" s="2" t="s">
        <v>209</v>
      </c>
      <c r="W131" s="2" t="s">
        <v>586</v>
      </c>
      <c r="X131" s="2" t="s">
        <v>206</v>
      </c>
      <c r="Y131" s="2" t="s">
        <v>211</v>
      </c>
      <c r="Z131" s="4">
        <v>67</v>
      </c>
      <c r="AA131" s="4">
        <f>=ROUNDDOWN(22.3333333333333,0)</f>
      </c>
      <c r="AB131" s="5">
        <v>3</v>
      </c>
      <c r="AC131" s="2" t="s">
        <v>514</v>
      </c>
      <c r="AD131" s="4">
        <v>56</v>
      </c>
      <c r="AE131" s="4">
        <v>56</v>
      </c>
      <c r="AF131" s="6">
        <v>66</v>
      </c>
      <c r="AG131" s="6">
        <v>49</v>
      </c>
      <c r="AH131" s="7">
        <v>1</v>
      </c>
      <c r="AI131" s="4"/>
      <c r="AJ131" s="4">
        <f>=ROUNDDOWN({0},0)</f>
      </c>
      <c r="AK131" s="5"/>
      <c r="AL131" s="2" t="s">
        <v>206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206</v>
      </c>
      <c r="BD131" s="8" t="s">
        <v>206</v>
      </c>
      <c r="BE131" s="4" t="s">
        <v>206</v>
      </c>
      <c r="BF131" s="8" t="s">
        <v>206</v>
      </c>
      <c r="BG131" s="7" t="s">
        <v>206</v>
      </c>
      <c r="BH131" s="7" t="s">
        <v>206</v>
      </c>
      <c r="BI131" s="7"/>
      <c r="BJ131" s="4">
        <v>14</v>
      </c>
      <c r="BK131" s="8">
        <v>3025.68</v>
      </c>
      <c r="BL131" s="2" t="s">
        <v>1219</v>
      </c>
      <c r="BM131" s="7"/>
      <c r="BN131" s="7"/>
      <c r="BO131" s="4"/>
      <c r="BP131" s="8"/>
      <c r="BQ131" s="4"/>
      <c r="BR131" s="8"/>
      <c r="BS131" s="7"/>
      <c r="BT131" s="7"/>
      <c r="BU131" s="2" t="s">
        <v>1220</v>
      </c>
      <c r="BV131" s="2" t="s">
        <v>206</v>
      </c>
      <c r="BW131" s="2" t="s">
        <v>206</v>
      </c>
      <c r="BX131" s="2" t="s">
        <v>214</v>
      </c>
      <c r="BY131" s="2" t="s">
        <v>215</v>
      </c>
      <c r="BZ131" s="2" t="s">
        <v>203</v>
      </c>
      <c r="CA131" s="2" t="s">
        <v>1221</v>
      </c>
      <c r="CB131" s="2" t="s">
        <v>1222</v>
      </c>
      <c r="CC131" s="2" t="s">
        <v>218</v>
      </c>
      <c r="CD131" s="2" t="s">
        <v>206</v>
      </c>
      <c r="CE131" s="4"/>
      <c r="CF131" s="4">
        <v>67</v>
      </c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>
        <v>56</v>
      </c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</row>
    <row r="132">
      <c r="A132" s="2" t="s">
        <v>1223</v>
      </c>
      <c r="B132" s="2" t="s">
        <v>461</v>
      </c>
      <c r="C132" s="2" t="s">
        <v>287</v>
      </c>
      <c r="D132" s="2" t="s">
        <v>1072</v>
      </c>
      <c r="E132" s="2" t="s">
        <v>1073</v>
      </c>
      <c r="F132" s="2" t="s">
        <v>1224</v>
      </c>
      <c r="G132" s="2" t="s">
        <v>1225</v>
      </c>
      <c r="H132" s="2" t="s">
        <v>1226</v>
      </c>
      <c r="I132" s="2" t="s">
        <v>1227</v>
      </c>
      <c r="J132" s="2" t="s">
        <v>434</v>
      </c>
      <c r="K132" s="2" t="s">
        <v>656</v>
      </c>
      <c r="L132" s="3">
        <v>242.25</v>
      </c>
      <c r="M132" s="3">
        <v>254.36</v>
      </c>
      <c r="N132" s="3">
        <v>509</v>
      </c>
      <c r="O132" s="2" t="s">
        <v>203</v>
      </c>
      <c r="P132" s="2" t="s">
        <v>204</v>
      </c>
      <c r="Q132" s="2" t="s">
        <v>205</v>
      </c>
      <c r="R132" s="2" t="s">
        <v>206</v>
      </c>
      <c r="S132" s="2" t="s">
        <v>1228</v>
      </c>
      <c r="T132" s="2" t="s">
        <v>206</v>
      </c>
      <c r="U132" s="2" t="s">
        <v>206</v>
      </c>
      <c r="V132" s="2" t="s">
        <v>209</v>
      </c>
      <c r="W132" s="2" t="s">
        <v>539</v>
      </c>
      <c r="X132" s="2" t="s">
        <v>206</v>
      </c>
      <c r="Y132" s="2" t="s">
        <v>1211</v>
      </c>
      <c r="Z132" s="4">
        <v>90</v>
      </c>
      <c r="AA132" s="4">
        <f>=ROUNDDOWN(14.0625,0)</f>
      </c>
      <c r="AB132" s="5">
        <v>6.4</v>
      </c>
      <c r="AC132" s="2" t="s">
        <v>1229</v>
      </c>
      <c r="AD132" s="4">
        <v>100</v>
      </c>
      <c r="AE132" s="4">
        <v>100</v>
      </c>
      <c r="AF132" s="6">
        <v>66</v>
      </c>
      <c r="AG132" s="6"/>
      <c r="AH132" s="7">
        <v>0.871</v>
      </c>
      <c r="AI132" s="4"/>
      <c r="AJ132" s="4">
        <f>=ROUNDDOWN({0},0)</f>
      </c>
      <c r="AK132" s="5"/>
      <c r="AL132" s="2" t="s">
        <v>206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17</v>
      </c>
      <c r="BK132" s="8">
        <v>4135.63</v>
      </c>
      <c r="BL132" s="2" t="s">
        <v>1230</v>
      </c>
      <c r="BM132" s="7"/>
      <c r="BN132" s="7"/>
      <c r="BO132" s="4"/>
      <c r="BP132" s="8"/>
      <c r="BQ132" s="4"/>
      <c r="BR132" s="8"/>
      <c r="BS132" s="7"/>
      <c r="BT132" s="7"/>
      <c r="BU132" s="2" t="s">
        <v>1231</v>
      </c>
      <c r="BV132" s="2" t="s">
        <v>206</v>
      </c>
      <c r="BW132" s="2" t="s">
        <v>206</v>
      </c>
      <c r="BX132" s="2" t="s">
        <v>214</v>
      </c>
      <c r="BY132" s="2" t="s">
        <v>215</v>
      </c>
      <c r="BZ132" s="2" t="s">
        <v>203</v>
      </c>
      <c r="CA132" s="2" t="s">
        <v>1232</v>
      </c>
      <c r="CB132" s="2" t="s">
        <v>1233</v>
      </c>
      <c r="CC132" s="2" t="s">
        <v>218</v>
      </c>
      <c r="CD132" s="2" t="s">
        <v>206</v>
      </c>
      <c r="CE132" s="4"/>
      <c r="CF132" s="4">
        <v>90</v>
      </c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>
        <v>100</v>
      </c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</row>
    <row r="133">
      <c r="A133" s="2" t="s">
        <v>1234</v>
      </c>
      <c r="B133" s="2" t="s">
        <v>461</v>
      </c>
      <c r="C133" s="2" t="s">
        <v>287</v>
      </c>
      <c r="D133" s="2" t="s">
        <v>975</v>
      </c>
      <c r="E133" s="2" t="s">
        <v>976</v>
      </c>
      <c r="F133" s="2" t="s">
        <v>1235</v>
      </c>
      <c r="G133" s="2" t="s">
        <v>1236</v>
      </c>
      <c r="H133" s="2" t="s">
        <v>1237</v>
      </c>
      <c r="I133" s="2" t="s">
        <v>1208</v>
      </c>
      <c r="J133" s="2" t="s">
        <v>434</v>
      </c>
      <c r="K133" s="2" t="s">
        <v>336</v>
      </c>
      <c r="L133" s="3">
        <v>276</v>
      </c>
      <c r="M133" s="3">
        <v>289.8</v>
      </c>
      <c r="N133" s="3">
        <v>579</v>
      </c>
      <c r="O133" s="2" t="s">
        <v>203</v>
      </c>
      <c r="P133" s="2" t="s">
        <v>467</v>
      </c>
      <c r="Q133" s="2" t="s">
        <v>205</v>
      </c>
      <c r="R133" s="2" t="s">
        <v>206</v>
      </c>
      <c r="S133" s="2" t="s">
        <v>1238</v>
      </c>
      <c r="T133" s="2" t="s">
        <v>206</v>
      </c>
      <c r="U133" s="2" t="s">
        <v>437</v>
      </c>
      <c r="V133" s="2" t="s">
        <v>209</v>
      </c>
      <c r="W133" s="2" t="s">
        <v>539</v>
      </c>
      <c r="X133" s="2" t="s">
        <v>206</v>
      </c>
      <c r="Y133" s="2" t="s">
        <v>1239</v>
      </c>
      <c r="Z133" s="4">
        <v>100</v>
      </c>
      <c r="AA133" s="4">
        <f>=ROUNDDOWN(33.3333333333333,0)</f>
      </c>
      <c r="AB133" s="5">
        <v>3</v>
      </c>
      <c r="AC133" s="2" t="s">
        <v>441</v>
      </c>
      <c r="AD133" s="4">
        <v>44</v>
      </c>
      <c r="AE133" s="4">
        <v>100</v>
      </c>
      <c r="AF133" s="6">
        <v>69</v>
      </c>
      <c r="AG133" s="6"/>
      <c r="AH133" s="7">
        <v>1</v>
      </c>
      <c r="AI133" s="4"/>
      <c r="AJ133" s="4">
        <f>=ROUNDDOWN({0},0)</f>
      </c>
      <c r="AK133" s="5"/>
      <c r="AL133" s="2" t="s">
        <v>206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2</v>
      </c>
      <c r="BK133" s="8">
        <v>579.6</v>
      </c>
      <c r="BL133" s="2" t="s">
        <v>1240</v>
      </c>
      <c r="BM133" s="7"/>
      <c r="BN133" s="7"/>
      <c r="BO133" s="4"/>
      <c r="BP133" s="8"/>
      <c r="BQ133" s="4"/>
      <c r="BR133" s="8"/>
      <c r="BS133" s="7"/>
      <c r="BT133" s="7"/>
      <c r="BU133" s="2" t="s">
        <v>1241</v>
      </c>
      <c r="BV133" s="2" t="s">
        <v>206</v>
      </c>
      <c r="BW133" s="2" t="s">
        <v>206</v>
      </c>
      <c r="BX133" s="2" t="s">
        <v>214</v>
      </c>
      <c r="BY133" s="2" t="s">
        <v>215</v>
      </c>
      <c r="BZ133" s="2" t="s">
        <v>203</v>
      </c>
      <c r="CA133" s="2" t="s">
        <v>1242</v>
      </c>
      <c r="CB133" s="2" t="s">
        <v>1243</v>
      </c>
      <c r="CC133" s="2" t="s">
        <v>218</v>
      </c>
      <c r="CD133" s="2" t="s">
        <v>206</v>
      </c>
      <c r="CE133" s="4"/>
      <c r="CF133" s="4">
        <v>100</v>
      </c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>
        <v>44</v>
      </c>
      <c r="DS133" s="4"/>
      <c r="DT133" s="4"/>
      <c r="DU133" s="4"/>
      <c r="DV133" s="4"/>
      <c r="DW133" s="4"/>
      <c r="DX133" s="4"/>
      <c r="DY133" s="4"/>
      <c r="DZ133" s="4"/>
      <c r="EA133" s="4">
        <v>56</v>
      </c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</row>
    <row r="134">
      <c r="A134" s="2" t="s">
        <v>1244</v>
      </c>
      <c r="B134" s="2" t="s">
        <v>800</v>
      </c>
      <c r="C134" s="2" t="s">
        <v>462</v>
      </c>
      <c r="D134" s="2" t="s">
        <v>1245</v>
      </c>
      <c r="E134" s="2" t="s">
        <v>1246</v>
      </c>
      <c r="F134" s="2" t="s">
        <v>1247</v>
      </c>
      <c r="G134" s="2" t="s">
        <v>1247</v>
      </c>
      <c r="H134" s="2" t="s">
        <v>1247</v>
      </c>
      <c r="I134" s="2" t="s">
        <v>1248</v>
      </c>
      <c r="J134" s="2" t="s">
        <v>1249</v>
      </c>
      <c r="K134" s="2" t="s">
        <v>696</v>
      </c>
      <c r="L134" s="3">
        <v>18.4</v>
      </c>
      <c r="M134" s="3">
        <v>19.32</v>
      </c>
      <c r="N134" s="3">
        <v>39.99</v>
      </c>
      <c r="O134" s="2" t="s">
        <v>203</v>
      </c>
      <c r="P134" s="2" t="s">
        <v>467</v>
      </c>
      <c r="Q134" s="2" t="s">
        <v>205</v>
      </c>
      <c r="R134" s="2" t="s">
        <v>206</v>
      </c>
      <c r="S134" s="2" t="s">
        <v>1250</v>
      </c>
      <c r="T134" s="2" t="s">
        <v>1251</v>
      </c>
      <c r="U134" s="2" t="s">
        <v>437</v>
      </c>
      <c r="V134" s="2" t="s">
        <v>209</v>
      </c>
      <c r="W134" s="2" t="s">
        <v>210</v>
      </c>
      <c r="X134" s="2" t="s">
        <v>786</v>
      </c>
      <c r="Y134" s="2" t="s">
        <v>718</v>
      </c>
      <c r="Z134" s="4">
        <v>366</v>
      </c>
      <c r="AA134" s="4">
        <f>=ROUNDDOWN(91.5,0)</f>
      </c>
      <c r="AB134" s="5">
        <v>4</v>
      </c>
      <c r="AC134" s="2" t="s">
        <v>206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206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206</v>
      </c>
      <c r="BD134" s="8" t="s">
        <v>206</v>
      </c>
      <c r="BE134" s="4" t="s">
        <v>206</v>
      </c>
      <c r="BF134" s="8" t="s">
        <v>206</v>
      </c>
      <c r="BG134" s="7" t="s">
        <v>206</v>
      </c>
      <c r="BH134" s="7" t="s">
        <v>206</v>
      </c>
      <c r="BI134" s="7"/>
      <c r="BJ134" s="4">
        <v>13</v>
      </c>
      <c r="BK134" s="8">
        <v>234.63</v>
      </c>
      <c r="BL134" s="2" t="s">
        <v>1252</v>
      </c>
      <c r="BM134" s="7"/>
      <c r="BN134" s="7"/>
      <c r="BO134" s="4"/>
      <c r="BP134" s="8"/>
      <c r="BQ134" s="4"/>
      <c r="BR134" s="8"/>
      <c r="BS134" s="7"/>
      <c r="BT134" s="7"/>
      <c r="BU134" s="2" t="s">
        <v>1253</v>
      </c>
      <c r="BV134" s="2" t="s">
        <v>206</v>
      </c>
      <c r="BW134" s="2" t="s">
        <v>206</v>
      </c>
      <c r="BX134" s="2" t="s">
        <v>214</v>
      </c>
      <c r="BY134" s="2" t="s">
        <v>215</v>
      </c>
      <c r="BZ134" s="2" t="s">
        <v>203</v>
      </c>
      <c r="CA134" s="2" t="s">
        <v>1254</v>
      </c>
      <c r="CB134" s="2" t="s">
        <v>1007</v>
      </c>
      <c r="CC134" s="2" t="s">
        <v>218</v>
      </c>
      <c r="CD134" s="2" t="s">
        <v>206</v>
      </c>
      <c r="CE134" s="4">
        <v>366</v>
      </c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</row>
    <row r="135">
      <c r="A135" s="2" t="s">
        <v>1255</v>
      </c>
      <c r="B135" s="2" t="s">
        <v>800</v>
      </c>
      <c r="C135" s="2" t="s">
        <v>462</v>
      </c>
      <c r="D135" s="2" t="s">
        <v>1245</v>
      </c>
      <c r="E135" s="2" t="s">
        <v>1246</v>
      </c>
      <c r="F135" s="2" t="s">
        <v>1247</v>
      </c>
      <c r="G135" s="2" t="s">
        <v>1247</v>
      </c>
      <c r="H135" s="2" t="s">
        <v>1247</v>
      </c>
      <c r="I135" s="2" t="s">
        <v>1256</v>
      </c>
      <c r="J135" s="2" t="s">
        <v>1257</v>
      </c>
      <c r="K135" s="2" t="s">
        <v>709</v>
      </c>
      <c r="L135" s="3">
        <v>12.96</v>
      </c>
      <c r="M135" s="3">
        <v>13.61</v>
      </c>
      <c r="N135" s="3">
        <v>26.99</v>
      </c>
      <c r="O135" s="2" t="s">
        <v>203</v>
      </c>
      <c r="P135" s="2" t="s">
        <v>467</v>
      </c>
      <c r="Q135" s="2" t="s">
        <v>205</v>
      </c>
      <c r="R135" s="2" t="s">
        <v>206</v>
      </c>
      <c r="S135" s="2" t="s">
        <v>1258</v>
      </c>
      <c r="T135" s="2" t="s">
        <v>1251</v>
      </c>
      <c r="U135" s="2" t="s">
        <v>437</v>
      </c>
      <c r="V135" s="2" t="s">
        <v>209</v>
      </c>
      <c r="W135" s="2" t="s">
        <v>210</v>
      </c>
      <c r="X135" s="2" t="s">
        <v>786</v>
      </c>
      <c r="Y135" s="2" t="s">
        <v>718</v>
      </c>
      <c r="Z135" s="4">
        <v>197</v>
      </c>
      <c r="AA135" s="4">
        <f>=ROUNDDOWN(98.5,0)</f>
      </c>
      <c r="AB135" s="5">
        <v>2</v>
      </c>
      <c r="AC135" s="2" t="s">
        <v>206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206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206</v>
      </c>
      <c r="AW135" s="8" t="s">
        <v>206</v>
      </c>
      <c r="AX135" s="4" t="s">
        <v>206</v>
      </c>
      <c r="AY135" s="8" t="s">
        <v>206</v>
      </c>
      <c r="AZ135" s="7" t="s">
        <v>206</v>
      </c>
      <c r="BA135" s="7" t="s">
        <v>206</v>
      </c>
      <c r="BB135" s="7"/>
      <c r="BC135" s="4" t="s">
        <v>206</v>
      </c>
      <c r="BD135" s="8" t="s">
        <v>206</v>
      </c>
      <c r="BE135" s="4" t="s">
        <v>206</v>
      </c>
      <c r="BF135" s="8" t="s">
        <v>206</v>
      </c>
      <c r="BG135" s="7" t="s">
        <v>206</v>
      </c>
      <c r="BH135" s="7" t="s">
        <v>206</v>
      </c>
      <c r="BI135" s="7"/>
      <c r="BJ135" s="4"/>
      <c r="BK135" s="8"/>
      <c r="BL135" s="2" t="s">
        <v>206</v>
      </c>
      <c r="BM135" s="7"/>
      <c r="BN135" s="7"/>
      <c r="BO135" s="4"/>
      <c r="BP135" s="8"/>
      <c r="BQ135" s="4"/>
      <c r="BR135" s="8"/>
      <c r="BS135" s="7"/>
      <c r="BT135" s="7"/>
      <c r="BU135" s="2" t="s">
        <v>1259</v>
      </c>
      <c r="BV135" s="2" t="s">
        <v>206</v>
      </c>
      <c r="BW135" s="2" t="s">
        <v>206</v>
      </c>
      <c r="BX135" s="2" t="s">
        <v>214</v>
      </c>
      <c r="BY135" s="2" t="s">
        <v>215</v>
      </c>
      <c r="BZ135" s="2" t="s">
        <v>203</v>
      </c>
      <c r="CA135" s="2" t="s">
        <v>1254</v>
      </c>
      <c r="CB135" s="2" t="s">
        <v>1260</v>
      </c>
      <c r="CC135" s="2" t="s">
        <v>218</v>
      </c>
      <c r="CD135" s="2" t="s">
        <v>206</v>
      </c>
      <c r="CE135" s="4">
        <v>197</v>
      </c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</row>
    <row r="136">
      <c r="A136" s="2" t="s">
        <v>1261</v>
      </c>
      <c r="B136" s="2" t="s">
        <v>800</v>
      </c>
      <c r="C136" s="2" t="s">
        <v>462</v>
      </c>
      <c r="D136" s="2" t="s">
        <v>801</v>
      </c>
      <c r="E136" s="2" t="s">
        <v>1262</v>
      </c>
      <c r="F136" s="2" t="s">
        <v>1247</v>
      </c>
      <c r="G136" s="2" t="s">
        <v>1247</v>
      </c>
      <c r="H136" s="2" t="s">
        <v>1247</v>
      </c>
      <c r="I136" s="2" t="s">
        <v>1262</v>
      </c>
      <c r="J136" s="2" t="s">
        <v>806</v>
      </c>
      <c r="K136" s="2" t="s">
        <v>709</v>
      </c>
      <c r="L136" s="3">
        <v>18.09</v>
      </c>
      <c r="M136" s="3">
        <v>18.99</v>
      </c>
      <c r="N136" s="3">
        <v>38.99</v>
      </c>
      <c r="O136" s="2" t="s">
        <v>203</v>
      </c>
      <c r="P136" s="2" t="s">
        <v>204</v>
      </c>
      <c r="Q136" s="2" t="s">
        <v>205</v>
      </c>
      <c r="R136" s="2" t="s">
        <v>206</v>
      </c>
      <c r="S136" s="2" t="s">
        <v>1258</v>
      </c>
      <c r="T136" s="2" t="s">
        <v>1251</v>
      </c>
      <c r="U136" s="2" t="s">
        <v>437</v>
      </c>
      <c r="V136" s="2" t="s">
        <v>209</v>
      </c>
      <c r="W136" s="2" t="s">
        <v>210</v>
      </c>
      <c r="X136" s="2" t="s">
        <v>786</v>
      </c>
      <c r="Y136" s="2" t="s">
        <v>718</v>
      </c>
      <c r="Z136" s="4">
        <v>368</v>
      </c>
      <c r="AA136" s="4">
        <f>=ROUNDDOWN(18.4,0)</f>
      </c>
      <c r="AB136" s="5">
        <v>20</v>
      </c>
      <c r="AC136" s="2" t="s">
        <v>114</v>
      </c>
      <c r="AD136" s="4">
        <v>300</v>
      </c>
      <c r="AE136" s="4">
        <v>700</v>
      </c>
      <c r="AF136" s="6">
        <v>65</v>
      </c>
      <c r="AG136" s="6"/>
      <c r="AH136" s="7">
        <v>0.0645</v>
      </c>
      <c r="AI136" s="4"/>
      <c r="AJ136" s="4">
        <f>=ROUNDDOWN({0},0)</f>
      </c>
      <c r="AK136" s="5"/>
      <c r="AL136" s="2" t="s">
        <v>206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206</v>
      </c>
      <c r="AW136" s="8" t="s">
        <v>206</v>
      </c>
      <c r="AX136" s="4" t="s">
        <v>206</v>
      </c>
      <c r="AY136" s="8" t="s">
        <v>206</v>
      </c>
      <c r="AZ136" s="7" t="s">
        <v>206</v>
      </c>
      <c r="BA136" s="7" t="s">
        <v>206</v>
      </c>
      <c r="BB136" s="7"/>
      <c r="BC136" s="4" t="s">
        <v>206</v>
      </c>
      <c r="BD136" s="8" t="s">
        <v>206</v>
      </c>
      <c r="BE136" s="4" t="s">
        <v>206</v>
      </c>
      <c r="BF136" s="8" t="s">
        <v>206</v>
      </c>
      <c r="BG136" s="7" t="s">
        <v>206</v>
      </c>
      <c r="BH136" s="7" t="s">
        <v>206</v>
      </c>
      <c r="BI136" s="7"/>
      <c r="BJ136" s="4">
        <v>25</v>
      </c>
      <c r="BK136" s="8">
        <v>502.22</v>
      </c>
      <c r="BL136" s="2" t="s">
        <v>1263</v>
      </c>
      <c r="BM136" s="7"/>
      <c r="BN136" s="7"/>
      <c r="BO136" s="4"/>
      <c r="BP136" s="8"/>
      <c r="BQ136" s="4"/>
      <c r="BR136" s="8"/>
      <c r="BS136" s="7"/>
      <c r="BT136" s="7"/>
      <c r="BU136" s="2" t="s">
        <v>1264</v>
      </c>
      <c r="BV136" s="2" t="s">
        <v>206</v>
      </c>
      <c r="BW136" s="2" t="s">
        <v>206</v>
      </c>
      <c r="BX136" s="2" t="s">
        <v>214</v>
      </c>
      <c r="BY136" s="2" t="s">
        <v>215</v>
      </c>
      <c r="BZ136" s="2" t="s">
        <v>203</v>
      </c>
      <c r="CA136" s="2" t="s">
        <v>1254</v>
      </c>
      <c r="CB136" s="2" t="s">
        <v>1265</v>
      </c>
      <c r="CC136" s="2" t="s">
        <v>218</v>
      </c>
      <c r="CD136" s="2" t="s">
        <v>206</v>
      </c>
      <c r="CE136" s="4">
        <v>242</v>
      </c>
      <c r="CF136" s="4"/>
      <c r="CG136" s="4"/>
      <c r="CH136" s="4"/>
      <c r="CI136" s="4"/>
      <c r="CJ136" s="4"/>
      <c r="CK136" s="4">
        <v>126</v>
      </c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>
        <v>300</v>
      </c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>
        <v>400</v>
      </c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</row>
    <row r="137">
      <c r="A137" s="2" t="s">
        <v>1266</v>
      </c>
      <c r="B137" s="2" t="s">
        <v>800</v>
      </c>
      <c r="C137" s="2" t="s">
        <v>462</v>
      </c>
      <c r="D137" s="2" t="s">
        <v>1267</v>
      </c>
      <c r="E137" s="2" t="s">
        <v>1268</v>
      </c>
      <c r="F137" s="2" t="s">
        <v>1247</v>
      </c>
      <c r="G137" s="2" t="s">
        <v>1247</v>
      </c>
      <c r="H137" s="2" t="s">
        <v>1247</v>
      </c>
      <c r="I137" s="2" t="s">
        <v>1268</v>
      </c>
      <c r="J137" s="2" t="s">
        <v>201</v>
      </c>
      <c r="K137" s="2" t="s">
        <v>336</v>
      </c>
      <c r="L137" s="3">
        <v>30.35</v>
      </c>
      <c r="M137" s="3">
        <v>31.87</v>
      </c>
      <c r="N137" s="3">
        <v>65.99</v>
      </c>
      <c r="O137" s="2" t="s">
        <v>203</v>
      </c>
      <c r="P137" s="2" t="s">
        <v>204</v>
      </c>
      <c r="Q137" s="2" t="s">
        <v>205</v>
      </c>
      <c r="R137" s="2" t="s">
        <v>206</v>
      </c>
      <c r="S137" s="2" t="s">
        <v>1269</v>
      </c>
      <c r="T137" s="2" t="s">
        <v>1251</v>
      </c>
      <c r="U137" s="2" t="s">
        <v>437</v>
      </c>
      <c r="V137" s="2" t="s">
        <v>209</v>
      </c>
      <c r="W137" s="2" t="s">
        <v>210</v>
      </c>
      <c r="X137" s="2" t="s">
        <v>786</v>
      </c>
      <c r="Y137" s="2" t="s">
        <v>1270</v>
      </c>
      <c r="Z137" s="4">
        <v>127</v>
      </c>
      <c r="AA137" s="4">
        <f>=ROUNDDOWN(31.75,0)</f>
      </c>
      <c r="AB137" s="5">
        <v>4</v>
      </c>
      <c r="AC137" s="2" t="s">
        <v>206</v>
      </c>
      <c r="AD137" s="4"/>
      <c r="AE137" s="4"/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206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 t="s">
        <v>206</v>
      </c>
      <c r="AW137" s="8" t="s">
        <v>206</v>
      </c>
      <c r="AX137" s="4" t="s">
        <v>206</v>
      </c>
      <c r="AY137" s="8" t="s">
        <v>206</v>
      </c>
      <c r="AZ137" s="7" t="s">
        <v>206</v>
      </c>
      <c r="BA137" s="7" t="s">
        <v>206</v>
      </c>
      <c r="BB137" s="7"/>
      <c r="BC137" s="4" t="s">
        <v>206</v>
      </c>
      <c r="BD137" s="8" t="s">
        <v>206</v>
      </c>
      <c r="BE137" s="4" t="s">
        <v>206</v>
      </c>
      <c r="BF137" s="8" t="s">
        <v>206</v>
      </c>
      <c r="BG137" s="7" t="s">
        <v>206</v>
      </c>
      <c r="BH137" s="7" t="s">
        <v>206</v>
      </c>
      <c r="BI137" s="7"/>
      <c r="BJ137" s="4">
        <v>15</v>
      </c>
      <c r="BK137" s="8">
        <v>502.52</v>
      </c>
      <c r="BL137" s="2" t="s">
        <v>1271</v>
      </c>
      <c r="BM137" s="7"/>
      <c r="BN137" s="7"/>
      <c r="BO137" s="4"/>
      <c r="BP137" s="8"/>
      <c r="BQ137" s="4"/>
      <c r="BR137" s="8"/>
      <c r="BS137" s="7"/>
      <c r="BT137" s="7"/>
      <c r="BU137" s="2" t="s">
        <v>1272</v>
      </c>
      <c r="BV137" s="2" t="s">
        <v>206</v>
      </c>
      <c r="BW137" s="2" t="s">
        <v>206</v>
      </c>
      <c r="BX137" s="2" t="s">
        <v>214</v>
      </c>
      <c r="BY137" s="2" t="s">
        <v>215</v>
      </c>
      <c r="BZ137" s="2" t="s">
        <v>203</v>
      </c>
      <c r="CA137" s="2" t="s">
        <v>1273</v>
      </c>
      <c r="CB137" s="2" t="s">
        <v>1274</v>
      </c>
      <c r="CC137" s="2" t="s">
        <v>218</v>
      </c>
      <c r="CD137" s="2" t="s">
        <v>206</v>
      </c>
      <c r="CE137" s="4">
        <v>95</v>
      </c>
      <c r="CF137" s="4"/>
      <c r="CG137" s="4"/>
      <c r="CH137" s="4">
        <v>32</v>
      </c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</row>
    <row r="138">
      <c r="A138" s="2" t="s">
        <v>1275</v>
      </c>
      <c r="B138" s="2" t="s">
        <v>800</v>
      </c>
      <c r="C138" s="2" t="s">
        <v>462</v>
      </c>
      <c r="D138" s="2" t="s">
        <v>1245</v>
      </c>
      <c r="E138" s="2" t="s">
        <v>1246</v>
      </c>
      <c r="F138" s="2" t="s">
        <v>1247</v>
      </c>
      <c r="G138" s="2" t="s">
        <v>1247</v>
      </c>
      <c r="H138" s="2" t="s">
        <v>1247</v>
      </c>
      <c r="I138" s="2" t="s">
        <v>1248</v>
      </c>
      <c r="J138" s="2" t="s">
        <v>1249</v>
      </c>
      <c r="K138" s="2" t="s">
        <v>336</v>
      </c>
      <c r="L138" s="3">
        <v>18.4</v>
      </c>
      <c r="M138" s="3">
        <v>19.32</v>
      </c>
      <c r="N138" s="3">
        <v>39.99</v>
      </c>
      <c r="O138" s="2" t="s">
        <v>203</v>
      </c>
      <c r="P138" s="2" t="s">
        <v>467</v>
      </c>
      <c r="Q138" s="2" t="s">
        <v>205</v>
      </c>
      <c r="R138" s="2" t="s">
        <v>206</v>
      </c>
      <c r="S138" s="2" t="s">
        <v>1269</v>
      </c>
      <c r="T138" s="2" t="s">
        <v>1251</v>
      </c>
      <c r="U138" s="2" t="s">
        <v>437</v>
      </c>
      <c r="V138" s="2" t="s">
        <v>209</v>
      </c>
      <c r="W138" s="2" t="s">
        <v>210</v>
      </c>
      <c r="X138" s="2" t="s">
        <v>786</v>
      </c>
      <c r="Y138" s="2" t="s">
        <v>1276</v>
      </c>
      <c r="Z138" s="4">
        <v>303</v>
      </c>
      <c r="AA138" s="4">
        <f>=ROUNDDOWN(75.75,0)</f>
      </c>
      <c r="AB138" s="5">
        <v>4</v>
      </c>
      <c r="AC138" s="2" t="s">
        <v>206</v>
      </c>
      <c r="AD138" s="4"/>
      <c r="AE138" s="4"/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206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 t="s">
        <v>206</v>
      </c>
      <c r="AW138" s="8" t="s">
        <v>206</v>
      </c>
      <c r="AX138" s="4" t="s">
        <v>206</v>
      </c>
      <c r="AY138" s="8" t="s">
        <v>206</v>
      </c>
      <c r="AZ138" s="7" t="s">
        <v>206</v>
      </c>
      <c r="BA138" s="7" t="s">
        <v>206</v>
      </c>
      <c r="BB138" s="7"/>
      <c r="BC138" s="4" t="s">
        <v>206</v>
      </c>
      <c r="BD138" s="8" t="s">
        <v>206</v>
      </c>
      <c r="BE138" s="4" t="s">
        <v>206</v>
      </c>
      <c r="BF138" s="8" t="s">
        <v>206</v>
      </c>
      <c r="BG138" s="7" t="s">
        <v>206</v>
      </c>
      <c r="BH138" s="7" t="s">
        <v>206</v>
      </c>
      <c r="BI138" s="7"/>
      <c r="BJ138" s="4">
        <v>6</v>
      </c>
      <c r="BK138" s="8">
        <v>107.94</v>
      </c>
      <c r="BL138" s="2" t="s">
        <v>1277</v>
      </c>
      <c r="BM138" s="7"/>
      <c r="BN138" s="7"/>
      <c r="BO138" s="4"/>
      <c r="BP138" s="8"/>
      <c r="BQ138" s="4"/>
      <c r="BR138" s="8"/>
      <c r="BS138" s="7"/>
      <c r="BT138" s="7"/>
      <c r="BU138" s="2" t="s">
        <v>1278</v>
      </c>
      <c r="BV138" s="2" t="s">
        <v>206</v>
      </c>
      <c r="BW138" s="2" t="s">
        <v>206</v>
      </c>
      <c r="BX138" s="2" t="s">
        <v>214</v>
      </c>
      <c r="BY138" s="2" t="s">
        <v>215</v>
      </c>
      <c r="BZ138" s="2" t="s">
        <v>203</v>
      </c>
      <c r="CA138" s="2" t="s">
        <v>1279</v>
      </c>
      <c r="CB138" s="2" t="s">
        <v>1280</v>
      </c>
      <c r="CC138" s="2" t="s">
        <v>218</v>
      </c>
      <c r="CD138" s="2" t="s">
        <v>206</v>
      </c>
      <c r="CE138" s="4">
        <v>303</v>
      </c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</row>
    <row r="139">
      <c r="A139" s="2" t="s">
        <v>1281</v>
      </c>
      <c r="B139" s="2" t="s">
        <v>800</v>
      </c>
      <c r="C139" s="2" t="s">
        <v>462</v>
      </c>
      <c r="D139" s="2" t="s">
        <v>1267</v>
      </c>
      <c r="E139" s="2" t="s">
        <v>1268</v>
      </c>
      <c r="F139" s="2" t="s">
        <v>1247</v>
      </c>
      <c r="G139" s="2" t="s">
        <v>1247</v>
      </c>
      <c r="H139" s="2" t="s">
        <v>1247</v>
      </c>
      <c r="I139" s="2" t="s">
        <v>1268</v>
      </c>
      <c r="J139" s="2" t="s">
        <v>201</v>
      </c>
      <c r="K139" s="2" t="s">
        <v>353</v>
      </c>
      <c r="L139" s="3">
        <v>30.35</v>
      </c>
      <c r="M139" s="3">
        <v>31.87</v>
      </c>
      <c r="N139" s="3">
        <v>65.99</v>
      </c>
      <c r="O139" s="2" t="s">
        <v>203</v>
      </c>
      <c r="P139" s="2" t="s">
        <v>204</v>
      </c>
      <c r="Q139" s="2" t="s">
        <v>205</v>
      </c>
      <c r="R139" s="2" t="s">
        <v>206</v>
      </c>
      <c r="S139" s="2" t="s">
        <v>1282</v>
      </c>
      <c r="T139" s="2" t="s">
        <v>1251</v>
      </c>
      <c r="U139" s="2" t="s">
        <v>206</v>
      </c>
      <c r="V139" s="2" t="s">
        <v>209</v>
      </c>
      <c r="W139" s="2" t="s">
        <v>210</v>
      </c>
      <c r="X139" s="2" t="s">
        <v>786</v>
      </c>
      <c r="Y139" s="2" t="s">
        <v>211</v>
      </c>
      <c r="Z139" s="4">
        <v>172</v>
      </c>
      <c r="AA139" s="4">
        <f>=ROUNDDOWN(57.3333333333333,0)</f>
      </c>
      <c r="AB139" s="5">
        <v>3</v>
      </c>
      <c r="AC139" s="2" t="s">
        <v>318</v>
      </c>
      <c r="AD139" s="4">
        <v>30</v>
      </c>
      <c r="AE139" s="4">
        <v>30</v>
      </c>
      <c r="AF139" s="6">
        <v>64</v>
      </c>
      <c r="AG139" s="6"/>
      <c r="AH139" s="7">
        <v>1</v>
      </c>
      <c r="AI139" s="4"/>
      <c r="AJ139" s="4">
        <f>=ROUNDDOWN({0},0)</f>
      </c>
      <c r="AK139" s="5"/>
      <c r="AL139" s="2" t="s">
        <v>206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206</v>
      </c>
      <c r="AW139" s="8" t="s">
        <v>206</v>
      </c>
      <c r="AX139" s="4" t="s">
        <v>206</v>
      </c>
      <c r="AY139" s="8" t="s">
        <v>206</v>
      </c>
      <c r="AZ139" s="7" t="s">
        <v>206</v>
      </c>
      <c r="BA139" s="7" t="s">
        <v>206</v>
      </c>
      <c r="BB139" s="7"/>
      <c r="BC139" s="4" t="s">
        <v>206</v>
      </c>
      <c r="BD139" s="8" t="s">
        <v>206</v>
      </c>
      <c r="BE139" s="4" t="s">
        <v>206</v>
      </c>
      <c r="BF139" s="8" t="s">
        <v>206</v>
      </c>
      <c r="BG139" s="7" t="s">
        <v>206</v>
      </c>
      <c r="BH139" s="7" t="s">
        <v>206</v>
      </c>
      <c r="BI139" s="7"/>
      <c r="BJ139" s="4">
        <v>16</v>
      </c>
      <c r="BK139" s="8">
        <v>545.93</v>
      </c>
      <c r="BL139" s="2" t="s">
        <v>1283</v>
      </c>
      <c r="BM139" s="7"/>
      <c r="BN139" s="7"/>
      <c r="BO139" s="4"/>
      <c r="BP139" s="8"/>
      <c r="BQ139" s="4"/>
      <c r="BR139" s="8"/>
      <c r="BS139" s="7"/>
      <c r="BT139" s="7"/>
      <c r="BU139" s="2" t="s">
        <v>1284</v>
      </c>
      <c r="BV139" s="2" t="s">
        <v>206</v>
      </c>
      <c r="BW139" s="2" t="s">
        <v>206</v>
      </c>
      <c r="BX139" s="2" t="s">
        <v>214</v>
      </c>
      <c r="BY139" s="2" t="s">
        <v>215</v>
      </c>
      <c r="BZ139" s="2" t="s">
        <v>203</v>
      </c>
      <c r="CA139" s="2" t="s">
        <v>216</v>
      </c>
      <c r="CB139" s="2" t="s">
        <v>1285</v>
      </c>
      <c r="CC139" s="2" t="s">
        <v>218</v>
      </c>
      <c r="CD139" s="2" t="s">
        <v>206</v>
      </c>
      <c r="CE139" s="4">
        <v>172</v>
      </c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>
        <v>30</v>
      </c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</row>
    <row r="140">
      <c r="A140" s="2" t="s">
        <v>1286</v>
      </c>
      <c r="B140" s="2" t="s">
        <v>800</v>
      </c>
      <c r="C140" s="2" t="s">
        <v>462</v>
      </c>
      <c r="D140" s="2" t="s">
        <v>1267</v>
      </c>
      <c r="E140" s="2" t="s">
        <v>1268</v>
      </c>
      <c r="F140" s="2" t="s">
        <v>1247</v>
      </c>
      <c r="G140" s="2" t="s">
        <v>1247</v>
      </c>
      <c r="H140" s="2" t="s">
        <v>1247</v>
      </c>
      <c r="I140" s="2" t="s">
        <v>1268</v>
      </c>
      <c r="J140" s="2" t="s">
        <v>593</v>
      </c>
      <c r="K140" s="2" t="s">
        <v>353</v>
      </c>
      <c r="L140" s="3">
        <v>36.18</v>
      </c>
      <c r="M140" s="3">
        <v>37.99</v>
      </c>
      <c r="N140" s="3">
        <v>76.99</v>
      </c>
      <c r="O140" s="2" t="s">
        <v>203</v>
      </c>
      <c r="P140" s="2" t="s">
        <v>204</v>
      </c>
      <c r="Q140" s="2" t="s">
        <v>205</v>
      </c>
      <c r="R140" s="2" t="s">
        <v>206</v>
      </c>
      <c r="S140" s="2" t="s">
        <v>1282</v>
      </c>
      <c r="T140" s="2" t="s">
        <v>1251</v>
      </c>
      <c r="U140" s="2" t="s">
        <v>206</v>
      </c>
      <c r="V140" s="2" t="s">
        <v>209</v>
      </c>
      <c r="W140" s="2" t="s">
        <v>210</v>
      </c>
      <c r="X140" s="2" t="s">
        <v>786</v>
      </c>
      <c r="Y140" s="2" t="s">
        <v>211</v>
      </c>
      <c r="Z140" s="4">
        <v>185</v>
      </c>
      <c r="AA140" s="4">
        <f>=ROUNDDOWN(20.5555555555556,0)</f>
      </c>
      <c r="AB140" s="5">
        <v>9</v>
      </c>
      <c r="AC140" s="2" t="s">
        <v>114</v>
      </c>
      <c r="AD140" s="4">
        <v>80</v>
      </c>
      <c r="AE140" s="4">
        <v>230</v>
      </c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206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206</v>
      </c>
      <c r="AW140" s="8" t="s">
        <v>206</v>
      </c>
      <c r="AX140" s="4" t="s">
        <v>206</v>
      </c>
      <c r="AY140" s="8" t="s">
        <v>206</v>
      </c>
      <c r="AZ140" s="7" t="s">
        <v>206</v>
      </c>
      <c r="BA140" s="7" t="s">
        <v>206</v>
      </c>
      <c r="BB140" s="7"/>
      <c r="BC140" s="4" t="s">
        <v>206</v>
      </c>
      <c r="BD140" s="8" t="s">
        <v>206</v>
      </c>
      <c r="BE140" s="4" t="s">
        <v>206</v>
      </c>
      <c r="BF140" s="8" t="s">
        <v>206</v>
      </c>
      <c r="BG140" s="7" t="s">
        <v>206</v>
      </c>
      <c r="BH140" s="7" t="s">
        <v>206</v>
      </c>
      <c r="BI140" s="7"/>
      <c r="BJ140" s="4">
        <v>56</v>
      </c>
      <c r="BK140" s="8">
        <v>2219.37</v>
      </c>
      <c r="BL140" s="2" t="s">
        <v>1287</v>
      </c>
      <c r="BM140" s="7"/>
      <c r="BN140" s="7"/>
      <c r="BO140" s="4"/>
      <c r="BP140" s="8"/>
      <c r="BQ140" s="4"/>
      <c r="BR140" s="8"/>
      <c r="BS140" s="7"/>
      <c r="BT140" s="7"/>
      <c r="BU140" s="2" t="s">
        <v>1288</v>
      </c>
      <c r="BV140" s="2" t="s">
        <v>206</v>
      </c>
      <c r="BW140" s="2" t="s">
        <v>206</v>
      </c>
      <c r="BX140" s="2" t="s">
        <v>214</v>
      </c>
      <c r="BY140" s="2" t="s">
        <v>215</v>
      </c>
      <c r="BZ140" s="2" t="s">
        <v>203</v>
      </c>
      <c r="CA140" s="2" t="s">
        <v>216</v>
      </c>
      <c r="CB140" s="2" t="s">
        <v>938</v>
      </c>
      <c r="CC140" s="2" t="s">
        <v>218</v>
      </c>
      <c r="CD140" s="2" t="s">
        <v>206</v>
      </c>
      <c r="CE140" s="4">
        <v>185</v>
      </c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>
        <v>80</v>
      </c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>
        <v>150</v>
      </c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</row>
    <row r="141">
      <c r="A141" s="2" t="s">
        <v>1289</v>
      </c>
      <c r="B141" s="2" t="s">
        <v>800</v>
      </c>
      <c r="C141" s="2" t="s">
        <v>462</v>
      </c>
      <c r="D141" s="2" t="s">
        <v>1245</v>
      </c>
      <c r="E141" s="2" t="s">
        <v>1246</v>
      </c>
      <c r="F141" s="2" t="s">
        <v>1247</v>
      </c>
      <c r="G141" s="2" t="s">
        <v>1247</v>
      </c>
      <c r="H141" s="2" t="s">
        <v>1247</v>
      </c>
      <c r="I141" s="2" t="s">
        <v>1248</v>
      </c>
      <c r="J141" s="2" t="s">
        <v>1249</v>
      </c>
      <c r="K141" s="2" t="s">
        <v>353</v>
      </c>
      <c r="L141" s="3">
        <v>18.4</v>
      </c>
      <c r="M141" s="3">
        <v>19.32</v>
      </c>
      <c r="N141" s="3">
        <v>39.99</v>
      </c>
      <c r="O141" s="2" t="s">
        <v>203</v>
      </c>
      <c r="P141" s="2" t="s">
        <v>204</v>
      </c>
      <c r="Q141" s="2" t="s">
        <v>205</v>
      </c>
      <c r="R141" s="2" t="s">
        <v>206</v>
      </c>
      <c r="S141" s="2" t="s">
        <v>1282</v>
      </c>
      <c r="T141" s="2" t="s">
        <v>1251</v>
      </c>
      <c r="U141" s="2" t="s">
        <v>437</v>
      </c>
      <c r="V141" s="2" t="s">
        <v>209</v>
      </c>
      <c r="W141" s="2" t="s">
        <v>210</v>
      </c>
      <c r="X141" s="2" t="s">
        <v>786</v>
      </c>
      <c r="Y141" s="2" t="s">
        <v>211</v>
      </c>
      <c r="Z141" s="4">
        <v>405</v>
      </c>
      <c r="AA141" s="4">
        <f>=ROUNDDOWN(57.8571428571429,0)</f>
      </c>
      <c r="AB141" s="5">
        <v>7</v>
      </c>
      <c r="AC141" s="2" t="s">
        <v>206</v>
      </c>
      <c r="AD141" s="4"/>
      <c r="AE141" s="4"/>
      <c r="AF141" s="6">
        <v>64</v>
      </c>
      <c r="AG141" s="6"/>
      <c r="AH141" s="7">
        <v>1</v>
      </c>
      <c r="AI141" s="4"/>
      <c r="AJ141" s="4">
        <f>=ROUNDDOWN({0},0)</f>
      </c>
      <c r="AK141" s="5"/>
      <c r="AL141" s="2" t="s">
        <v>206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206</v>
      </c>
      <c r="AW141" s="8" t="s">
        <v>206</v>
      </c>
      <c r="AX141" s="4" t="s">
        <v>206</v>
      </c>
      <c r="AY141" s="8" t="s">
        <v>206</v>
      </c>
      <c r="AZ141" s="7" t="s">
        <v>206</v>
      </c>
      <c r="BA141" s="7" t="s">
        <v>206</v>
      </c>
      <c r="BB141" s="7"/>
      <c r="BC141" s="4" t="s">
        <v>206</v>
      </c>
      <c r="BD141" s="8" t="s">
        <v>206</v>
      </c>
      <c r="BE141" s="4" t="s">
        <v>206</v>
      </c>
      <c r="BF141" s="8" t="s">
        <v>206</v>
      </c>
      <c r="BG141" s="7" t="s">
        <v>206</v>
      </c>
      <c r="BH141" s="7" t="s">
        <v>206</v>
      </c>
      <c r="BI141" s="7"/>
      <c r="BJ141" s="4">
        <v>48</v>
      </c>
      <c r="BK141" s="8">
        <v>919.45</v>
      </c>
      <c r="BL141" s="2" t="s">
        <v>1290</v>
      </c>
      <c r="BM141" s="7"/>
      <c r="BN141" s="7"/>
      <c r="BO141" s="4"/>
      <c r="BP141" s="8"/>
      <c r="BQ141" s="4"/>
      <c r="BR141" s="8"/>
      <c r="BS141" s="7"/>
      <c r="BT141" s="7"/>
      <c r="BU141" s="2" t="s">
        <v>1291</v>
      </c>
      <c r="BV141" s="2" t="s">
        <v>206</v>
      </c>
      <c r="BW141" s="2" t="s">
        <v>206</v>
      </c>
      <c r="BX141" s="2" t="s">
        <v>214</v>
      </c>
      <c r="BY141" s="2" t="s">
        <v>215</v>
      </c>
      <c r="BZ141" s="2" t="s">
        <v>203</v>
      </c>
      <c r="CA141" s="2" t="s">
        <v>1292</v>
      </c>
      <c r="CB141" s="2" t="s">
        <v>1293</v>
      </c>
      <c r="CC141" s="2" t="s">
        <v>218</v>
      </c>
      <c r="CD141" s="2" t="s">
        <v>206</v>
      </c>
      <c r="CE141" s="4">
        <v>405</v>
      </c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</row>
    <row r="142">
      <c r="A142" s="2" t="s">
        <v>1294</v>
      </c>
      <c r="B142" s="2" t="s">
        <v>800</v>
      </c>
      <c r="C142" s="2" t="s">
        <v>462</v>
      </c>
      <c r="D142" s="2" t="s">
        <v>1267</v>
      </c>
      <c r="E142" s="2" t="s">
        <v>1268</v>
      </c>
      <c r="F142" s="2" t="s">
        <v>1247</v>
      </c>
      <c r="G142" s="2" t="s">
        <v>1247</v>
      </c>
      <c r="H142" s="2" t="s">
        <v>1247</v>
      </c>
      <c r="I142" s="2" t="s">
        <v>1268</v>
      </c>
      <c r="J142" s="2" t="s">
        <v>201</v>
      </c>
      <c r="K142" s="2" t="s">
        <v>1295</v>
      </c>
      <c r="L142" s="3">
        <v>30.35</v>
      </c>
      <c r="M142" s="3">
        <v>31.87</v>
      </c>
      <c r="N142" s="3">
        <v>65.99</v>
      </c>
      <c r="O142" s="2" t="s">
        <v>203</v>
      </c>
      <c r="P142" s="2" t="s">
        <v>204</v>
      </c>
      <c r="Q142" s="2" t="s">
        <v>205</v>
      </c>
      <c r="R142" s="2" t="s">
        <v>206</v>
      </c>
      <c r="S142" s="2" t="s">
        <v>1296</v>
      </c>
      <c r="T142" s="2" t="s">
        <v>1251</v>
      </c>
      <c r="U142" s="2" t="s">
        <v>437</v>
      </c>
      <c r="V142" s="2" t="s">
        <v>209</v>
      </c>
      <c r="W142" s="2" t="s">
        <v>210</v>
      </c>
      <c r="X142" s="2" t="s">
        <v>786</v>
      </c>
      <c r="Y142" s="2" t="s">
        <v>718</v>
      </c>
      <c r="Z142" s="4">
        <v>178</v>
      </c>
      <c r="AA142" s="4">
        <f>=ROUNDDOWN(44.5,0)</f>
      </c>
      <c r="AB142" s="5">
        <v>4</v>
      </c>
      <c r="AC142" s="2" t="s">
        <v>206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206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206</v>
      </c>
      <c r="AW142" s="8" t="s">
        <v>206</v>
      </c>
      <c r="AX142" s="4" t="s">
        <v>206</v>
      </c>
      <c r="AY142" s="8" t="s">
        <v>206</v>
      </c>
      <c r="AZ142" s="7" t="s">
        <v>206</v>
      </c>
      <c r="BA142" s="7" t="s">
        <v>206</v>
      </c>
      <c r="BB142" s="7"/>
      <c r="BC142" s="4" t="s">
        <v>206</v>
      </c>
      <c r="BD142" s="8" t="s">
        <v>206</v>
      </c>
      <c r="BE142" s="4" t="s">
        <v>206</v>
      </c>
      <c r="BF142" s="8" t="s">
        <v>206</v>
      </c>
      <c r="BG142" s="7" t="s">
        <v>206</v>
      </c>
      <c r="BH142" s="7" t="s">
        <v>206</v>
      </c>
      <c r="BI142" s="7"/>
      <c r="BJ142" s="4">
        <v>11</v>
      </c>
      <c r="BK142" s="8">
        <v>362.93</v>
      </c>
      <c r="BL142" s="2" t="s">
        <v>1297</v>
      </c>
      <c r="BM142" s="7"/>
      <c r="BN142" s="7"/>
      <c r="BO142" s="4"/>
      <c r="BP142" s="8"/>
      <c r="BQ142" s="4"/>
      <c r="BR142" s="8"/>
      <c r="BS142" s="7"/>
      <c r="BT142" s="7"/>
      <c r="BU142" s="2" t="s">
        <v>1298</v>
      </c>
      <c r="BV142" s="2" t="s">
        <v>206</v>
      </c>
      <c r="BW142" s="2" t="s">
        <v>206</v>
      </c>
      <c r="BX142" s="2" t="s">
        <v>214</v>
      </c>
      <c r="BY142" s="2" t="s">
        <v>215</v>
      </c>
      <c r="BZ142" s="2" t="s">
        <v>203</v>
      </c>
      <c r="CA142" s="2" t="s">
        <v>1299</v>
      </c>
      <c r="CB142" s="2" t="s">
        <v>1300</v>
      </c>
      <c r="CC142" s="2" t="s">
        <v>218</v>
      </c>
      <c r="CD142" s="2" t="s">
        <v>206</v>
      </c>
      <c r="CE142" s="4">
        <v>178</v>
      </c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</row>
    <row r="143">
      <c r="A143" s="2" t="s">
        <v>1301</v>
      </c>
      <c r="B143" s="2" t="s">
        <v>800</v>
      </c>
      <c r="C143" s="2" t="s">
        <v>462</v>
      </c>
      <c r="D143" s="2" t="s">
        <v>1267</v>
      </c>
      <c r="E143" s="2" t="s">
        <v>1268</v>
      </c>
      <c r="F143" s="2" t="s">
        <v>1247</v>
      </c>
      <c r="G143" s="2" t="s">
        <v>1247</v>
      </c>
      <c r="H143" s="2" t="s">
        <v>1247</v>
      </c>
      <c r="I143" s="2" t="s">
        <v>1268</v>
      </c>
      <c r="J143" s="2" t="s">
        <v>593</v>
      </c>
      <c r="K143" s="2" t="s">
        <v>1295</v>
      </c>
      <c r="L143" s="3">
        <v>36.18</v>
      </c>
      <c r="M143" s="3">
        <v>37.99</v>
      </c>
      <c r="N143" s="3">
        <v>76.99</v>
      </c>
      <c r="O143" s="2" t="s">
        <v>203</v>
      </c>
      <c r="P143" s="2" t="s">
        <v>204</v>
      </c>
      <c r="Q143" s="2" t="s">
        <v>205</v>
      </c>
      <c r="R143" s="2" t="s">
        <v>206</v>
      </c>
      <c r="S143" s="2" t="s">
        <v>1296</v>
      </c>
      <c r="T143" s="2" t="s">
        <v>1251</v>
      </c>
      <c r="U143" s="2" t="s">
        <v>437</v>
      </c>
      <c r="V143" s="2" t="s">
        <v>209</v>
      </c>
      <c r="W143" s="2" t="s">
        <v>210</v>
      </c>
      <c r="X143" s="2" t="s">
        <v>786</v>
      </c>
      <c r="Y143" s="2" t="s">
        <v>718</v>
      </c>
      <c r="Z143" s="4">
        <v>221</v>
      </c>
      <c r="AA143" s="4">
        <f>=ROUNDDOWN(55.25,0)</f>
      </c>
      <c r="AB143" s="5">
        <v>4</v>
      </c>
      <c r="AC143" s="2" t="s">
        <v>206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206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206</v>
      </c>
      <c r="AW143" s="8" t="s">
        <v>206</v>
      </c>
      <c r="AX143" s="4" t="s">
        <v>206</v>
      </c>
      <c r="AY143" s="8" t="s">
        <v>206</v>
      </c>
      <c r="AZ143" s="7" t="s">
        <v>206</v>
      </c>
      <c r="BA143" s="7" t="s">
        <v>206</v>
      </c>
      <c r="BB143" s="7"/>
      <c r="BC143" s="4" t="s">
        <v>206</v>
      </c>
      <c r="BD143" s="8" t="s">
        <v>206</v>
      </c>
      <c r="BE143" s="4" t="s">
        <v>206</v>
      </c>
      <c r="BF143" s="8" t="s">
        <v>206</v>
      </c>
      <c r="BG143" s="7" t="s">
        <v>206</v>
      </c>
      <c r="BH143" s="7" t="s">
        <v>206</v>
      </c>
      <c r="BI143" s="7"/>
      <c r="BJ143" s="4">
        <v>9</v>
      </c>
      <c r="BK143" s="8">
        <v>353.34</v>
      </c>
      <c r="BL143" s="2" t="s">
        <v>1302</v>
      </c>
      <c r="BM143" s="7"/>
      <c r="BN143" s="7"/>
      <c r="BO143" s="4"/>
      <c r="BP143" s="8"/>
      <c r="BQ143" s="4"/>
      <c r="BR143" s="8"/>
      <c r="BS143" s="7"/>
      <c r="BT143" s="7"/>
      <c r="BU143" s="2" t="s">
        <v>1303</v>
      </c>
      <c r="BV143" s="2" t="s">
        <v>206</v>
      </c>
      <c r="BW143" s="2" t="s">
        <v>206</v>
      </c>
      <c r="BX143" s="2" t="s">
        <v>214</v>
      </c>
      <c r="BY143" s="2" t="s">
        <v>215</v>
      </c>
      <c r="BZ143" s="2" t="s">
        <v>203</v>
      </c>
      <c r="CA143" s="2" t="s">
        <v>1299</v>
      </c>
      <c r="CB143" s="2" t="s">
        <v>1304</v>
      </c>
      <c r="CC143" s="2" t="s">
        <v>218</v>
      </c>
      <c r="CD143" s="2" t="s">
        <v>206</v>
      </c>
      <c r="CE143" s="4">
        <v>221</v>
      </c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</row>
    <row r="144">
      <c r="A144" s="2" t="s">
        <v>1305</v>
      </c>
      <c r="B144" s="2" t="s">
        <v>800</v>
      </c>
      <c r="C144" s="2" t="s">
        <v>462</v>
      </c>
      <c r="D144" s="2" t="s">
        <v>1245</v>
      </c>
      <c r="E144" s="2" t="s">
        <v>1246</v>
      </c>
      <c r="F144" s="2" t="s">
        <v>1247</v>
      </c>
      <c r="G144" s="2" t="s">
        <v>1247</v>
      </c>
      <c r="H144" s="2" t="s">
        <v>1247</v>
      </c>
      <c r="I144" s="2" t="s">
        <v>1306</v>
      </c>
      <c r="J144" s="2" t="s">
        <v>1307</v>
      </c>
      <c r="K144" s="2" t="s">
        <v>1295</v>
      </c>
      <c r="L144" s="3">
        <v>10.58</v>
      </c>
      <c r="M144" s="3">
        <v>11.11</v>
      </c>
      <c r="N144" s="3">
        <v>22.99</v>
      </c>
      <c r="O144" s="2" t="s">
        <v>203</v>
      </c>
      <c r="P144" s="2" t="s">
        <v>204</v>
      </c>
      <c r="Q144" s="2" t="s">
        <v>205</v>
      </c>
      <c r="R144" s="2" t="s">
        <v>206</v>
      </c>
      <c r="S144" s="2" t="s">
        <v>1296</v>
      </c>
      <c r="T144" s="2" t="s">
        <v>1251</v>
      </c>
      <c r="U144" s="2" t="s">
        <v>437</v>
      </c>
      <c r="V144" s="2" t="s">
        <v>209</v>
      </c>
      <c r="W144" s="2" t="s">
        <v>210</v>
      </c>
      <c r="X144" s="2" t="s">
        <v>786</v>
      </c>
      <c r="Y144" s="2" t="s">
        <v>718</v>
      </c>
      <c r="Z144" s="4">
        <v>294</v>
      </c>
      <c r="AA144" s="4">
        <f>=ROUNDDOWN(210,0)</f>
      </c>
      <c r="AB144" s="5">
        <v>1.4</v>
      </c>
      <c r="AC144" s="2" t="s">
        <v>206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206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206</v>
      </c>
      <c r="AW144" s="8" t="s">
        <v>206</v>
      </c>
      <c r="AX144" s="4" t="s">
        <v>206</v>
      </c>
      <c r="AY144" s="8" t="s">
        <v>206</v>
      </c>
      <c r="AZ144" s="7" t="s">
        <v>206</v>
      </c>
      <c r="BA144" s="7" t="s">
        <v>206</v>
      </c>
      <c r="BB144" s="7"/>
      <c r="BC144" s="4" t="s">
        <v>206</v>
      </c>
      <c r="BD144" s="8" t="s">
        <v>206</v>
      </c>
      <c r="BE144" s="4" t="s">
        <v>206</v>
      </c>
      <c r="BF144" s="8" t="s">
        <v>206</v>
      </c>
      <c r="BG144" s="7" t="s">
        <v>206</v>
      </c>
      <c r="BH144" s="7" t="s">
        <v>206</v>
      </c>
      <c r="BI144" s="7"/>
      <c r="BJ144" s="4">
        <v>13</v>
      </c>
      <c r="BK144" s="8">
        <v>155.1</v>
      </c>
      <c r="BL144" s="2" t="s">
        <v>1308</v>
      </c>
      <c r="BM144" s="7"/>
      <c r="BN144" s="7"/>
      <c r="BO144" s="4"/>
      <c r="BP144" s="8"/>
      <c r="BQ144" s="4"/>
      <c r="BR144" s="8"/>
      <c r="BS144" s="7"/>
      <c r="BT144" s="7"/>
      <c r="BU144" s="2" t="s">
        <v>1309</v>
      </c>
      <c r="BV144" s="2" t="s">
        <v>206</v>
      </c>
      <c r="BW144" s="2" t="s">
        <v>206</v>
      </c>
      <c r="BX144" s="2" t="s">
        <v>214</v>
      </c>
      <c r="BY144" s="2" t="s">
        <v>215</v>
      </c>
      <c r="BZ144" s="2" t="s">
        <v>203</v>
      </c>
      <c r="CA144" s="2" t="s">
        <v>1254</v>
      </c>
      <c r="CB144" s="2" t="s">
        <v>1310</v>
      </c>
      <c r="CC144" s="2" t="s">
        <v>218</v>
      </c>
      <c r="CD144" s="2" t="s">
        <v>206</v>
      </c>
      <c r="CE144" s="4">
        <v>294</v>
      </c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</row>
    <row r="145">
      <c r="A145" s="2" t="s">
        <v>1311</v>
      </c>
      <c r="B145" s="2" t="s">
        <v>800</v>
      </c>
      <c r="C145" s="2" t="s">
        <v>462</v>
      </c>
      <c r="D145" s="2" t="s">
        <v>1245</v>
      </c>
      <c r="E145" s="2" t="s">
        <v>1246</v>
      </c>
      <c r="F145" s="2" t="s">
        <v>1247</v>
      </c>
      <c r="G145" s="2" t="s">
        <v>1247</v>
      </c>
      <c r="H145" s="2" t="s">
        <v>1247</v>
      </c>
      <c r="I145" s="2" t="s">
        <v>1248</v>
      </c>
      <c r="J145" s="2" t="s">
        <v>1249</v>
      </c>
      <c r="K145" s="2" t="s">
        <v>1295</v>
      </c>
      <c r="L145" s="3">
        <v>18.4</v>
      </c>
      <c r="M145" s="3">
        <v>19.32</v>
      </c>
      <c r="N145" s="3">
        <v>39.99</v>
      </c>
      <c r="O145" s="2" t="s">
        <v>203</v>
      </c>
      <c r="P145" s="2" t="s">
        <v>204</v>
      </c>
      <c r="Q145" s="2" t="s">
        <v>205</v>
      </c>
      <c r="R145" s="2" t="s">
        <v>206</v>
      </c>
      <c r="S145" s="2" t="s">
        <v>1296</v>
      </c>
      <c r="T145" s="2" t="s">
        <v>1251</v>
      </c>
      <c r="U145" s="2" t="s">
        <v>437</v>
      </c>
      <c r="V145" s="2" t="s">
        <v>209</v>
      </c>
      <c r="W145" s="2" t="s">
        <v>210</v>
      </c>
      <c r="X145" s="2" t="s">
        <v>786</v>
      </c>
      <c r="Y145" s="2" t="s">
        <v>718</v>
      </c>
      <c r="Z145" s="4">
        <v>157</v>
      </c>
      <c r="AA145" s="4">
        <f>=ROUNDDOWN(52.3333333333333,0)</f>
      </c>
      <c r="AB145" s="5">
        <v>3</v>
      </c>
      <c r="AC145" s="2" t="s">
        <v>206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206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206</v>
      </c>
      <c r="AW145" s="8" t="s">
        <v>206</v>
      </c>
      <c r="AX145" s="4" t="s">
        <v>206</v>
      </c>
      <c r="AY145" s="8" t="s">
        <v>206</v>
      </c>
      <c r="AZ145" s="7" t="s">
        <v>206</v>
      </c>
      <c r="BA145" s="7" t="s">
        <v>206</v>
      </c>
      <c r="BB145" s="7"/>
      <c r="BC145" s="4" t="s">
        <v>206</v>
      </c>
      <c r="BD145" s="8" t="s">
        <v>206</v>
      </c>
      <c r="BE145" s="4" t="s">
        <v>206</v>
      </c>
      <c r="BF145" s="8" t="s">
        <v>206</v>
      </c>
      <c r="BG145" s="7" t="s">
        <v>206</v>
      </c>
      <c r="BH145" s="7" t="s">
        <v>206</v>
      </c>
      <c r="BI145" s="7"/>
      <c r="BJ145" s="4">
        <v>16</v>
      </c>
      <c r="BK145" s="8">
        <v>300.94</v>
      </c>
      <c r="BL145" s="2" t="s">
        <v>1312</v>
      </c>
      <c r="BM145" s="7"/>
      <c r="BN145" s="7"/>
      <c r="BO145" s="4"/>
      <c r="BP145" s="8"/>
      <c r="BQ145" s="4"/>
      <c r="BR145" s="8"/>
      <c r="BS145" s="7"/>
      <c r="BT145" s="7"/>
      <c r="BU145" s="2" t="s">
        <v>1313</v>
      </c>
      <c r="BV145" s="2" t="s">
        <v>206</v>
      </c>
      <c r="BW145" s="2" t="s">
        <v>206</v>
      </c>
      <c r="BX145" s="2" t="s">
        <v>214</v>
      </c>
      <c r="BY145" s="2" t="s">
        <v>215</v>
      </c>
      <c r="BZ145" s="2" t="s">
        <v>203</v>
      </c>
      <c r="CA145" s="2" t="s">
        <v>1254</v>
      </c>
      <c r="CB145" s="2" t="s">
        <v>1314</v>
      </c>
      <c r="CC145" s="2" t="s">
        <v>218</v>
      </c>
      <c r="CD145" s="2" t="s">
        <v>206</v>
      </c>
      <c r="CE145" s="4">
        <v>157</v>
      </c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</row>
    <row r="146">
      <c r="A146" s="2" t="s">
        <v>1315</v>
      </c>
      <c r="B146" s="2" t="s">
        <v>546</v>
      </c>
      <c r="C146" s="2" t="s">
        <v>1316</v>
      </c>
      <c r="D146" s="2" t="s">
        <v>548</v>
      </c>
      <c r="E146" s="2" t="s">
        <v>549</v>
      </c>
      <c r="F146" s="2" t="s">
        <v>1317</v>
      </c>
      <c r="G146" s="2" t="s">
        <v>1318</v>
      </c>
      <c r="H146" s="2" t="s">
        <v>1319</v>
      </c>
      <c r="I146" s="2" t="s">
        <v>1320</v>
      </c>
      <c r="J146" s="2" t="s">
        <v>821</v>
      </c>
      <c r="K146" s="2" t="s">
        <v>262</v>
      </c>
      <c r="L146" s="3">
        <v>46.53</v>
      </c>
      <c r="M146" s="3">
        <v>48.86</v>
      </c>
      <c r="N146" s="3">
        <v>89.99</v>
      </c>
      <c r="O146" s="2" t="s">
        <v>203</v>
      </c>
      <c r="P146" s="2" t="s">
        <v>204</v>
      </c>
      <c r="Q146" s="2" t="s">
        <v>205</v>
      </c>
      <c r="R146" s="2" t="s">
        <v>206</v>
      </c>
      <c r="S146" s="2" t="s">
        <v>1321</v>
      </c>
      <c r="T146" s="2" t="s">
        <v>234</v>
      </c>
      <c r="U146" s="2" t="s">
        <v>1177</v>
      </c>
      <c r="V146" s="2" t="s">
        <v>209</v>
      </c>
      <c r="W146" s="2" t="s">
        <v>1322</v>
      </c>
      <c r="X146" s="2" t="s">
        <v>1323</v>
      </c>
      <c r="Y146" s="2" t="s">
        <v>1324</v>
      </c>
      <c r="Z146" s="4">
        <v>162</v>
      </c>
      <c r="AA146" s="4">
        <f>=ROUNDDOWN(54,0)</f>
      </c>
      <c r="AB146" s="5">
        <v>3</v>
      </c>
      <c r="AC146" s="2" t="s">
        <v>206</v>
      </c>
      <c r="AD146" s="4"/>
      <c r="AE146" s="4"/>
      <c r="AF146" s="6">
        <v>66</v>
      </c>
      <c r="AG146" s="6"/>
      <c r="AH146" s="7">
        <v>1</v>
      </c>
      <c r="AI146" s="4"/>
      <c r="AJ146" s="4">
        <f>=ROUNDDOWN({0},0)</f>
      </c>
      <c r="AK146" s="5"/>
      <c r="AL146" s="2" t="s">
        <v>206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206</v>
      </c>
      <c r="AW146" s="8" t="s">
        <v>206</v>
      </c>
      <c r="AX146" s="4" t="s">
        <v>206</v>
      </c>
      <c r="AY146" s="8" t="s">
        <v>206</v>
      </c>
      <c r="AZ146" s="7" t="s">
        <v>206</v>
      </c>
      <c r="BA146" s="7" t="s">
        <v>206</v>
      </c>
      <c r="BB146" s="7"/>
      <c r="BC146" s="4" t="s">
        <v>206</v>
      </c>
      <c r="BD146" s="8" t="s">
        <v>206</v>
      </c>
      <c r="BE146" s="4" t="s">
        <v>206</v>
      </c>
      <c r="BF146" s="8" t="s">
        <v>206</v>
      </c>
      <c r="BG146" s="7" t="s">
        <v>206</v>
      </c>
      <c r="BH146" s="7" t="s">
        <v>206</v>
      </c>
      <c r="BI146" s="7"/>
      <c r="BJ146" s="4">
        <v>2</v>
      </c>
      <c r="BK146" s="8">
        <v>87.96</v>
      </c>
      <c r="BL146" s="2" t="s">
        <v>1325</v>
      </c>
      <c r="BM146" s="7"/>
      <c r="BN146" s="7"/>
      <c r="BO146" s="4"/>
      <c r="BP146" s="8"/>
      <c r="BQ146" s="4"/>
      <c r="BR146" s="8"/>
      <c r="BS146" s="7"/>
      <c r="BT146" s="7"/>
      <c r="BU146" s="2" t="s">
        <v>1326</v>
      </c>
      <c r="BV146" s="2" t="s">
        <v>206</v>
      </c>
      <c r="BW146" s="2" t="s">
        <v>206</v>
      </c>
      <c r="BX146" s="2" t="s">
        <v>426</v>
      </c>
      <c r="BY146" s="2" t="s">
        <v>215</v>
      </c>
      <c r="BZ146" s="2" t="s">
        <v>203</v>
      </c>
      <c r="CA146" s="2" t="s">
        <v>1327</v>
      </c>
      <c r="CB146" s="2" t="s">
        <v>1328</v>
      </c>
      <c r="CC146" s="2" t="s">
        <v>218</v>
      </c>
      <c r="CD146" s="2" t="s">
        <v>206</v>
      </c>
      <c r="CE146" s="4">
        <v>162</v>
      </c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</row>
    <row r="147">
      <c r="A147" s="2" t="s">
        <v>1329</v>
      </c>
      <c r="B147" s="2" t="s">
        <v>546</v>
      </c>
      <c r="C147" s="2" t="s">
        <v>1316</v>
      </c>
      <c r="D147" s="2" t="s">
        <v>548</v>
      </c>
      <c r="E147" s="2" t="s">
        <v>549</v>
      </c>
      <c r="F147" s="2" t="s">
        <v>1317</v>
      </c>
      <c r="G147" s="2" t="s">
        <v>1318</v>
      </c>
      <c r="H147" s="2" t="s">
        <v>1319</v>
      </c>
      <c r="I147" s="2" t="s">
        <v>1320</v>
      </c>
      <c r="J147" s="2" t="s">
        <v>582</v>
      </c>
      <c r="K147" s="2" t="s">
        <v>262</v>
      </c>
      <c r="L147" s="3">
        <v>72</v>
      </c>
      <c r="M147" s="3">
        <v>75.6</v>
      </c>
      <c r="N147" s="3">
        <v>139.99</v>
      </c>
      <c r="O147" s="2" t="s">
        <v>203</v>
      </c>
      <c r="P147" s="2" t="s">
        <v>204</v>
      </c>
      <c r="Q147" s="2" t="s">
        <v>205</v>
      </c>
      <c r="R147" s="2" t="s">
        <v>206</v>
      </c>
      <c r="S147" s="2" t="s">
        <v>1321</v>
      </c>
      <c r="T147" s="2" t="s">
        <v>234</v>
      </c>
      <c r="U147" s="2" t="s">
        <v>537</v>
      </c>
      <c r="V147" s="2" t="s">
        <v>209</v>
      </c>
      <c r="W147" s="2" t="s">
        <v>1322</v>
      </c>
      <c r="X147" s="2" t="s">
        <v>1323</v>
      </c>
      <c r="Y147" s="2" t="s">
        <v>1324</v>
      </c>
      <c r="Z147" s="4">
        <v>107</v>
      </c>
      <c r="AA147" s="4">
        <f>=ROUNDDOWN(53.5,0)</f>
      </c>
      <c r="AB147" s="5">
        <v>2</v>
      </c>
      <c r="AC147" s="2" t="s">
        <v>206</v>
      </c>
      <c r="AD147" s="4"/>
      <c r="AE147" s="4"/>
      <c r="AF147" s="6">
        <v>66</v>
      </c>
      <c r="AG147" s="6"/>
      <c r="AH147" s="7">
        <v>1</v>
      </c>
      <c r="AI147" s="4"/>
      <c r="AJ147" s="4">
        <f>=ROUNDDOWN({0},0)</f>
      </c>
      <c r="AK147" s="5"/>
      <c r="AL147" s="2" t="s">
        <v>206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206</v>
      </c>
      <c r="AW147" s="8" t="s">
        <v>206</v>
      </c>
      <c r="AX147" s="4" t="s">
        <v>206</v>
      </c>
      <c r="AY147" s="8" t="s">
        <v>206</v>
      </c>
      <c r="AZ147" s="7" t="s">
        <v>206</v>
      </c>
      <c r="BA147" s="7" t="s">
        <v>206</v>
      </c>
      <c r="BB147" s="7"/>
      <c r="BC147" s="4" t="s">
        <v>206</v>
      </c>
      <c r="BD147" s="8" t="s">
        <v>206</v>
      </c>
      <c r="BE147" s="4" t="s">
        <v>206</v>
      </c>
      <c r="BF147" s="8" t="s">
        <v>206</v>
      </c>
      <c r="BG147" s="7" t="s">
        <v>206</v>
      </c>
      <c r="BH147" s="7" t="s">
        <v>206</v>
      </c>
      <c r="BI147" s="7"/>
      <c r="BJ147" s="4">
        <v>2</v>
      </c>
      <c r="BK147" s="8">
        <v>147.42</v>
      </c>
      <c r="BL147" s="2" t="s">
        <v>1297</v>
      </c>
      <c r="BM147" s="7"/>
      <c r="BN147" s="7"/>
      <c r="BO147" s="4"/>
      <c r="BP147" s="8"/>
      <c r="BQ147" s="4"/>
      <c r="BR147" s="8"/>
      <c r="BS147" s="7"/>
      <c r="BT147" s="7"/>
      <c r="BU147" s="2" t="s">
        <v>1330</v>
      </c>
      <c r="BV147" s="2" t="s">
        <v>206</v>
      </c>
      <c r="BW147" s="2" t="s">
        <v>206</v>
      </c>
      <c r="BX147" s="2" t="s">
        <v>426</v>
      </c>
      <c r="BY147" s="2" t="s">
        <v>215</v>
      </c>
      <c r="BZ147" s="2" t="s">
        <v>203</v>
      </c>
      <c r="CA147" s="2" t="s">
        <v>1327</v>
      </c>
      <c r="CB147" s="2" t="s">
        <v>1331</v>
      </c>
      <c r="CC147" s="2" t="s">
        <v>218</v>
      </c>
      <c r="CD147" s="2" t="s">
        <v>206</v>
      </c>
      <c r="CE147" s="4">
        <v>107</v>
      </c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</row>
    <row r="148">
      <c r="A148" s="2" t="s">
        <v>1332</v>
      </c>
      <c r="B148" s="2" t="s">
        <v>546</v>
      </c>
      <c r="C148" s="2" t="s">
        <v>1316</v>
      </c>
      <c r="D148" s="2" t="s">
        <v>548</v>
      </c>
      <c r="E148" s="2" t="s">
        <v>549</v>
      </c>
      <c r="F148" s="2" t="s">
        <v>1317</v>
      </c>
      <c r="G148" s="2" t="s">
        <v>1318</v>
      </c>
      <c r="H148" s="2" t="s">
        <v>1319</v>
      </c>
      <c r="I148" s="2" t="s">
        <v>1320</v>
      </c>
      <c r="J148" s="2" t="s">
        <v>821</v>
      </c>
      <c r="K148" s="2" t="s">
        <v>1049</v>
      </c>
      <c r="L148" s="3">
        <v>46.53</v>
      </c>
      <c r="M148" s="3">
        <v>48.86</v>
      </c>
      <c r="N148" s="3">
        <v>89.99</v>
      </c>
      <c r="O148" s="2" t="s">
        <v>203</v>
      </c>
      <c r="P148" s="2" t="s">
        <v>204</v>
      </c>
      <c r="Q148" s="2" t="s">
        <v>205</v>
      </c>
      <c r="R148" s="2" t="s">
        <v>206</v>
      </c>
      <c r="S148" s="2" t="s">
        <v>1333</v>
      </c>
      <c r="T148" s="2" t="s">
        <v>234</v>
      </c>
      <c r="U148" s="2" t="s">
        <v>1177</v>
      </c>
      <c r="V148" s="2" t="s">
        <v>209</v>
      </c>
      <c r="W148" s="2" t="s">
        <v>1322</v>
      </c>
      <c r="X148" s="2" t="s">
        <v>1323</v>
      </c>
      <c r="Y148" s="2" t="s">
        <v>1334</v>
      </c>
      <c r="Z148" s="4">
        <v>330</v>
      </c>
      <c r="AA148" s="4">
        <f>=ROUNDDOWN(165,0)</f>
      </c>
      <c r="AB148" s="5">
        <v>2</v>
      </c>
      <c r="AC148" s="2" t="s">
        <v>206</v>
      </c>
      <c r="AD148" s="4"/>
      <c r="AE148" s="4"/>
      <c r="AF148" s="6">
        <v>66</v>
      </c>
      <c r="AG148" s="6"/>
      <c r="AH148" s="7">
        <v>1</v>
      </c>
      <c r="AI148" s="4"/>
      <c r="AJ148" s="4">
        <f>=ROUNDDOWN({0},0)</f>
      </c>
      <c r="AK148" s="5"/>
      <c r="AL148" s="2" t="s">
        <v>206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206</v>
      </c>
      <c r="AW148" s="8" t="s">
        <v>206</v>
      </c>
      <c r="AX148" s="4" t="s">
        <v>206</v>
      </c>
      <c r="AY148" s="8" t="s">
        <v>206</v>
      </c>
      <c r="AZ148" s="7" t="s">
        <v>206</v>
      </c>
      <c r="BA148" s="7" t="s">
        <v>206</v>
      </c>
      <c r="BB148" s="7"/>
      <c r="BC148" s="4" t="s">
        <v>206</v>
      </c>
      <c r="BD148" s="8" t="s">
        <v>206</v>
      </c>
      <c r="BE148" s="4" t="s">
        <v>206</v>
      </c>
      <c r="BF148" s="8" t="s">
        <v>206</v>
      </c>
      <c r="BG148" s="7" t="s">
        <v>206</v>
      </c>
      <c r="BH148" s="7" t="s">
        <v>206</v>
      </c>
      <c r="BI148" s="7"/>
      <c r="BJ148" s="4">
        <v>1</v>
      </c>
      <c r="BK148" s="8">
        <v>50.6</v>
      </c>
      <c r="BL148" s="2" t="s">
        <v>1335</v>
      </c>
      <c r="BM148" s="7"/>
      <c r="BN148" s="7"/>
      <c r="BO148" s="4"/>
      <c r="BP148" s="8"/>
      <c r="BQ148" s="4"/>
      <c r="BR148" s="8"/>
      <c r="BS148" s="7"/>
      <c r="BT148" s="7"/>
      <c r="BU148" s="2" t="s">
        <v>1336</v>
      </c>
      <c r="BV148" s="2" t="s">
        <v>206</v>
      </c>
      <c r="BW148" s="2" t="s">
        <v>206</v>
      </c>
      <c r="BX148" s="2" t="s">
        <v>426</v>
      </c>
      <c r="BY148" s="2" t="s">
        <v>215</v>
      </c>
      <c r="BZ148" s="2" t="s">
        <v>203</v>
      </c>
      <c r="CA148" s="2" t="s">
        <v>1337</v>
      </c>
      <c r="CB148" s="2" t="s">
        <v>1338</v>
      </c>
      <c r="CC148" s="2" t="s">
        <v>218</v>
      </c>
      <c r="CD148" s="2" t="s">
        <v>206</v>
      </c>
      <c r="CE148" s="4">
        <v>330</v>
      </c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</row>
    <row r="149">
      <c r="A149" s="2" t="s">
        <v>1339</v>
      </c>
      <c r="B149" s="2" t="s">
        <v>546</v>
      </c>
      <c r="C149" s="2" t="s">
        <v>1316</v>
      </c>
      <c r="D149" s="2" t="s">
        <v>529</v>
      </c>
      <c r="E149" s="2" t="s">
        <v>816</v>
      </c>
      <c r="F149" s="2" t="s">
        <v>1317</v>
      </c>
      <c r="G149" s="2" t="s">
        <v>1318</v>
      </c>
      <c r="H149" s="2" t="s">
        <v>1319</v>
      </c>
      <c r="I149" s="2" t="s">
        <v>1340</v>
      </c>
      <c r="J149" s="2" t="s">
        <v>593</v>
      </c>
      <c r="K149" s="2" t="s">
        <v>1049</v>
      </c>
      <c r="L149" s="3">
        <v>66.96</v>
      </c>
      <c r="M149" s="3">
        <v>70.31</v>
      </c>
      <c r="N149" s="3">
        <v>139.99</v>
      </c>
      <c r="O149" s="2" t="s">
        <v>203</v>
      </c>
      <c r="P149" s="2" t="s">
        <v>204</v>
      </c>
      <c r="Q149" s="2" t="s">
        <v>205</v>
      </c>
      <c r="R149" s="2" t="s">
        <v>206</v>
      </c>
      <c r="S149" s="2" t="s">
        <v>1333</v>
      </c>
      <c r="T149" s="2" t="s">
        <v>234</v>
      </c>
      <c r="U149" s="2" t="s">
        <v>537</v>
      </c>
      <c r="V149" s="2" t="s">
        <v>209</v>
      </c>
      <c r="W149" s="2" t="s">
        <v>1322</v>
      </c>
      <c r="X149" s="2" t="s">
        <v>1323</v>
      </c>
      <c r="Y149" s="2" t="s">
        <v>1341</v>
      </c>
      <c r="Z149" s="4">
        <v>180</v>
      </c>
      <c r="AA149" s="4">
        <f>=ROUNDDOWN(30,0)</f>
      </c>
      <c r="AB149" s="5">
        <v>6</v>
      </c>
      <c r="AC149" s="2" t="s">
        <v>114</v>
      </c>
      <c r="AD149" s="4">
        <v>150</v>
      </c>
      <c r="AE149" s="4">
        <v>300</v>
      </c>
      <c r="AF149" s="6">
        <v>66</v>
      </c>
      <c r="AG149" s="6"/>
      <c r="AH149" s="7">
        <v>1</v>
      </c>
      <c r="AI149" s="4"/>
      <c r="AJ149" s="4">
        <f>=ROUNDDOWN({0},0)</f>
      </c>
      <c r="AK149" s="5"/>
      <c r="AL149" s="2" t="s">
        <v>206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206</v>
      </c>
      <c r="AW149" s="8" t="s">
        <v>206</v>
      </c>
      <c r="AX149" s="4" t="s">
        <v>206</v>
      </c>
      <c r="AY149" s="8" t="s">
        <v>206</v>
      </c>
      <c r="AZ149" s="7" t="s">
        <v>206</v>
      </c>
      <c r="BA149" s="7" t="s">
        <v>206</v>
      </c>
      <c r="BB149" s="7"/>
      <c r="BC149" s="4" t="s">
        <v>206</v>
      </c>
      <c r="BD149" s="8" t="s">
        <v>206</v>
      </c>
      <c r="BE149" s="4" t="s">
        <v>206</v>
      </c>
      <c r="BF149" s="8" t="s">
        <v>206</v>
      </c>
      <c r="BG149" s="7" t="s">
        <v>206</v>
      </c>
      <c r="BH149" s="7" t="s">
        <v>206</v>
      </c>
      <c r="BI149" s="7"/>
      <c r="BJ149" s="4">
        <v>10</v>
      </c>
      <c r="BK149" s="8">
        <v>737.41</v>
      </c>
      <c r="BL149" s="2" t="s">
        <v>1342</v>
      </c>
      <c r="BM149" s="7"/>
      <c r="BN149" s="7"/>
      <c r="BO149" s="4"/>
      <c r="BP149" s="8"/>
      <c r="BQ149" s="4"/>
      <c r="BR149" s="8"/>
      <c r="BS149" s="7"/>
      <c r="BT149" s="7"/>
      <c r="BU149" s="2" t="s">
        <v>1343</v>
      </c>
      <c r="BV149" s="2" t="s">
        <v>206</v>
      </c>
      <c r="BW149" s="2" t="s">
        <v>206</v>
      </c>
      <c r="BX149" s="2" t="s">
        <v>426</v>
      </c>
      <c r="BY149" s="2" t="s">
        <v>215</v>
      </c>
      <c r="BZ149" s="2" t="s">
        <v>203</v>
      </c>
      <c r="CA149" s="2" t="s">
        <v>1344</v>
      </c>
      <c r="CB149" s="2" t="s">
        <v>1062</v>
      </c>
      <c r="CC149" s="2" t="s">
        <v>218</v>
      </c>
      <c r="CD149" s="2" t="s">
        <v>206</v>
      </c>
      <c r="CE149" s="4">
        <v>180</v>
      </c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>
        <v>150</v>
      </c>
      <c r="DC149" s="4"/>
      <c r="DD149" s="4"/>
      <c r="DE149" s="4"/>
      <c r="DF149" s="4"/>
      <c r="DG149" s="4">
        <v>150</v>
      </c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</row>
    <row r="150">
      <c r="A150" s="2" t="s">
        <v>1345</v>
      </c>
      <c r="B150" s="2" t="s">
        <v>546</v>
      </c>
      <c r="C150" s="2" t="s">
        <v>1316</v>
      </c>
      <c r="D150" s="2" t="s">
        <v>529</v>
      </c>
      <c r="E150" s="2" t="s">
        <v>816</v>
      </c>
      <c r="F150" s="2" t="s">
        <v>1317</v>
      </c>
      <c r="G150" s="2" t="s">
        <v>1318</v>
      </c>
      <c r="H150" s="2" t="s">
        <v>1319</v>
      </c>
      <c r="I150" s="2" t="s">
        <v>1340</v>
      </c>
      <c r="J150" s="2" t="s">
        <v>582</v>
      </c>
      <c r="K150" s="2" t="s">
        <v>1049</v>
      </c>
      <c r="L150" s="3">
        <v>75.6</v>
      </c>
      <c r="M150" s="3">
        <v>79.38</v>
      </c>
      <c r="N150" s="3">
        <v>159.99</v>
      </c>
      <c r="O150" s="2" t="s">
        <v>203</v>
      </c>
      <c r="P150" s="2" t="s">
        <v>204</v>
      </c>
      <c r="Q150" s="2" t="s">
        <v>205</v>
      </c>
      <c r="R150" s="2" t="s">
        <v>206</v>
      </c>
      <c r="S150" s="2" t="s">
        <v>1333</v>
      </c>
      <c r="T150" s="2" t="s">
        <v>234</v>
      </c>
      <c r="U150" s="2" t="s">
        <v>537</v>
      </c>
      <c r="V150" s="2" t="s">
        <v>209</v>
      </c>
      <c r="W150" s="2" t="s">
        <v>1322</v>
      </c>
      <c r="X150" s="2" t="s">
        <v>1323</v>
      </c>
      <c r="Y150" s="2" t="s">
        <v>1334</v>
      </c>
      <c r="Z150" s="4">
        <v>220</v>
      </c>
      <c r="AA150" s="4">
        <f>=ROUNDDOWN(73.3333333333333,0)</f>
      </c>
      <c r="AB150" s="5">
        <v>3</v>
      </c>
      <c r="AC150" s="2" t="s">
        <v>206</v>
      </c>
      <c r="AD150" s="4"/>
      <c r="AE150" s="4"/>
      <c r="AF150" s="6">
        <v>66</v>
      </c>
      <c r="AG150" s="6"/>
      <c r="AH150" s="7">
        <v>1</v>
      </c>
      <c r="AI150" s="4"/>
      <c r="AJ150" s="4">
        <f>=ROUNDDOWN({0},0)</f>
      </c>
      <c r="AK150" s="5"/>
      <c r="AL150" s="2" t="s">
        <v>206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206</v>
      </c>
      <c r="AW150" s="8" t="s">
        <v>206</v>
      </c>
      <c r="AX150" s="4" t="s">
        <v>206</v>
      </c>
      <c r="AY150" s="8" t="s">
        <v>206</v>
      </c>
      <c r="AZ150" s="7" t="s">
        <v>206</v>
      </c>
      <c r="BA150" s="7" t="s">
        <v>206</v>
      </c>
      <c r="BB150" s="7"/>
      <c r="BC150" s="4" t="s">
        <v>206</v>
      </c>
      <c r="BD150" s="8" t="s">
        <v>206</v>
      </c>
      <c r="BE150" s="4" t="s">
        <v>206</v>
      </c>
      <c r="BF150" s="8" t="s">
        <v>206</v>
      </c>
      <c r="BG150" s="7" t="s">
        <v>206</v>
      </c>
      <c r="BH150" s="7" t="s">
        <v>206</v>
      </c>
      <c r="BI150" s="7"/>
      <c r="BJ150" s="4">
        <v>7</v>
      </c>
      <c r="BK150" s="8">
        <v>599.99</v>
      </c>
      <c r="BL150" s="2" t="s">
        <v>1346</v>
      </c>
      <c r="BM150" s="7"/>
      <c r="BN150" s="7"/>
      <c r="BO150" s="4"/>
      <c r="BP150" s="8"/>
      <c r="BQ150" s="4"/>
      <c r="BR150" s="8"/>
      <c r="BS150" s="7"/>
      <c r="BT150" s="7"/>
      <c r="BU150" s="2" t="s">
        <v>1347</v>
      </c>
      <c r="BV150" s="2" t="s">
        <v>206</v>
      </c>
      <c r="BW150" s="2" t="s">
        <v>206</v>
      </c>
      <c r="BX150" s="2" t="s">
        <v>426</v>
      </c>
      <c r="BY150" s="2" t="s">
        <v>215</v>
      </c>
      <c r="BZ150" s="2" t="s">
        <v>203</v>
      </c>
      <c r="CA150" s="2" t="s">
        <v>1337</v>
      </c>
      <c r="CB150" s="2" t="s">
        <v>1348</v>
      </c>
      <c r="CC150" s="2" t="s">
        <v>218</v>
      </c>
      <c r="CD150" s="2" t="s">
        <v>206</v>
      </c>
      <c r="CE150" s="4">
        <v>220</v>
      </c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</row>
    <row r="151">
      <c r="A151" s="2" t="s">
        <v>1349</v>
      </c>
      <c r="B151" s="2" t="s">
        <v>546</v>
      </c>
      <c r="C151" s="2" t="s">
        <v>1316</v>
      </c>
      <c r="D151" s="2" t="s">
        <v>529</v>
      </c>
      <c r="E151" s="2" t="s">
        <v>816</v>
      </c>
      <c r="F151" s="2" t="s">
        <v>1317</v>
      </c>
      <c r="G151" s="2" t="s">
        <v>1318</v>
      </c>
      <c r="H151" s="2" t="s">
        <v>1319</v>
      </c>
      <c r="I151" s="2" t="s">
        <v>1340</v>
      </c>
      <c r="J151" s="2" t="s">
        <v>821</v>
      </c>
      <c r="K151" s="2" t="s">
        <v>336</v>
      </c>
      <c r="L151" s="3">
        <v>52.88</v>
      </c>
      <c r="M151" s="3">
        <v>55.52</v>
      </c>
      <c r="N151" s="3">
        <v>109.99</v>
      </c>
      <c r="O151" s="2" t="s">
        <v>203</v>
      </c>
      <c r="P151" s="2" t="s">
        <v>204</v>
      </c>
      <c r="Q151" s="2" t="s">
        <v>205</v>
      </c>
      <c r="R151" s="2" t="s">
        <v>206</v>
      </c>
      <c r="S151" s="2" t="s">
        <v>1350</v>
      </c>
      <c r="T151" s="2" t="s">
        <v>234</v>
      </c>
      <c r="U151" s="2" t="s">
        <v>1177</v>
      </c>
      <c r="V151" s="2" t="s">
        <v>209</v>
      </c>
      <c r="W151" s="2" t="s">
        <v>1322</v>
      </c>
      <c r="X151" s="2" t="s">
        <v>1323</v>
      </c>
      <c r="Y151" s="2" t="s">
        <v>1324</v>
      </c>
      <c r="Z151" s="4">
        <v>738</v>
      </c>
      <c r="AA151" s="4">
        <f>=ROUNDDOWN(147.6,0)</f>
      </c>
      <c r="AB151" s="5">
        <v>5</v>
      </c>
      <c r="AC151" s="2" t="s">
        <v>115</v>
      </c>
      <c r="AD151" s="4">
        <v>120</v>
      </c>
      <c r="AE151" s="4">
        <v>120</v>
      </c>
      <c r="AF151" s="6">
        <v>66</v>
      </c>
      <c r="AG151" s="6">
        <v>49</v>
      </c>
      <c r="AH151" s="7">
        <v>1</v>
      </c>
      <c r="AI151" s="4"/>
      <c r="AJ151" s="4">
        <f>=ROUNDDOWN({0},0)</f>
      </c>
      <c r="AK151" s="5"/>
      <c r="AL151" s="2" t="s">
        <v>206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206</v>
      </c>
      <c r="AW151" s="8" t="s">
        <v>206</v>
      </c>
      <c r="AX151" s="4" t="s">
        <v>206</v>
      </c>
      <c r="AY151" s="8" t="s">
        <v>206</v>
      </c>
      <c r="AZ151" s="7" t="s">
        <v>206</v>
      </c>
      <c r="BA151" s="7" t="s">
        <v>206</v>
      </c>
      <c r="BB151" s="7" t="s">
        <v>206</v>
      </c>
      <c r="BC151" s="4" t="s">
        <v>206</v>
      </c>
      <c r="BD151" s="8" t="s">
        <v>206</v>
      </c>
      <c r="BE151" s="4" t="s">
        <v>206</v>
      </c>
      <c r="BF151" s="8" t="s">
        <v>206</v>
      </c>
      <c r="BG151" s="7" t="s">
        <v>206</v>
      </c>
      <c r="BH151" s="7" t="s">
        <v>206</v>
      </c>
      <c r="BI151" s="7"/>
      <c r="BJ151" s="4">
        <v>2</v>
      </c>
      <c r="BK151" s="8">
        <v>91.4</v>
      </c>
      <c r="BL151" s="2" t="s">
        <v>1351</v>
      </c>
      <c r="BM151" s="7"/>
      <c r="BN151" s="7"/>
      <c r="BO151" s="4"/>
      <c r="BP151" s="8"/>
      <c r="BQ151" s="4"/>
      <c r="BR151" s="8"/>
      <c r="BS151" s="7"/>
      <c r="BT151" s="7"/>
      <c r="BU151" s="2" t="s">
        <v>1352</v>
      </c>
      <c r="BV151" s="2" t="s">
        <v>206</v>
      </c>
      <c r="BW151" s="2" t="s">
        <v>206</v>
      </c>
      <c r="BX151" s="2" t="s">
        <v>426</v>
      </c>
      <c r="BY151" s="2" t="s">
        <v>215</v>
      </c>
      <c r="BZ151" s="2" t="s">
        <v>203</v>
      </c>
      <c r="CA151" s="2" t="s">
        <v>1327</v>
      </c>
      <c r="CB151" s="2" t="s">
        <v>993</v>
      </c>
      <c r="CC151" s="2" t="s">
        <v>218</v>
      </c>
      <c r="CD151" s="2" t="s">
        <v>206</v>
      </c>
      <c r="CE151" s="4">
        <v>485</v>
      </c>
      <c r="CF151" s="4"/>
      <c r="CG151" s="4"/>
      <c r="CH151" s="4">
        <v>253</v>
      </c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>
        <v>120</v>
      </c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</row>
    <row r="152">
      <c r="A152" s="2" t="s">
        <v>1353</v>
      </c>
      <c r="B152" s="2" t="s">
        <v>546</v>
      </c>
      <c r="C152" s="2" t="s">
        <v>1316</v>
      </c>
      <c r="D152" s="2" t="s">
        <v>548</v>
      </c>
      <c r="E152" s="2" t="s">
        <v>549</v>
      </c>
      <c r="F152" s="2" t="s">
        <v>1317</v>
      </c>
      <c r="G152" s="2" t="s">
        <v>1318</v>
      </c>
      <c r="H152" s="2" t="s">
        <v>1319</v>
      </c>
      <c r="I152" s="2" t="s">
        <v>1320</v>
      </c>
      <c r="J152" s="2" t="s">
        <v>821</v>
      </c>
      <c r="K152" s="2" t="s">
        <v>336</v>
      </c>
      <c r="L152" s="3">
        <v>46.53</v>
      </c>
      <c r="M152" s="3">
        <v>48.86</v>
      </c>
      <c r="N152" s="3">
        <v>89.99</v>
      </c>
      <c r="O152" s="2" t="s">
        <v>203</v>
      </c>
      <c r="P152" s="2" t="s">
        <v>204</v>
      </c>
      <c r="Q152" s="2" t="s">
        <v>205</v>
      </c>
      <c r="R152" s="2" t="s">
        <v>206</v>
      </c>
      <c r="S152" s="2" t="s">
        <v>1350</v>
      </c>
      <c r="T152" s="2" t="s">
        <v>234</v>
      </c>
      <c r="U152" s="2" t="s">
        <v>1177</v>
      </c>
      <c r="V152" s="2" t="s">
        <v>209</v>
      </c>
      <c r="W152" s="2" t="s">
        <v>1322</v>
      </c>
      <c r="X152" s="2" t="s">
        <v>1323</v>
      </c>
      <c r="Y152" s="2" t="s">
        <v>1324</v>
      </c>
      <c r="Z152" s="4">
        <v>344</v>
      </c>
      <c r="AA152" s="4">
        <f>=ROUNDDOWN(172,0)</f>
      </c>
      <c r="AB152" s="5">
        <v>2</v>
      </c>
      <c r="AC152" s="2" t="s">
        <v>206</v>
      </c>
      <c r="AD152" s="4"/>
      <c r="AE152" s="4"/>
      <c r="AF152" s="6">
        <v>66</v>
      </c>
      <c r="AG152" s="6">
        <v>49</v>
      </c>
      <c r="AH152" s="7">
        <v>1</v>
      </c>
      <c r="AI152" s="4"/>
      <c r="AJ152" s="4">
        <f>=ROUNDDOWN({0},0)</f>
      </c>
      <c r="AK152" s="5"/>
      <c r="AL152" s="2" t="s">
        <v>206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206</v>
      </c>
      <c r="AW152" s="8" t="s">
        <v>206</v>
      </c>
      <c r="AX152" s="4" t="s">
        <v>206</v>
      </c>
      <c r="AY152" s="8" t="s">
        <v>206</v>
      </c>
      <c r="AZ152" s="7" t="s">
        <v>206</v>
      </c>
      <c r="BA152" s="7" t="s">
        <v>206</v>
      </c>
      <c r="BB152" s="7" t="s">
        <v>206</v>
      </c>
      <c r="BC152" s="4" t="s">
        <v>206</v>
      </c>
      <c r="BD152" s="8" t="s">
        <v>206</v>
      </c>
      <c r="BE152" s="4" t="s">
        <v>206</v>
      </c>
      <c r="BF152" s="8" t="s">
        <v>206</v>
      </c>
      <c r="BG152" s="7" t="s">
        <v>206</v>
      </c>
      <c r="BH152" s="7" t="s">
        <v>206</v>
      </c>
      <c r="BI152" s="7"/>
      <c r="BJ152" s="4">
        <v>3</v>
      </c>
      <c r="BK152" s="8">
        <v>145.18</v>
      </c>
      <c r="BL152" s="2" t="s">
        <v>1354</v>
      </c>
      <c r="BM152" s="7"/>
      <c r="BN152" s="7"/>
      <c r="BO152" s="4"/>
      <c r="BP152" s="8"/>
      <c r="BQ152" s="4"/>
      <c r="BR152" s="8"/>
      <c r="BS152" s="7"/>
      <c r="BT152" s="7"/>
      <c r="BU152" s="2" t="s">
        <v>1355</v>
      </c>
      <c r="BV152" s="2" t="s">
        <v>206</v>
      </c>
      <c r="BW152" s="2" t="s">
        <v>206</v>
      </c>
      <c r="BX152" s="2" t="s">
        <v>426</v>
      </c>
      <c r="BY152" s="2" t="s">
        <v>215</v>
      </c>
      <c r="BZ152" s="2" t="s">
        <v>203</v>
      </c>
      <c r="CA152" s="2" t="s">
        <v>1327</v>
      </c>
      <c r="CB152" s="2" t="s">
        <v>1356</v>
      </c>
      <c r="CC152" s="2" t="s">
        <v>218</v>
      </c>
      <c r="CD152" s="2" t="s">
        <v>206</v>
      </c>
      <c r="CE152" s="4">
        <v>93</v>
      </c>
      <c r="CF152" s="4">
        <v>188</v>
      </c>
      <c r="CG152" s="4"/>
      <c r="CH152" s="4">
        <v>63</v>
      </c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</row>
    <row r="153">
      <c r="A153" s="2" t="s">
        <v>1357</v>
      </c>
      <c r="B153" s="2" t="s">
        <v>546</v>
      </c>
      <c r="C153" s="2" t="s">
        <v>1316</v>
      </c>
      <c r="D153" s="2" t="s">
        <v>548</v>
      </c>
      <c r="E153" s="2" t="s">
        <v>549</v>
      </c>
      <c r="F153" s="2" t="s">
        <v>1317</v>
      </c>
      <c r="G153" s="2" t="s">
        <v>1318</v>
      </c>
      <c r="H153" s="2" t="s">
        <v>1319</v>
      </c>
      <c r="I153" s="2" t="s">
        <v>1320</v>
      </c>
      <c r="J153" s="2" t="s">
        <v>593</v>
      </c>
      <c r="K153" s="2" t="s">
        <v>336</v>
      </c>
      <c r="L153" s="3">
        <v>63</v>
      </c>
      <c r="M153" s="3">
        <v>66.15</v>
      </c>
      <c r="N153" s="3">
        <v>119.99</v>
      </c>
      <c r="O153" s="2" t="s">
        <v>203</v>
      </c>
      <c r="P153" s="2" t="s">
        <v>204</v>
      </c>
      <c r="Q153" s="2" t="s">
        <v>205</v>
      </c>
      <c r="R153" s="2" t="s">
        <v>206</v>
      </c>
      <c r="S153" s="2" t="s">
        <v>1350</v>
      </c>
      <c r="T153" s="2" t="s">
        <v>234</v>
      </c>
      <c r="U153" s="2" t="s">
        <v>537</v>
      </c>
      <c r="V153" s="2" t="s">
        <v>209</v>
      </c>
      <c r="W153" s="2" t="s">
        <v>1322</v>
      </c>
      <c r="X153" s="2" t="s">
        <v>1323</v>
      </c>
      <c r="Y153" s="2" t="s">
        <v>1324</v>
      </c>
      <c r="Z153" s="4">
        <v>190</v>
      </c>
      <c r="AA153" s="4">
        <f>=ROUNDDOWN(63.3333333333333,0)</f>
      </c>
      <c r="AB153" s="5">
        <v>3</v>
      </c>
      <c r="AC153" s="2" t="s">
        <v>5</v>
      </c>
      <c r="AD153" s="4">
        <v>80</v>
      </c>
      <c r="AE153" s="4">
        <v>80</v>
      </c>
      <c r="AF153" s="6">
        <v>66</v>
      </c>
      <c r="AG153" s="6">
        <v>49</v>
      </c>
      <c r="AH153" s="7">
        <v>1</v>
      </c>
      <c r="AI153" s="4"/>
      <c r="AJ153" s="4">
        <f>=ROUNDDOWN({0},0)</f>
      </c>
      <c r="AK153" s="5"/>
      <c r="AL153" s="2" t="s">
        <v>206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206</v>
      </c>
      <c r="AW153" s="8" t="s">
        <v>206</v>
      </c>
      <c r="AX153" s="4" t="s">
        <v>206</v>
      </c>
      <c r="AY153" s="8" t="s">
        <v>206</v>
      </c>
      <c r="AZ153" s="7" t="s">
        <v>206</v>
      </c>
      <c r="BA153" s="7" t="s">
        <v>206</v>
      </c>
      <c r="BB153" s="7"/>
      <c r="BC153" s="4" t="s">
        <v>206</v>
      </c>
      <c r="BD153" s="8" t="s">
        <v>206</v>
      </c>
      <c r="BE153" s="4" t="s">
        <v>206</v>
      </c>
      <c r="BF153" s="8" t="s">
        <v>206</v>
      </c>
      <c r="BG153" s="7" t="s">
        <v>206</v>
      </c>
      <c r="BH153" s="7" t="s">
        <v>206</v>
      </c>
      <c r="BI153" s="7"/>
      <c r="BJ153" s="4">
        <v>6</v>
      </c>
      <c r="BK153" s="8">
        <v>392.04</v>
      </c>
      <c r="BL153" s="2" t="s">
        <v>1358</v>
      </c>
      <c r="BM153" s="7"/>
      <c r="BN153" s="7"/>
      <c r="BO153" s="4"/>
      <c r="BP153" s="8"/>
      <c r="BQ153" s="4"/>
      <c r="BR153" s="8"/>
      <c r="BS153" s="7"/>
      <c r="BT153" s="7"/>
      <c r="BU153" s="2" t="s">
        <v>1359</v>
      </c>
      <c r="BV153" s="2" t="s">
        <v>206</v>
      </c>
      <c r="BW153" s="2" t="s">
        <v>206</v>
      </c>
      <c r="BX153" s="2" t="s">
        <v>426</v>
      </c>
      <c r="BY153" s="2" t="s">
        <v>215</v>
      </c>
      <c r="BZ153" s="2" t="s">
        <v>203</v>
      </c>
      <c r="CA153" s="2" t="s">
        <v>1327</v>
      </c>
      <c r="CB153" s="2" t="s">
        <v>1360</v>
      </c>
      <c r="CC153" s="2" t="s">
        <v>218</v>
      </c>
      <c r="CD153" s="2" t="s">
        <v>206</v>
      </c>
      <c r="CE153" s="4">
        <v>117</v>
      </c>
      <c r="CF153" s="4">
        <v>57</v>
      </c>
      <c r="CG153" s="4"/>
      <c r="CH153" s="4">
        <v>16</v>
      </c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>
        <v>80</v>
      </c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</row>
    <row r="154">
      <c r="A154" s="2" t="s">
        <v>1361</v>
      </c>
      <c r="B154" s="2" t="s">
        <v>546</v>
      </c>
      <c r="C154" s="2" t="s">
        <v>1316</v>
      </c>
      <c r="D154" s="2" t="s">
        <v>548</v>
      </c>
      <c r="E154" s="2" t="s">
        <v>549</v>
      </c>
      <c r="F154" s="2" t="s">
        <v>1317</v>
      </c>
      <c r="G154" s="2" t="s">
        <v>1318</v>
      </c>
      <c r="H154" s="2" t="s">
        <v>1319</v>
      </c>
      <c r="I154" s="2" t="s">
        <v>1320</v>
      </c>
      <c r="J154" s="2" t="s">
        <v>582</v>
      </c>
      <c r="K154" s="2" t="s">
        <v>336</v>
      </c>
      <c r="L154" s="3">
        <v>72</v>
      </c>
      <c r="M154" s="3">
        <v>75.6</v>
      </c>
      <c r="N154" s="3">
        <v>139.99</v>
      </c>
      <c r="O154" s="2" t="s">
        <v>203</v>
      </c>
      <c r="P154" s="2" t="s">
        <v>204</v>
      </c>
      <c r="Q154" s="2" t="s">
        <v>205</v>
      </c>
      <c r="R154" s="2" t="s">
        <v>206</v>
      </c>
      <c r="S154" s="2" t="s">
        <v>1350</v>
      </c>
      <c r="T154" s="2" t="s">
        <v>234</v>
      </c>
      <c r="U154" s="2" t="s">
        <v>537</v>
      </c>
      <c r="V154" s="2" t="s">
        <v>209</v>
      </c>
      <c r="W154" s="2" t="s">
        <v>1322</v>
      </c>
      <c r="X154" s="2" t="s">
        <v>1323</v>
      </c>
      <c r="Y154" s="2" t="s">
        <v>1324</v>
      </c>
      <c r="Z154" s="4">
        <v>161</v>
      </c>
      <c r="AA154" s="4">
        <f>=ROUNDDOWN(80.5,0)</f>
      </c>
      <c r="AB154" s="5">
        <v>2</v>
      </c>
      <c r="AC154" s="2" t="s">
        <v>206</v>
      </c>
      <c r="AD154" s="4"/>
      <c r="AE154" s="4"/>
      <c r="AF154" s="6">
        <v>66</v>
      </c>
      <c r="AG154" s="6">
        <v>49</v>
      </c>
      <c r="AH154" s="7">
        <v>1</v>
      </c>
      <c r="AI154" s="4"/>
      <c r="AJ154" s="4">
        <f>=ROUNDDOWN({0},0)</f>
      </c>
      <c r="AK154" s="5"/>
      <c r="AL154" s="2" t="s">
        <v>206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206</v>
      </c>
      <c r="AW154" s="8" t="s">
        <v>206</v>
      </c>
      <c r="AX154" s="4" t="s">
        <v>206</v>
      </c>
      <c r="AY154" s="8" t="s">
        <v>206</v>
      </c>
      <c r="AZ154" s="7" t="s">
        <v>206</v>
      </c>
      <c r="BA154" s="7" t="s">
        <v>206</v>
      </c>
      <c r="BB154" s="7"/>
      <c r="BC154" s="4" t="s">
        <v>206</v>
      </c>
      <c r="BD154" s="8" t="s">
        <v>206</v>
      </c>
      <c r="BE154" s="4" t="s">
        <v>206</v>
      </c>
      <c r="BF154" s="8" t="s">
        <v>206</v>
      </c>
      <c r="BG154" s="7" t="s">
        <v>206</v>
      </c>
      <c r="BH154" s="7" t="s">
        <v>206</v>
      </c>
      <c r="BI154" s="7"/>
      <c r="BJ154" s="4">
        <v>7</v>
      </c>
      <c r="BK154" s="8">
        <v>534.87</v>
      </c>
      <c r="BL154" s="2" t="s">
        <v>1362</v>
      </c>
      <c r="BM154" s="7"/>
      <c r="BN154" s="7"/>
      <c r="BO154" s="4"/>
      <c r="BP154" s="8"/>
      <c r="BQ154" s="4"/>
      <c r="BR154" s="8"/>
      <c r="BS154" s="7"/>
      <c r="BT154" s="7"/>
      <c r="BU154" s="2" t="s">
        <v>1363</v>
      </c>
      <c r="BV154" s="2" t="s">
        <v>206</v>
      </c>
      <c r="BW154" s="2" t="s">
        <v>206</v>
      </c>
      <c r="BX154" s="2" t="s">
        <v>426</v>
      </c>
      <c r="BY154" s="2" t="s">
        <v>215</v>
      </c>
      <c r="BZ154" s="2" t="s">
        <v>203</v>
      </c>
      <c r="CA154" s="2" t="s">
        <v>1327</v>
      </c>
      <c r="CB154" s="2" t="s">
        <v>1364</v>
      </c>
      <c r="CC154" s="2" t="s">
        <v>218</v>
      </c>
      <c r="CD154" s="2" t="s">
        <v>206</v>
      </c>
      <c r="CE154" s="4"/>
      <c r="CF154" s="4">
        <v>116</v>
      </c>
      <c r="CG154" s="4"/>
      <c r="CH154" s="4">
        <v>45</v>
      </c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</row>
    <row r="155">
      <c r="A155" s="2" t="s">
        <v>1365</v>
      </c>
      <c r="B155" s="2" t="s">
        <v>662</v>
      </c>
      <c r="C155" s="2" t="s">
        <v>1316</v>
      </c>
      <c r="D155" s="2" t="s">
        <v>684</v>
      </c>
      <c r="E155" s="2" t="s">
        <v>685</v>
      </c>
      <c r="F155" s="2" t="s">
        <v>1317</v>
      </c>
      <c r="G155" s="2" t="s">
        <v>1318</v>
      </c>
      <c r="H155" s="2" t="s">
        <v>1319</v>
      </c>
      <c r="I155" s="2" t="s">
        <v>1366</v>
      </c>
      <c r="J155" s="2" t="s">
        <v>1367</v>
      </c>
      <c r="K155" s="2" t="s">
        <v>1368</v>
      </c>
      <c r="L155" s="3">
        <v>19.8</v>
      </c>
      <c r="M155" s="3">
        <v>20.79</v>
      </c>
      <c r="N155" s="3">
        <v>44.99</v>
      </c>
      <c r="O155" s="2" t="s">
        <v>203</v>
      </c>
      <c r="P155" s="2" t="s">
        <v>204</v>
      </c>
      <c r="Q155" s="2" t="s">
        <v>205</v>
      </c>
      <c r="R155" s="2" t="s">
        <v>206</v>
      </c>
      <c r="S155" s="2" t="s">
        <v>1369</v>
      </c>
      <c r="T155" s="2" t="s">
        <v>206</v>
      </c>
      <c r="U155" s="2" t="s">
        <v>437</v>
      </c>
      <c r="V155" s="2" t="s">
        <v>209</v>
      </c>
      <c r="W155" s="2" t="s">
        <v>210</v>
      </c>
      <c r="X155" s="2" t="s">
        <v>1322</v>
      </c>
      <c r="Y155" s="2" t="s">
        <v>1370</v>
      </c>
      <c r="Z155" s="4">
        <v>289</v>
      </c>
      <c r="AA155" s="4">
        <f>=ROUNDDOWN(41.2857142857143,0)</f>
      </c>
      <c r="AB155" s="5">
        <v>7</v>
      </c>
      <c r="AC155" s="2" t="s">
        <v>206</v>
      </c>
      <c r="AD155" s="4"/>
      <c r="AE155" s="4"/>
      <c r="AF155" s="6">
        <v>66</v>
      </c>
      <c r="AG155" s="6"/>
      <c r="AH155" s="7">
        <v>1</v>
      </c>
      <c r="AI155" s="4"/>
      <c r="AJ155" s="4">
        <f>=ROUNDDOWN({0},0)</f>
      </c>
      <c r="AK155" s="5"/>
      <c r="AL155" s="2" t="s">
        <v>206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206</v>
      </c>
      <c r="BD155" s="8" t="s">
        <v>206</v>
      </c>
      <c r="BE155" s="4" t="s">
        <v>206</v>
      </c>
      <c r="BF155" s="8" t="s">
        <v>206</v>
      </c>
      <c r="BG155" s="7" t="s">
        <v>206</v>
      </c>
      <c r="BH155" s="7" t="s">
        <v>206</v>
      </c>
      <c r="BI155" s="7"/>
      <c r="BJ155" s="4">
        <v>35</v>
      </c>
      <c r="BK155" s="8">
        <v>777.81</v>
      </c>
      <c r="BL155" s="2" t="s">
        <v>1371</v>
      </c>
      <c r="BM155" s="7"/>
      <c r="BN155" s="7"/>
      <c r="BO155" s="4"/>
      <c r="BP155" s="8"/>
      <c r="BQ155" s="4"/>
      <c r="BR155" s="8"/>
      <c r="BS155" s="7"/>
      <c r="BT155" s="7"/>
      <c r="BU155" s="2" t="s">
        <v>1372</v>
      </c>
      <c r="BV155" s="2" t="s">
        <v>206</v>
      </c>
      <c r="BW155" s="2" t="s">
        <v>206</v>
      </c>
      <c r="BX155" s="2" t="s">
        <v>214</v>
      </c>
      <c r="BY155" s="2" t="s">
        <v>215</v>
      </c>
      <c r="BZ155" s="2" t="s">
        <v>203</v>
      </c>
      <c r="CA155" s="2" t="s">
        <v>1373</v>
      </c>
      <c r="CB155" s="2" t="s">
        <v>1374</v>
      </c>
      <c r="CC155" s="2" t="s">
        <v>218</v>
      </c>
      <c r="CD155" s="2" t="s">
        <v>206</v>
      </c>
      <c r="CE155" s="4">
        <v>289</v>
      </c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</row>
    <row r="156">
      <c r="A156" s="2" t="s">
        <v>1375</v>
      </c>
      <c r="B156" s="2" t="s">
        <v>546</v>
      </c>
      <c r="C156" s="2" t="s">
        <v>1316</v>
      </c>
      <c r="D156" s="2" t="s">
        <v>529</v>
      </c>
      <c r="E156" s="2" t="s">
        <v>816</v>
      </c>
      <c r="F156" s="2" t="s">
        <v>1317</v>
      </c>
      <c r="G156" s="2" t="s">
        <v>1318</v>
      </c>
      <c r="H156" s="2" t="s">
        <v>1319</v>
      </c>
      <c r="I156" s="2" t="s">
        <v>1340</v>
      </c>
      <c r="J156" s="2" t="s">
        <v>821</v>
      </c>
      <c r="K156" s="2" t="s">
        <v>353</v>
      </c>
      <c r="L156" s="3">
        <v>52.88</v>
      </c>
      <c r="M156" s="3">
        <v>55.52</v>
      </c>
      <c r="N156" s="3">
        <v>109.99</v>
      </c>
      <c r="O156" s="2" t="s">
        <v>203</v>
      </c>
      <c r="P156" s="2" t="s">
        <v>492</v>
      </c>
      <c r="Q156" s="2" t="s">
        <v>205</v>
      </c>
      <c r="R156" s="2" t="s">
        <v>206</v>
      </c>
      <c r="S156" s="2" t="s">
        <v>1376</v>
      </c>
      <c r="T156" s="2" t="s">
        <v>234</v>
      </c>
      <c r="U156" s="2" t="s">
        <v>1177</v>
      </c>
      <c r="V156" s="2" t="s">
        <v>209</v>
      </c>
      <c r="W156" s="2" t="s">
        <v>1322</v>
      </c>
      <c r="X156" s="2" t="s">
        <v>1323</v>
      </c>
      <c r="Y156" s="2" t="s">
        <v>1377</v>
      </c>
      <c r="Z156" s="4">
        <v>855</v>
      </c>
      <c r="AA156" s="4">
        <f>=ROUNDDOWN(122.142857142857,0)</f>
      </c>
      <c r="AB156" s="5">
        <v>7</v>
      </c>
      <c r="AC156" s="2" t="s">
        <v>206</v>
      </c>
      <c r="AD156" s="4"/>
      <c r="AE156" s="4"/>
      <c r="AF156" s="6">
        <v>66</v>
      </c>
      <c r="AG156" s="6">
        <v>49</v>
      </c>
      <c r="AH156" s="7">
        <v>1</v>
      </c>
      <c r="AI156" s="4"/>
      <c r="AJ156" s="4">
        <f>=ROUNDDOWN({0},0)</f>
      </c>
      <c r="AK156" s="5"/>
      <c r="AL156" s="2" t="s">
        <v>206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206</v>
      </c>
      <c r="BD156" s="8" t="s">
        <v>206</v>
      </c>
      <c r="BE156" s="4" t="s">
        <v>206</v>
      </c>
      <c r="BF156" s="8" t="s">
        <v>206</v>
      </c>
      <c r="BG156" s="7" t="s">
        <v>206</v>
      </c>
      <c r="BH156" s="7" t="s">
        <v>206</v>
      </c>
      <c r="BI156" s="7"/>
      <c r="BJ156" s="4">
        <v>21</v>
      </c>
      <c r="BK156" s="8">
        <v>1223.24</v>
      </c>
      <c r="BL156" s="2" t="s">
        <v>1378</v>
      </c>
      <c r="BM156" s="7"/>
      <c r="BN156" s="7"/>
      <c r="BO156" s="4"/>
      <c r="BP156" s="8"/>
      <c r="BQ156" s="4"/>
      <c r="BR156" s="8"/>
      <c r="BS156" s="7"/>
      <c r="BT156" s="7"/>
      <c r="BU156" s="2" t="s">
        <v>1379</v>
      </c>
      <c r="BV156" s="2" t="s">
        <v>206</v>
      </c>
      <c r="BW156" s="2" t="s">
        <v>206</v>
      </c>
      <c r="BX156" s="2" t="s">
        <v>426</v>
      </c>
      <c r="BY156" s="2" t="s">
        <v>215</v>
      </c>
      <c r="BZ156" s="2" t="s">
        <v>203</v>
      </c>
      <c r="CA156" s="2" t="s">
        <v>1380</v>
      </c>
      <c r="CB156" s="2" t="s">
        <v>1081</v>
      </c>
      <c r="CC156" s="2" t="s">
        <v>218</v>
      </c>
      <c r="CD156" s="2" t="s">
        <v>206</v>
      </c>
      <c r="CE156" s="4">
        <v>494</v>
      </c>
      <c r="CF156" s="4"/>
      <c r="CG156" s="4"/>
      <c r="CH156" s="4">
        <v>361</v>
      </c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</row>
    <row r="157">
      <c r="A157" s="2" t="s">
        <v>1381</v>
      </c>
      <c r="B157" s="2" t="s">
        <v>546</v>
      </c>
      <c r="C157" s="2" t="s">
        <v>1316</v>
      </c>
      <c r="D157" s="2" t="s">
        <v>529</v>
      </c>
      <c r="E157" s="2" t="s">
        <v>816</v>
      </c>
      <c r="F157" s="2" t="s">
        <v>1317</v>
      </c>
      <c r="G157" s="2" t="s">
        <v>1318</v>
      </c>
      <c r="H157" s="2" t="s">
        <v>1319</v>
      </c>
      <c r="I157" s="2" t="s">
        <v>1340</v>
      </c>
      <c r="J157" s="2" t="s">
        <v>582</v>
      </c>
      <c r="K157" s="2" t="s">
        <v>605</v>
      </c>
      <c r="L157" s="3">
        <v>75.6</v>
      </c>
      <c r="M157" s="3">
        <v>79.38</v>
      </c>
      <c r="N157" s="3">
        <v>159.99</v>
      </c>
      <c r="O157" s="2" t="s">
        <v>203</v>
      </c>
      <c r="P157" s="2" t="s">
        <v>204</v>
      </c>
      <c r="Q157" s="2" t="s">
        <v>205</v>
      </c>
      <c r="R157" s="2" t="s">
        <v>206</v>
      </c>
      <c r="S157" s="2" t="s">
        <v>1369</v>
      </c>
      <c r="T157" s="2" t="s">
        <v>234</v>
      </c>
      <c r="U157" s="2" t="s">
        <v>537</v>
      </c>
      <c r="V157" s="2" t="s">
        <v>209</v>
      </c>
      <c r="W157" s="2" t="s">
        <v>1322</v>
      </c>
      <c r="X157" s="2" t="s">
        <v>1323</v>
      </c>
      <c r="Y157" s="2" t="s">
        <v>1334</v>
      </c>
      <c r="Z157" s="4">
        <v>185</v>
      </c>
      <c r="AA157" s="4">
        <f>=ROUNDDOWN(61.6666666666667,0)</f>
      </c>
      <c r="AB157" s="5">
        <v>3</v>
      </c>
      <c r="AC157" s="2" t="s">
        <v>206</v>
      </c>
      <c r="AD157" s="4"/>
      <c r="AE157" s="4"/>
      <c r="AF157" s="6">
        <v>66</v>
      </c>
      <c r="AG157" s="6"/>
      <c r="AH157" s="7">
        <v>1</v>
      </c>
      <c r="AI157" s="4"/>
      <c r="AJ157" s="4">
        <f>=ROUNDDOWN({0},0)</f>
      </c>
      <c r="AK157" s="5"/>
      <c r="AL157" s="2" t="s">
        <v>206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206</v>
      </c>
      <c r="AW157" s="8" t="s">
        <v>206</v>
      </c>
      <c r="AX157" s="4" t="s">
        <v>206</v>
      </c>
      <c r="AY157" s="8" t="s">
        <v>206</v>
      </c>
      <c r="AZ157" s="7" t="s">
        <v>206</v>
      </c>
      <c r="BA157" s="7" t="s">
        <v>206</v>
      </c>
      <c r="BB157" s="7" t="s">
        <v>206</v>
      </c>
      <c r="BC157" s="4" t="s">
        <v>206</v>
      </c>
      <c r="BD157" s="8" t="s">
        <v>206</v>
      </c>
      <c r="BE157" s="4" t="s">
        <v>206</v>
      </c>
      <c r="BF157" s="8" t="s">
        <v>206</v>
      </c>
      <c r="BG157" s="7" t="s">
        <v>206</v>
      </c>
      <c r="BH157" s="7" t="s">
        <v>206</v>
      </c>
      <c r="BI157" s="7"/>
      <c r="BJ157" s="4">
        <v>8</v>
      </c>
      <c r="BK157" s="8">
        <v>718.98</v>
      </c>
      <c r="BL157" s="2" t="s">
        <v>1382</v>
      </c>
      <c r="BM157" s="7"/>
      <c r="BN157" s="7"/>
      <c r="BO157" s="4"/>
      <c r="BP157" s="8"/>
      <c r="BQ157" s="4"/>
      <c r="BR157" s="8"/>
      <c r="BS157" s="7"/>
      <c r="BT157" s="7"/>
      <c r="BU157" s="2" t="s">
        <v>1383</v>
      </c>
      <c r="BV157" s="2" t="s">
        <v>206</v>
      </c>
      <c r="BW157" s="2" t="s">
        <v>206</v>
      </c>
      <c r="BX157" s="2" t="s">
        <v>426</v>
      </c>
      <c r="BY157" s="2" t="s">
        <v>215</v>
      </c>
      <c r="BZ157" s="2" t="s">
        <v>203</v>
      </c>
      <c r="CA157" s="2" t="s">
        <v>1334</v>
      </c>
      <c r="CB157" s="2" t="s">
        <v>1384</v>
      </c>
      <c r="CC157" s="2" t="s">
        <v>218</v>
      </c>
      <c r="CD157" s="2" t="s">
        <v>206</v>
      </c>
      <c r="CE157" s="4">
        <v>185</v>
      </c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</row>
    <row r="158">
      <c r="A158" s="2" t="s">
        <v>1385</v>
      </c>
      <c r="B158" s="2" t="s">
        <v>546</v>
      </c>
      <c r="C158" s="2" t="s">
        <v>1316</v>
      </c>
      <c r="D158" s="2" t="s">
        <v>548</v>
      </c>
      <c r="E158" s="2" t="s">
        <v>549</v>
      </c>
      <c r="F158" s="2" t="s">
        <v>1317</v>
      </c>
      <c r="G158" s="2" t="s">
        <v>1318</v>
      </c>
      <c r="H158" s="2" t="s">
        <v>1319</v>
      </c>
      <c r="I158" s="2" t="s">
        <v>1320</v>
      </c>
      <c r="J158" s="2" t="s">
        <v>582</v>
      </c>
      <c r="K158" s="2" t="s">
        <v>605</v>
      </c>
      <c r="L158" s="3">
        <v>72</v>
      </c>
      <c r="M158" s="3">
        <v>75.6</v>
      </c>
      <c r="N158" s="3">
        <v>139.99</v>
      </c>
      <c r="O158" s="2" t="s">
        <v>203</v>
      </c>
      <c r="P158" s="2" t="s">
        <v>204</v>
      </c>
      <c r="Q158" s="2" t="s">
        <v>205</v>
      </c>
      <c r="R158" s="2" t="s">
        <v>206</v>
      </c>
      <c r="S158" s="2" t="s">
        <v>1369</v>
      </c>
      <c r="T158" s="2" t="s">
        <v>234</v>
      </c>
      <c r="U158" s="2" t="s">
        <v>537</v>
      </c>
      <c r="V158" s="2" t="s">
        <v>209</v>
      </c>
      <c r="W158" s="2" t="s">
        <v>1322</v>
      </c>
      <c r="X158" s="2" t="s">
        <v>1323</v>
      </c>
      <c r="Y158" s="2" t="s">
        <v>1334</v>
      </c>
      <c r="Z158" s="4">
        <v>52</v>
      </c>
      <c r="AA158" s="4">
        <f>=ROUNDDOWN(26,0)</f>
      </c>
      <c r="AB158" s="5">
        <v>2</v>
      </c>
      <c r="AC158" s="2" t="s">
        <v>119</v>
      </c>
      <c r="AD158" s="4">
        <v>65</v>
      </c>
      <c r="AE158" s="4">
        <v>65</v>
      </c>
      <c r="AF158" s="6">
        <v>66</v>
      </c>
      <c r="AG158" s="6"/>
      <c r="AH158" s="7">
        <v>1</v>
      </c>
      <c r="AI158" s="4"/>
      <c r="AJ158" s="4">
        <f>=ROUNDDOWN({0},0)</f>
      </c>
      <c r="AK158" s="5"/>
      <c r="AL158" s="2" t="s">
        <v>206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206</v>
      </c>
      <c r="AW158" s="8" t="s">
        <v>206</v>
      </c>
      <c r="AX158" s="4" t="s">
        <v>206</v>
      </c>
      <c r="AY158" s="8" t="s">
        <v>206</v>
      </c>
      <c r="AZ158" s="7" t="s">
        <v>206</v>
      </c>
      <c r="BA158" s="7" t="s">
        <v>206</v>
      </c>
      <c r="BB158" s="7" t="s">
        <v>206</v>
      </c>
      <c r="BC158" s="4" t="s">
        <v>206</v>
      </c>
      <c r="BD158" s="8" t="s">
        <v>206</v>
      </c>
      <c r="BE158" s="4" t="s">
        <v>206</v>
      </c>
      <c r="BF158" s="8" t="s">
        <v>206</v>
      </c>
      <c r="BG158" s="7" t="s">
        <v>206</v>
      </c>
      <c r="BH158" s="7" t="s">
        <v>206</v>
      </c>
      <c r="BI158" s="7"/>
      <c r="BJ158" s="4">
        <v>6</v>
      </c>
      <c r="BK158" s="8">
        <v>477.57</v>
      </c>
      <c r="BL158" s="2" t="s">
        <v>256</v>
      </c>
      <c r="BM158" s="7"/>
      <c r="BN158" s="7"/>
      <c r="BO158" s="4"/>
      <c r="BP158" s="8"/>
      <c r="BQ158" s="4"/>
      <c r="BR158" s="8"/>
      <c r="BS158" s="7"/>
      <c r="BT158" s="7"/>
      <c r="BU158" s="2" t="s">
        <v>1386</v>
      </c>
      <c r="BV158" s="2" t="s">
        <v>206</v>
      </c>
      <c r="BW158" s="2" t="s">
        <v>206</v>
      </c>
      <c r="BX158" s="2" t="s">
        <v>426</v>
      </c>
      <c r="BY158" s="2" t="s">
        <v>215</v>
      </c>
      <c r="BZ158" s="2" t="s">
        <v>203</v>
      </c>
      <c r="CA158" s="2" t="s">
        <v>1387</v>
      </c>
      <c r="CB158" s="2" t="s">
        <v>1388</v>
      </c>
      <c r="CC158" s="2" t="s">
        <v>218</v>
      </c>
      <c r="CD158" s="2" t="s">
        <v>206</v>
      </c>
      <c r="CE158" s="4">
        <v>52</v>
      </c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>
        <v>65</v>
      </c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</row>
    <row r="159">
      <c r="A159" s="2" t="s">
        <v>1389</v>
      </c>
      <c r="B159" s="2" t="s">
        <v>546</v>
      </c>
      <c r="C159" s="2" t="s">
        <v>1316</v>
      </c>
      <c r="D159" s="2" t="s">
        <v>548</v>
      </c>
      <c r="E159" s="2" t="s">
        <v>549</v>
      </c>
      <c r="F159" s="2" t="s">
        <v>1317</v>
      </c>
      <c r="G159" s="2" t="s">
        <v>1318</v>
      </c>
      <c r="H159" s="2" t="s">
        <v>1319</v>
      </c>
      <c r="I159" s="2" t="s">
        <v>1320</v>
      </c>
      <c r="J159" s="2" t="s">
        <v>821</v>
      </c>
      <c r="K159" s="2" t="s">
        <v>1390</v>
      </c>
      <c r="L159" s="3">
        <v>46.53</v>
      </c>
      <c r="M159" s="3">
        <v>48.86</v>
      </c>
      <c r="N159" s="3">
        <v>89.99</v>
      </c>
      <c r="O159" s="2" t="s">
        <v>203</v>
      </c>
      <c r="P159" s="2" t="s">
        <v>492</v>
      </c>
      <c r="Q159" s="2" t="s">
        <v>205</v>
      </c>
      <c r="R159" s="2" t="s">
        <v>206</v>
      </c>
      <c r="S159" s="2" t="s">
        <v>1391</v>
      </c>
      <c r="T159" s="2" t="s">
        <v>234</v>
      </c>
      <c r="U159" s="2" t="s">
        <v>1177</v>
      </c>
      <c r="V159" s="2" t="s">
        <v>209</v>
      </c>
      <c r="W159" s="2" t="s">
        <v>1322</v>
      </c>
      <c r="X159" s="2" t="s">
        <v>1323</v>
      </c>
      <c r="Y159" s="2" t="s">
        <v>1377</v>
      </c>
      <c r="Z159" s="4">
        <v>366</v>
      </c>
      <c r="AA159" s="4">
        <f>=ROUNDDOWN(91.5,0)</f>
      </c>
      <c r="AB159" s="5">
        <v>4</v>
      </c>
      <c r="AC159" s="2" t="s">
        <v>206</v>
      </c>
      <c r="AD159" s="4"/>
      <c r="AE159" s="4"/>
      <c r="AF159" s="6">
        <v>66</v>
      </c>
      <c r="AG159" s="6">
        <v>49</v>
      </c>
      <c r="AH159" s="7">
        <v>1</v>
      </c>
      <c r="AI159" s="4"/>
      <c r="AJ159" s="4">
        <f>=ROUNDDOWN({0},0)</f>
      </c>
      <c r="AK159" s="5"/>
      <c r="AL159" s="2" t="s">
        <v>206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206</v>
      </c>
      <c r="AW159" s="8" t="s">
        <v>206</v>
      </c>
      <c r="AX159" s="4" t="s">
        <v>206</v>
      </c>
      <c r="AY159" s="8" t="s">
        <v>206</v>
      </c>
      <c r="AZ159" s="7" t="s">
        <v>206</v>
      </c>
      <c r="BA159" s="7" t="s">
        <v>206</v>
      </c>
      <c r="BB159" s="7"/>
      <c r="BC159" s="4" t="s">
        <v>206</v>
      </c>
      <c r="BD159" s="8" t="s">
        <v>206</v>
      </c>
      <c r="BE159" s="4" t="s">
        <v>206</v>
      </c>
      <c r="BF159" s="8" t="s">
        <v>206</v>
      </c>
      <c r="BG159" s="7" t="s">
        <v>206</v>
      </c>
      <c r="BH159" s="7" t="s">
        <v>206</v>
      </c>
      <c r="BI159" s="7"/>
      <c r="BJ159" s="4">
        <v>11</v>
      </c>
      <c r="BK159" s="8">
        <v>507.4</v>
      </c>
      <c r="BL159" s="2" t="s">
        <v>1392</v>
      </c>
      <c r="BM159" s="7"/>
      <c r="BN159" s="7"/>
      <c r="BO159" s="4"/>
      <c r="BP159" s="8"/>
      <c r="BQ159" s="4"/>
      <c r="BR159" s="8"/>
      <c r="BS159" s="7"/>
      <c r="BT159" s="7"/>
      <c r="BU159" s="2" t="s">
        <v>1393</v>
      </c>
      <c r="BV159" s="2" t="s">
        <v>206</v>
      </c>
      <c r="BW159" s="2" t="s">
        <v>206</v>
      </c>
      <c r="BX159" s="2" t="s">
        <v>426</v>
      </c>
      <c r="BY159" s="2" t="s">
        <v>215</v>
      </c>
      <c r="BZ159" s="2" t="s">
        <v>203</v>
      </c>
      <c r="CA159" s="2" t="s">
        <v>1380</v>
      </c>
      <c r="CB159" s="2" t="s">
        <v>1394</v>
      </c>
      <c r="CC159" s="2" t="s">
        <v>218</v>
      </c>
      <c r="CD159" s="2" t="s">
        <v>206</v>
      </c>
      <c r="CE159" s="4">
        <v>241</v>
      </c>
      <c r="CF159" s="4"/>
      <c r="CG159" s="4"/>
      <c r="CH159" s="4">
        <v>125</v>
      </c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</row>
    <row r="160">
      <c r="A160" s="2" t="s">
        <v>1395</v>
      </c>
      <c r="B160" s="2" t="s">
        <v>546</v>
      </c>
      <c r="C160" s="2" t="s">
        <v>1316</v>
      </c>
      <c r="D160" s="2" t="s">
        <v>548</v>
      </c>
      <c r="E160" s="2" t="s">
        <v>549</v>
      </c>
      <c r="F160" s="2" t="s">
        <v>1317</v>
      </c>
      <c r="G160" s="2" t="s">
        <v>1318</v>
      </c>
      <c r="H160" s="2" t="s">
        <v>1319</v>
      </c>
      <c r="I160" s="2" t="s">
        <v>1320</v>
      </c>
      <c r="J160" s="2" t="s">
        <v>593</v>
      </c>
      <c r="K160" s="2" t="s">
        <v>1390</v>
      </c>
      <c r="L160" s="3">
        <v>63</v>
      </c>
      <c r="M160" s="3">
        <v>66.15</v>
      </c>
      <c r="N160" s="3">
        <v>119.99</v>
      </c>
      <c r="O160" s="2" t="s">
        <v>203</v>
      </c>
      <c r="P160" s="2" t="s">
        <v>492</v>
      </c>
      <c r="Q160" s="2" t="s">
        <v>205</v>
      </c>
      <c r="R160" s="2" t="s">
        <v>206</v>
      </c>
      <c r="S160" s="2" t="s">
        <v>1391</v>
      </c>
      <c r="T160" s="2" t="s">
        <v>234</v>
      </c>
      <c r="U160" s="2" t="s">
        <v>537</v>
      </c>
      <c r="V160" s="2" t="s">
        <v>209</v>
      </c>
      <c r="W160" s="2" t="s">
        <v>1322</v>
      </c>
      <c r="X160" s="2" t="s">
        <v>1323</v>
      </c>
      <c r="Y160" s="2" t="s">
        <v>1377</v>
      </c>
      <c r="Z160" s="4">
        <v>254</v>
      </c>
      <c r="AA160" s="4">
        <f>=ROUNDDOWN(42.3333333333333,0)</f>
      </c>
      <c r="AB160" s="5">
        <v>6</v>
      </c>
      <c r="AC160" s="2" t="s">
        <v>206</v>
      </c>
      <c r="AD160" s="4"/>
      <c r="AE160" s="4"/>
      <c r="AF160" s="6">
        <v>66</v>
      </c>
      <c r="AG160" s="6">
        <v>49</v>
      </c>
      <c r="AH160" s="7">
        <v>1</v>
      </c>
      <c r="AI160" s="4"/>
      <c r="AJ160" s="4">
        <f>=ROUNDDOWN({0},0)</f>
      </c>
      <c r="AK160" s="5"/>
      <c r="AL160" s="2" t="s">
        <v>206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206</v>
      </c>
      <c r="AW160" s="8" t="s">
        <v>206</v>
      </c>
      <c r="AX160" s="4" t="s">
        <v>206</v>
      </c>
      <c r="AY160" s="8" t="s">
        <v>206</v>
      </c>
      <c r="AZ160" s="7" t="s">
        <v>206</v>
      </c>
      <c r="BA160" s="7" t="s">
        <v>206</v>
      </c>
      <c r="BB160" s="7"/>
      <c r="BC160" s="4" t="s">
        <v>206</v>
      </c>
      <c r="BD160" s="8" t="s">
        <v>206</v>
      </c>
      <c r="BE160" s="4" t="s">
        <v>206</v>
      </c>
      <c r="BF160" s="8" t="s">
        <v>206</v>
      </c>
      <c r="BG160" s="7" t="s">
        <v>206</v>
      </c>
      <c r="BH160" s="7" t="s">
        <v>206</v>
      </c>
      <c r="BI160" s="7"/>
      <c r="BJ160" s="4">
        <v>18</v>
      </c>
      <c r="BK160" s="8">
        <v>1146.54</v>
      </c>
      <c r="BL160" s="2" t="s">
        <v>1396</v>
      </c>
      <c r="BM160" s="7"/>
      <c r="BN160" s="7"/>
      <c r="BO160" s="4"/>
      <c r="BP160" s="8"/>
      <c r="BQ160" s="4"/>
      <c r="BR160" s="8"/>
      <c r="BS160" s="7"/>
      <c r="BT160" s="7"/>
      <c r="BU160" s="2" t="s">
        <v>1397</v>
      </c>
      <c r="BV160" s="2" t="s">
        <v>206</v>
      </c>
      <c r="BW160" s="2" t="s">
        <v>206</v>
      </c>
      <c r="BX160" s="2" t="s">
        <v>426</v>
      </c>
      <c r="BY160" s="2" t="s">
        <v>215</v>
      </c>
      <c r="BZ160" s="2" t="s">
        <v>203</v>
      </c>
      <c r="CA160" s="2" t="s">
        <v>1380</v>
      </c>
      <c r="CB160" s="2" t="s">
        <v>1394</v>
      </c>
      <c r="CC160" s="2" t="s">
        <v>218</v>
      </c>
      <c r="CD160" s="2" t="s">
        <v>206</v>
      </c>
      <c r="CE160" s="4">
        <v>102</v>
      </c>
      <c r="CF160" s="4"/>
      <c r="CG160" s="4"/>
      <c r="CH160" s="4">
        <v>152</v>
      </c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</row>
    <row r="161">
      <c r="A161" s="2" t="s">
        <v>1398</v>
      </c>
      <c r="B161" s="2" t="s">
        <v>546</v>
      </c>
      <c r="C161" s="2" t="s">
        <v>1316</v>
      </c>
      <c r="D161" s="2" t="s">
        <v>548</v>
      </c>
      <c r="E161" s="2" t="s">
        <v>549</v>
      </c>
      <c r="F161" s="2" t="s">
        <v>1317</v>
      </c>
      <c r="G161" s="2" t="s">
        <v>1318</v>
      </c>
      <c r="H161" s="2" t="s">
        <v>1319</v>
      </c>
      <c r="I161" s="2" t="s">
        <v>1320</v>
      </c>
      <c r="J161" s="2" t="s">
        <v>582</v>
      </c>
      <c r="K161" s="2" t="s">
        <v>1390</v>
      </c>
      <c r="L161" s="3">
        <v>72</v>
      </c>
      <c r="M161" s="3">
        <v>75.6</v>
      </c>
      <c r="N161" s="3">
        <v>139.99</v>
      </c>
      <c r="O161" s="2" t="s">
        <v>203</v>
      </c>
      <c r="P161" s="2" t="s">
        <v>492</v>
      </c>
      <c r="Q161" s="2" t="s">
        <v>205</v>
      </c>
      <c r="R161" s="2" t="s">
        <v>206</v>
      </c>
      <c r="S161" s="2" t="s">
        <v>1391</v>
      </c>
      <c r="T161" s="2" t="s">
        <v>234</v>
      </c>
      <c r="U161" s="2" t="s">
        <v>537</v>
      </c>
      <c r="V161" s="2" t="s">
        <v>209</v>
      </c>
      <c r="W161" s="2" t="s">
        <v>1322</v>
      </c>
      <c r="X161" s="2" t="s">
        <v>1323</v>
      </c>
      <c r="Y161" s="2" t="s">
        <v>1377</v>
      </c>
      <c r="Z161" s="4">
        <v>99</v>
      </c>
      <c r="AA161" s="4">
        <f>=ROUNDDOWN(49.5,0)</f>
      </c>
      <c r="AB161" s="5">
        <v>2</v>
      </c>
      <c r="AC161" s="2" t="s">
        <v>206</v>
      </c>
      <c r="AD161" s="4"/>
      <c r="AE161" s="4"/>
      <c r="AF161" s="6">
        <v>66</v>
      </c>
      <c r="AG161" s="6"/>
      <c r="AH161" s="7">
        <v>1</v>
      </c>
      <c r="AI161" s="4"/>
      <c r="AJ161" s="4">
        <f>=ROUNDDOWN({0},0)</f>
      </c>
      <c r="AK161" s="5"/>
      <c r="AL161" s="2" t="s">
        <v>206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206</v>
      </c>
      <c r="AW161" s="8" t="s">
        <v>206</v>
      </c>
      <c r="AX161" s="4" t="s">
        <v>206</v>
      </c>
      <c r="AY161" s="8" t="s">
        <v>206</v>
      </c>
      <c r="AZ161" s="7" t="s">
        <v>206</v>
      </c>
      <c r="BA161" s="7" t="s">
        <v>206</v>
      </c>
      <c r="BB161" s="7"/>
      <c r="BC161" s="4" t="s">
        <v>206</v>
      </c>
      <c r="BD161" s="8" t="s">
        <v>206</v>
      </c>
      <c r="BE161" s="4" t="s">
        <v>206</v>
      </c>
      <c r="BF161" s="8" t="s">
        <v>206</v>
      </c>
      <c r="BG161" s="7" t="s">
        <v>206</v>
      </c>
      <c r="BH161" s="7" t="s">
        <v>206</v>
      </c>
      <c r="BI161" s="7"/>
      <c r="BJ161" s="4">
        <v>3</v>
      </c>
      <c r="BK161" s="8">
        <v>233.19</v>
      </c>
      <c r="BL161" s="2" t="s">
        <v>1399</v>
      </c>
      <c r="BM161" s="7"/>
      <c r="BN161" s="7"/>
      <c r="BO161" s="4"/>
      <c r="BP161" s="8"/>
      <c r="BQ161" s="4"/>
      <c r="BR161" s="8"/>
      <c r="BS161" s="7"/>
      <c r="BT161" s="7"/>
      <c r="BU161" s="2" t="s">
        <v>1400</v>
      </c>
      <c r="BV161" s="2" t="s">
        <v>206</v>
      </c>
      <c r="BW161" s="2" t="s">
        <v>206</v>
      </c>
      <c r="BX161" s="2" t="s">
        <v>426</v>
      </c>
      <c r="BY161" s="2" t="s">
        <v>215</v>
      </c>
      <c r="BZ161" s="2" t="s">
        <v>203</v>
      </c>
      <c r="CA161" s="2" t="s">
        <v>1380</v>
      </c>
      <c r="CB161" s="2" t="s">
        <v>1401</v>
      </c>
      <c r="CC161" s="2" t="s">
        <v>218</v>
      </c>
      <c r="CD161" s="2" t="s">
        <v>206</v>
      </c>
      <c r="CE161" s="4">
        <v>99</v>
      </c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</row>
    <row r="162">
      <c r="A162" s="2" t="s">
        <v>1402</v>
      </c>
      <c r="B162" s="2" t="s">
        <v>662</v>
      </c>
      <c r="C162" s="2" t="s">
        <v>1316</v>
      </c>
      <c r="D162" s="2" t="s">
        <v>684</v>
      </c>
      <c r="E162" s="2" t="s">
        <v>685</v>
      </c>
      <c r="F162" s="2" t="s">
        <v>1317</v>
      </c>
      <c r="G162" s="2" t="s">
        <v>1318</v>
      </c>
      <c r="H162" s="2" t="s">
        <v>1319</v>
      </c>
      <c r="I162" s="2" t="s">
        <v>1403</v>
      </c>
      <c r="J162" s="2" t="s">
        <v>1367</v>
      </c>
      <c r="K162" s="2" t="s">
        <v>1390</v>
      </c>
      <c r="L162" s="3">
        <v>19.8</v>
      </c>
      <c r="M162" s="3">
        <v>20.79</v>
      </c>
      <c r="N162" s="3">
        <v>44.99</v>
      </c>
      <c r="O162" s="2" t="s">
        <v>203</v>
      </c>
      <c r="P162" s="2" t="s">
        <v>204</v>
      </c>
      <c r="Q162" s="2" t="s">
        <v>205</v>
      </c>
      <c r="R162" s="2" t="s">
        <v>206</v>
      </c>
      <c r="S162" s="2" t="s">
        <v>1404</v>
      </c>
      <c r="T162" s="2" t="s">
        <v>234</v>
      </c>
      <c r="U162" s="2" t="s">
        <v>437</v>
      </c>
      <c r="V162" s="2" t="s">
        <v>209</v>
      </c>
      <c r="W162" s="2" t="s">
        <v>210</v>
      </c>
      <c r="X162" s="2" t="s">
        <v>1322</v>
      </c>
      <c r="Y162" s="2" t="s">
        <v>1405</v>
      </c>
      <c r="Z162" s="4">
        <v>220</v>
      </c>
      <c r="AA162" s="4">
        <f>=ROUNDDOWN(13.75,0)</f>
      </c>
      <c r="AB162" s="5">
        <v>16</v>
      </c>
      <c r="AC162" s="2" t="s">
        <v>139</v>
      </c>
      <c r="AD162" s="4">
        <v>300</v>
      </c>
      <c r="AE162" s="4">
        <v>600</v>
      </c>
      <c r="AF162" s="6">
        <v>66</v>
      </c>
      <c r="AG162" s="6"/>
      <c r="AH162" s="7">
        <v>1</v>
      </c>
      <c r="AI162" s="4"/>
      <c r="AJ162" s="4">
        <f>=ROUNDDOWN({0},0)</f>
      </c>
      <c r="AK162" s="5"/>
      <c r="AL162" s="2" t="s">
        <v>206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206</v>
      </c>
      <c r="AW162" s="8" t="s">
        <v>206</v>
      </c>
      <c r="AX162" s="4" t="s">
        <v>206</v>
      </c>
      <c r="AY162" s="8" t="s">
        <v>206</v>
      </c>
      <c r="AZ162" s="7" t="s">
        <v>206</v>
      </c>
      <c r="BA162" s="7" t="s">
        <v>206</v>
      </c>
      <c r="BB162" s="7"/>
      <c r="BC162" s="4" t="s">
        <v>206</v>
      </c>
      <c r="BD162" s="8" t="s">
        <v>206</v>
      </c>
      <c r="BE162" s="4" t="s">
        <v>206</v>
      </c>
      <c r="BF162" s="8" t="s">
        <v>206</v>
      </c>
      <c r="BG162" s="7" t="s">
        <v>206</v>
      </c>
      <c r="BH162" s="7" t="s">
        <v>206</v>
      </c>
      <c r="BI162" s="7"/>
      <c r="BJ162" s="4">
        <v>59</v>
      </c>
      <c r="BK162" s="8">
        <v>1337.31</v>
      </c>
      <c r="BL162" s="2" t="s">
        <v>1406</v>
      </c>
      <c r="BM162" s="7"/>
      <c r="BN162" s="7"/>
      <c r="BO162" s="4"/>
      <c r="BP162" s="8"/>
      <c r="BQ162" s="4"/>
      <c r="BR162" s="8"/>
      <c r="BS162" s="7"/>
      <c r="BT162" s="7"/>
      <c r="BU162" s="2" t="s">
        <v>1407</v>
      </c>
      <c r="BV162" s="2" t="s">
        <v>206</v>
      </c>
      <c r="BW162" s="2" t="s">
        <v>206</v>
      </c>
      <c r="BX162" s="2" t="s">
        <v>214</v>
      </c>
      <c r="BY162" s="2" t="s">
        <v>215</v>
      </c>
      <c r="BZ162" s="2" t="s">
        <v>203</v>
      </c>
      <c r="CA162" s="2" t="s">
        <v>1405</v>
      </c>
      <c r="CB162" s="2" t="s">
        <v>1408</v>
      </c>
      <c r="CC162" s="2" t="s">
        <v>218</v>
      </c>
      <c r="CD162" s="2" t="s">
        <v>206</v>
      </c>
      <c r="CE162" s="4">
        <v>220</v>
      </c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>
        <v>300</v>
      </c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>
        <v>300</v>
      </c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</row>
    <row r="163">
      <c r="A163" s="2" t="s">
        <v>1409</v>
      </c>
      <c r="B163" s="2" t="s">
        <v>546</v>
      </c>
      <c r="C163" s="2" t="s">
        <v>1316</v>
      </c>
      <c r="D163" s="2" t="s">
        <v>529</v>
      </c>
      <c r="E163" s="2" t="s">
        <v>816</v>
      </c>
      <c r="F163" s="2" t="s">
        <v>1317</v>
      </c>
      <c r="G163" s="2" t="s">
        <v>1318</v>
      </c>
      <c r="H163" s="2" t="s">
        <v>1319</v>
      </c>
      <c r="I163" s="2" t="s">
        <v>1340</v>
      </c>
      <c r="J163" s="2" t="s">
        <v>821</v>
      </c>
      <c r="K163" s="2" t="s">
        <v>1410</v>
      </c>
      <c r="L163" s="3">
        <v>52.88</v>
      </c>
      <c r="M163" s="3">
        <v>55.52</v>
      </c>
      <c r="N163" s="3">
        <v>109.99</v>
      </c>
      <c r="O163" s="2" t="s">
        <v>203</v>
      </c>
      <c r="P163" s="2" t="s">
        <v>204</v>
      </c>
      <c r="Q163" s="2" t="s">
        <v>205</v>
      </c>
      <c r="R163" s="2" t="s">
        <v>206</v>
      </c>
      <c r="S163" s="2" t="s">
        <v>1411</v>
      </c>
      <c r="T163" s="2" t="s">
        <v>234</v>
      </c>
      <c r="U163" s="2" t="s">
        <v>1177</v>
      </c>
      <c r="V163" s="2" t="s">
        <v>209</v>
      </c>
      <c r="W163" s="2" t="s">
        <v>1322</v>
      </c>
      <c r="X163" s="2" t="s">
        <v>786</v>
      </c>
      <c r="Y163" s="2" t="s">
        <v>1412</v>
      </c>
      <c r="Z163" s="4">
        <v>179</v>
      </c>
      <c r="AA163" s="4">
        <f>=ROUNDDOWN(59.6666666666667,0)</f>
      </c>
      <c r="AB163" s="5">
        <v>3</v>
      </c>
      <c r="AC163" s="2" t="s">
        <v>514</v>
      </c>
      <c r="AD163" s="4">
        <v>40</v>
      </c>
      <c r="AE163" s="4">
        <v>40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206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206</v>
      </c>
      <c r="AW163" s="8" t="s">
        <v>206</v>
      </c>
      <c r="AX163" s="4" t="s">
        <v>206</v>
      </c>
      <c r="AY163" s="8" t="s">
        <v>206</v>
      </c>
      <c r="AZ163" s="7" t="s">
        <v>206</v>
      </c>
      <c r="BA163" s="7" t="s">
        <v>206</v>
      </c>
      <c r="BB163" s="7" t="s">
        <v>206</v>
      </c>
      <c r="BC163" s="4" t="s">
        <v>206</v>
      </c>
      <c r="BD163" s="8" t="s">
        <v>206</v>
      </c>
      <c r="BE163" s="4" t="s">
        <v>206</v>
      </c>
      <c r="BF163" s="8" t="s">
        <v>206</v>
      </c>
      <c r="BG163" s="7" t="s">
        <v>206</v>
      </c>
      <c r="BH163" s="7" t="s">
        <v>206</v>
      </c>
      <c r="BI163" s="7"/>
      <c r="BJ163" s="4">
        <v>8</v>
      </c>
      <c r="BK163" s="8">
        <v>391.19</v>
      </c>
      <c r="BL163" s="2" t="s">
        <v>1413</v>
      </c>
      <c r="BM163" s="7"/>
      <c r="BN163" s="7"/>
      <c r="BO163" s="4"/>
      <c r="BP163" s="8"/>
      <c r="BQ163" s="4"/>
      <c r="BR163" s="8"/>
      <c r="BS163" s="7"/>
      <c r="BT163" s="7"/>
      <c r="BU163" s="2" t="s">
        <v>1414</v>
      </c>
      <c r="BV163" s="2" t="s">
        <v>206</v>
      </c>
      <c r="BW163" s="2" t="s">
        <v>206</v>
      </c>
      <c r="BX163" s="2" t="s">
        <v>426</v>
      </c>
      <c r="BY163" s="2" t="s">
        <v>215</v>
      </c>
      <c r="BZ163" s="2" t="s">
        <v>203</v>
      </c>
      <c r="CA163" s="2" t="s">
        <v>1415</v>
      </c>
      <c r="CB163" s="2" t="s">
        <v>206</v>
      </c>
      <c r="CC163" s="2" t="s">
        <v>218</v>
      </c>
      <c r="CD163" s="2" t="s">
        <v>206</v>
      </c>
      <c r="CE163" s="4">
        <v>179</v>
      </c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>
        <v>40</v>
      </c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</row>
    <row r="164">
      <c r="A164" s="2" t="s">
        <v>1416</v>
      </c>
      <c r="B164" s="2" t="s">
        <v>546</v>
      </c>
      <c r="C164" s="2" t="s">
        <v>1316</v>
      </c>
      <c r="D164" s="2" t="s">
        <v>548</v>
      </c>
      <c r="E164" s="2" t="s">
        <v>549</v>
      </c>
      <c r="F164" s="2" t="s">
        <v>1317</v>
      </c>
      <c r="G164" s="2" t="s">
        <v>1318</v>
      </c>
      <c r="H164" s="2" t="s">
        <v>1319</v>
      </c>
      <c r="I164" s="2" t="s">
        <v>1320</v>
      </c>
      <c r="J164" s="2" t="s">
        <v>821</v>
      </c>
      <c r="K164" s="2" t="s">
        <v>1410</v>
      </c>
      <c r="L164" s="3">
        <v>46.53</v>
      </c>
      <c r="M164" s="3">
        <v>48.86</v>
      </c>
      <c r="N164" s="3">
        <v>89.99</v>
      </c>
      <c r="O164" s="2" t="s">
        <v>203</v>
      </c>
      <c r="P164" s="2" t="s">
        <v>204</v>
      </c>
      <c r="Q164" s="2" t="s">
        <v>205</v>
      </c>
      <c r="R164" s="2" t="s">
        <v>206</v>
      </c>
      <c r="S164" s="2" t="s">
        <v>1411</v>
      </c>
      <c r="T164" s="2" t="s">
        <v>234</v>
      </c>
      <c r="U164" s="2" t="s">
        <v>1177</v>
      </c>
      <c r="V164" s="2" t="s">
        <v>209</v>
      </c>
      <c r="W164" s="2" t="s">
        <v>1322</v>
      </c>
      <c r="X164" s="2" t="s">
        <v>786</v>
      </c>
      <c r="Y164" s="2" t="s">
        <v>1412</v>
      </c>
      <c r="Z164" s="4">
        <v>76</v>
      </c>
      <c r="AA164" s="4">
        <f>=ROUNDDOWN(38,0)</f>
      </c>
      <c r="AB164" s="5">
        <v>2</v>
      </c>
      <c r="AC164" s="2" t="s">
        <v>514</v>
      </c>
      <c r="AD164" s="4">
        <v>40</v>
      </c>
      <c r="AE164" s="4">
        <v>40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206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206</v>
      </c>
      <c r="AW164" s="8" t="s">
        <v>206</v>
      </c>
      <c r="AX164" s="4" t="s">
        <v>206</v>
      </c>
      <c r="AY164" s="8" t="s">
        <v>206</v>
      </c>
      <c r="AZ164" s="7" t="s">
        <v>206</v>
      </c>
      <c r="BA164" s="7" t="s">
        <v>206</v>
      </c>
      <c r="BB164" s="7" t="s">
        <v>206</v>
      </c>
      <c r="BC164" s="4" t="s">
        <v>206</v>
      </c>
      <c r="BD164" s="8" t="s">
        <v>206</v>
      </c>
      <c r="BE164" s="4" t="s">
        <v>206</v>
      </c>
      <c r="BF164" s="8" t="s">
        <v>206</v>
      </c>
      <c r="BG164" s="7" t="s">
        <v>206</v>
      </c>
      <c r="BH164" s="7" t="s">
        <v>206</v>
      </c>
      <c r="BI164" s="7"/>
      <c r="BJ164" s="4">
        <v>1</v>
      </c>
      <c r="BK164" s="8">
        <v>48.3</v>
      </c>
      <c r="BL164" s="2" t="s">
        <v>1417</v>
      </c>
      <c r="BM164" s="7"/>
      <c r="BN164" s="7"/>
      <c r="BO164" s="4"/>
      <c r="BP164" s="8"/>
      <c r="BQ164" s="4"/>
      <c r="BR164" s="8"/>
      <c r="BS164" s="7"/>
      <c r="BT164" s="7"/>
      <c r="BU164" s="2" t="s">
        <v>1418</v>
      </c>
      <c r="BV164" s="2" t="s">
        <v>206</v>
      </c>
      <c r="BW164" s="2" t="s">
        <v>206</v>
      </c>
      <c r="BX164" s="2" t="s">
        <v>426</v>
      </c>
      <c r="BY164" s="2" t="s">
        <v>215</v>
      </c>
      <c r="BZ164" s="2" t="s">
        <v>203</v>
      </c>
      <c r="CA164" s="2" t="s">
        <v>1419</v>
      </c>
      <c r="CB164" s="2" t="s">
        <v>489</v>
      </c>
      <c r="CC164" s="2" t="s">
        <v>218</v>
      </c>
      <c r="CD164" s="2" t="s">
        <v>206</v>
      </c>
      <c r="CE164" s="4">
        <v>76</v>
      </c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>
        <v>40</v>
      </c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</row>
    <row r="165">
      <c r="A165" s="2" t="s">
        <v>1420</v>
      </c>
      <c r="B165" s="2" t="s">
        <v>546</v>
      </c>
      <c r="C165" s="2" t="s">
        <v>1316</v>
      </c>
      <c r="D165" s="2" t="s">
        <v>529</v>
      </c>
      <c r="E165" s="2" t="s">
        <v>816</v>
      </c>
      <c r="F165" s="2" t="s">
        <v>1317</v>
      </c>
      <c r="G165" s="2" t="s">
        <v>1318</v>
      </c>
      <c r="H165" s="2" t="s">
        <v>1319</v>
      </c>
      <c r="I165" s="2" t="s">
        <v>1340</v>
      </c>
      <c r="J165" s="2" t="s">
        <v>593</v>
      </c>
      <c r="K165" s="2" t="s">
        <v>1410</v>
      </c>
      <c r="L165" s="3">
        <v>66.96</v>
      </c>
      <c r="M165" s="3">
        <v>70.31</v>
      </c>
      <c r="N165" s="3">
        <v>139.99</v>
      </c>
      <c r="O165" s="2" t="s">
        <v>203</v>
      </c>
      <c r="P165" s="2" t="s">
        <v>204</v>
      </c>
      <c r="Q165" s="2" t="s">
        <v>205</v>
      </c>
      <c r="R165" s="2" t="s">
        <v>206</v>
      </c>
      <c r="S165" s="2" t="s">
        <v>1411</v>
      </c>
      <c r="T165" s="2" t="s">
        <v>234</v>
      </c>
      <c r="U165" s="2" t="s">
        <v>537</v>
      </c>
      <c r="V165" s="2" t="s">
        <v>209</v>
      </c>
      <c r="W165" s="2" t="s">
        <v>1322</v>
      </c>
      <c r="X165" s="2" t="s">
        <v>786</v>
      </c>
      <c r="Y165" s="2" t="s">
        <v>1412</v>
      </c>
      <c r="Z165" s="4">
        <v>314</v>
      </c>
      <c r="AA165" s="4">
        <f>=ROUNDDOWN(52.3333333333333,0)</f>
      </c>
      <c r="AB165" s="5">
        <v>6</v>
      </c>
      <c r="AC165" s="2" t="s">
        <v>514</v>
      </c>
      <c r="AD165" s="4">
        <v>100</v>
      </c>
      <c r="AE165" s="4">
        <v>100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206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206</v>
      </c>
      <c r="AW165" s="8" t="s">
        <v>206</v>
      </c>
      <c r="AX165" s="4" t="s">
        <v>206</v>
      </c>
      <c r="AY165" s="8" t="s">
        <v>206</v>
      </c>
      <c r="AZ165" s="7" t="s">
        <v>206</v>
      </c>
      <c r="BA165" s="7" t="s">
        <v>206</v>
      </c>
      <c r="BB165" s="7" t="s">
        <v>206</v>
      </c>
      <c r="BC165" s="4" t="s">
        <v>206</v>
      </c>
      <c r="BD165" s="8" t="s">
        <v>206</v>
      </c>
      <c r="BE165" s="4" t="s">
        <v>206</v>
      </c>
      <c r="BF165" s="8" t="s">
        <v>206</v>
      </c>
      <c r="BG165" s="7" t="s">
        <v>206</v>
      </c>
      <c r="BH165" s="7" t="s">
        <v>206</v>
      </c>
      <c r="BI165" s="7"/>
      <c r="BJ165" s="4">
        <v>14</v>
      </c>
      <c r="BK165" s="8">
        <v>984.72</v>
      </c>
      <c r="BL165" s="2" t="s">
        <v>1421</v>
      </c>
      <c r="BM165" s="7"/>
      <c r="BN165" s="7"/>
      <c r="BO165" s="4"/>
      <c r="BP165" s="8"/>
      <c r="BQ165" s="4"/>
      <c r="BR165" s="8"/>
      <c r="BS165" s="7"/>
      <c r="BT165" s="7"/>
      <c r="BU165" s="2" t="s">
        <v>1422</v>
      </c>
      <c r="BV165" s="2" t="s">
        <v>206</v>
      </c>
      <c r="BW165" s="2" t="s">
        <v>206</v>
      </c>
      <c r="BX165" s="2" t="s">
        <v>426</v>
      </c>
      <c r="BY165" s="2" t="s">
        <v>215</v>
      </c>
      <c r="BZ165" s="2" t="s">
        <v>203</v>
      </c>
      <c r="CA165" s="2" t="s">
        <v>1423</v>
      </c>
      <c r="CB165" s="2" t="s">
        <v>1424</v>
      </c>
      <c r="CC165" s="2" t="s">
        <v>218</v>
      </c>
      <c r="CD165" s="2" t="s">
        <v>206</v>
      </c>
      <c r="CE165" s="4">
        <v>314</v>
      </c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>
        <v>100</v>
      </c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</row>
    <row r="166">
      <c r="A166" s="2" t="s">
        <v>1425</v>
      </c>
      <c r="B166" s="2" t="s">
        <v>546</v>
      </c>
      <c r="C166" s="2" t="s">
        <v>1316</v>
      </c>
      <c r="D166" s="2" t="s">
        <v>548</v>
      </c>
      <c r="E166" s="2" t="s">
        <v>549</v>
      </c>
      <c r="F166" s="2" t="s">
        <v>1317</v>
      </c>
      <c r="G166" s="2" t="s">
        <v>1318</v>
      </c>
      <c r="H166" s="2" t="s">
        <v>1319</v>
      </c>
      <c r="I166" s="2" t="s">
        <v>1320</v>
      </c>
      <c r="J166" s="2" t="s">
        <v>593</v>
      </c>
      <c r="K166" s="2" t="s">
        <v>1410</v>
      </c>
      <c r="L166" s="3">
        <v>63</v>
      </c>
      <c r="M166" s="3">
        <v>66.15</v>
      </c>
      <c r="N166" s="3">
        <v>119.99</v>
      </c>
      <c r="O166" s="2" t="s">
        <v>203</v>
      </c>
      <c r="P166" s="2" t="s">
        <v>204</v>
      </c>
      <c r="Q166" s="2" t="s">
        <v>205</v>
      </c>
      <c r="R166" s="2" t="s">
        <v>206</v>
      </c>
      <c r="S166" s="2" t="s">
        <v>1411</v>
      </c>
      <c r="T166" s="2" t="s">
        <v>234</v>
      </c>
      <c r="U166" s="2" t="s">
        <v>537</v>
      </c>
      <c r="V166" s="2" t="s">
        <v>209</v>
      </c>
      <c r="W166" s="2" t="s">
        <v>1322</v>
      </c>
      <c r="X166" s="2" t="s">
        <v>786</v>
      </c>
      <c r="Y166" s="2" t="s">
        <v>1412</v>
      </c>
      <c r="Z166" s="4">
        <v>146</v>
      </c>
      <c r="AA166" s="4">
        <f>=ROUNDDOWN(36.5,0)</f>
      </c>
      <c r="AB166" s="5">
        <v>4</v>
      </c>
      <c r="AC166" s="2" t="s">
        <v>514</v>
      </c>
      <c r="AD166" s="4">
        <v>60</v>
      </c>
      <c r="AE166" s="4">
        <v>60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206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206</v>
      </c>
      <c r="AW166" s="8" t="s">
        <v>206</v>
      </c>
      <c r="AX166" s="4" t="s">
        <v>206</v>
      </c>
      <c r="AY166" s="8" t="s">
        <v>206</v>
      </c>
      <c r="AZ166" s="7" t="s">
        <v>206</v>
      </c>
      <c r="BA166" s="7" t="s">
        <v>206</v>
      </c>
      <c r="BB166" s="7" t="s">
        <v>206</v>
      </c>
      <c r="BC166" s="4" t="s">
        <v>206</v>
      </c>
      <c r="BD166" s="8" t="s">
        <v>206</v>
      </c>
      <c r="BE166" s="4" t="s">
        <v>206</v>
      </c>
      <c r="BF166" s="8" t="s">
        <v>206</v>
      </c>
      <c r="BG166" s="7" t="s">
        <v>206</v>
      </c>
      <c r="BH166" s="7" t="s">
        <v>206</v>
      </c>
      <c r="BI166" s="7"/>
      <c r="BJ166" s="4">
        <v>3</v>
      </c>
      <c r="BK166" s="8">
        <v>192.33</v>
      </c>
      <c r="BL166" s="2" t="s">
        <v>1308</v>
      </c>
      <c r="BM166" s="7"/>
      <c r="BN166" s="7"/>
      <c r="BO166" s="4"/>
      <c r="BP166" s="8"/>
      <c r="BQ166" s="4"/>
      <c r="BR166" s="8"/>
      <c r="BS166" s="7"/>
      <c r="BT166" s="7"/>
      <c r="BU166" s="2" t="s">
        <v>1426</v>
      </c>
      <c r="BV166" s="2" t="s">
        <v>206</v>
      </c>
      <c r="BW166" s="2" t="s">
        <v>206</v>
      </c>
      <c r="BX166" s="2" t="s">
        <v>426</v>
      </c>
      <c r="BY166" s="2" t="s">
        <v>215</v>
      </c>
      <c r="BZ166" s="2" t="s">
        <v>203</v>
      </c>
      <c r="CA166" s="2" t="s">
        <v>1419</v>
      </c>
      <c r="CB166" s="2" t="s">
        <v>1427</v>
      </c>
      <c r="CC166" s="2" t="s">
        <v>218</v>
      </c>
      <c r="CD166" s="2" t="s">
        <v>206</v>
      </c>
      <c r="CE166" s="4">
        <v>146</v>
      </c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>
        <v>60</v>
      </c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</row>
    <row r="167">
      <c r="A167" s="2" t="s">
        <v>1428</v>
      </c>
      <c r="B167" s="2" t="s">
        <v>546</v>
      </c>
      <c r="C167" s="2" t="s">
        <v>1316</v>
      </c>
      <c r="D167" s="2" t="s">
        <v>529</v>
      </c>
      <c r="E167" s="2" t="s">
        <v>816</v>
      </c>
      <c r="F167" s="2" t="s">
        <v>1317</v>
      </c>
      <c r="G167" s="2" t="s">
        <v>1318</v>
      </c>
      <c r="H167" s="2" t="s">
        <v>1319</v>
      </c>
      <c r="I167" s="2" t="s">
        <v>1340</v>
      </c>
      <c r="J167" s="2" t="s">
        <v>582</v>
      </c>
      <c r="K167" s="2" t="s">
        <v>1410</v>
      </c>
      <c r="L167" s="3">
        <v>75.6</v>
      </c>
      <c r="M167" s="3">
        <v>79.38</v>
      </c>
      <c r="N167" s="3">
        <v>159.99</v>
      </c>
      <c r="O167" s="2" t="s">
        <v>203</v>
      </c>
      <c r="P167" s="2" t="s">
        <v>204</v>
      </c>
      <c r="Q167" s="2" t="s">
        <v>205</v>
      </c>
      <c r="R167" s="2" t="s">
        <v>206</v>
      </c>
      <c r="S167" s="2" t="s">
        <v>1411</v>
      </c>
      <c r="T167" s="2" t="s">
        <v>234</v>
      </c>
      <c r="U167" s="2" t="s">
        <v>537</v>
      </c>
      <c r="V167" s="2" t="s">
        <v>209</v>
      </c>
      <c r="W167" s="2" t="s">
        <v>1322</v>
      </c>
      <c r="X167" s="2" t="s">
        <v>786</v>
      </c>
      <c r="Y167" s="2" t="s">
        <v>1412</v>
      </c>
      <c r="Z167" s="4">
        <v>143</v>
      </c>
      <c r="AA167" s="4">
        <f>=ROUNDDOWN(47.6666666666667,0)</f>
      </c>
      <c r="AB167" s="5">
        <v>3</v>
      </c>
      <c r="AC167" s="2" t="s">
        <v>514</v>
      </c>
      <c r="AD167" s="4">
        <v>40</v>
      </c>
      <c r="AE167" s="4">
        <v>40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206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206</v>
      </c>
      <c r="AW167" s="8" t="s">
        <v>206</v>
      </c>
      <c r="AX167" s="4" t="s">
        <v>206</v>
      </c>
      <c r="AY167" s="8" t="s">
        <v>206</v>
      </c>
      <c r="AZ167" s="7" t="s">
        <v>206</v>
      </c>
      <c r="BA167" s="7" t="s">
        <v>206</v>
      </c>
      <c r="BB167" s="7"/>
      <c r="BC167" s="4" t="s">
        <v>206</v>
      </c>
      <c r="BD167" s="8" t="s">
        <v>206</v>
      </c>
      <c r="BE167" s="4" t="s">
        <v>206</v>
      </c>
      <c r="BF167" s="8" t="s">
        <v>206</v>
      </c>
      <c r="BG167" s="7" t="s">
        <v>206</v>
      </c>
      <c r="BH167" s="7" t="s">
        <v>206</v>
      </c>
      <c r="BI167" s="7"/>
      <c r="BJ167" s="4">
        <v>3</v>
      </c>
      <c r="BK167" s="8">
        <v>246</v>
      </c>
      <c r="BL167" s="2" t="s">
        <v>1429</v>
      </c>
      <c r="BM167" s="7"/>
      <c r="BN167" s="7"/>
      <c r="BO167" s="4"/>
      <c r="BP167" s="8"/>
      <c r="BQ167" s="4"/>
      <c r="BR167" s="8"/>
      <c r="BS167" s="7"/>
      <c r="BT167" s="7"/>
      <c r="BU167" s="2" t="s">
        <v>1430</v>
      </c>
      <c r="BV167" s="2" t="s">
        <v>206</v>
      </c>
      <c r="BW167" s="2" t="s">
        <v>206</v>
      </c>
      <c r="BX167" s="2" t="s">
        <v>426</v>
      </c>
      <c r="BY167" s="2" t="s">
        <v>215</v>
      </c>
      <c r="BZ167" s="2" t="s">
        <v>203</v>
      </c>
      <c r="CA167" s="2" t="s">
        <v>1415</v>
      </c>
      <c r="CB167" s="2" t="s">
        <v>1431</v>
      </c>
      <c r="CC167" s="2" t="s">
        <v>218</v>
      </c>
      <c r="CD167" s="2" t="s">
        <v>206</v>
      </c>
      <c r="CE167" s="4">
        <v>143</v>
      </c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>
        <v>40</v>
      </c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</row>
    <row r="168">
      <c r="A168" s="2" t="s">
        <v>1432</v>
      </c>
      <c r="B168" s="2" t="s">
        <v>1433</v>
      </c>
      <c r="C168" s="2" t="s">
        <v>562</v>
      </c>
      <c r="D168" s="2" t="s">
        <v>1434</v>
      </c>
      <c r="E168" s="2" t="s">
        <v>1435</v>
      </c>
      <c r="F168" s="2" t="s">
        <v>1436</v>
      </c>
      <c r="G168" s="2" t="s">
        <v>1436</v>
      </c>
      <c r="H168" s="2" t="s">
        <v>1436</v>
      </c>
      <c r="I168" s="2" t="s">
        <v>1437</v>
      </c>
      <c r="J168" s="2" t="s">
        <v>1438</v>
      </c>
      <c r="K168" s="2" t="s">
        <v>1437</v>
      </c>
      <c r="L168" s="3">
        <v>7.42</v>
      </c>
      <c r="M168" s="3">
        <v>7.79</v>
      </c>
      <c r="N168" s="3">
        <v>15.99</v>
      </c>
      <c r="O168" s="2" t="s">
        <v>203</v>
      </c>
      <c r="P168" s="2" t="s">
        <v>204</v>
      </c>
      <c r="Q168" s="2" t="s">
        <v>205</v>
      </c>
      <c r="R168" s="2" t="s">
        <v>206</v>
      </c>
      <c r="S168" s="2" t="s">
        <v>206</v>
      </c>
      <c r="T168" s="2" t="s">
        <v>206</v>
      </c>
      <c r="U168" s="2" t="s">
        <v>437</v>
      </c>
      <c r="V168" s="2" t="s">
        <v>468</v>
      </c>
      <c r="W168" s="2" t="s">
        <v>210</v>
      </c>
      <c r="X168" s="2" t="s">
        <v>206</v>
      </c>
      <c r="Y168" s="2" t="s">
        <v>240</v>
      </c>
      <c r="Z168" s="4">
        <v>206</v>
      </c>
      <c r="AA168" s="4">
        <f>=ROUNDDOWN(8.24,0)</f>
      </c>
      <c r="AB168" s="5">
        <v>25</v>
      </c>
      <c r="AC168" s="2" t="s">
        <v>127</v>
      </c>
      <c r="AD168" s="4">
        <v>1200</v>
      </c>
      <c r="AE168" s="4">
        <v>1200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206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 t="s">
        <v>206</v>
      </c>
      <c r="BD168" s="8" t="s">
        <v>206</v>
      </c>
      <c r="BE168" s="4" t="s">
        <v>206</v>
      </c>
      <c r="BF168" s="8" t="s">
        <v>206</v>
      </c>
      <c r="BG168" s="7" t="s">
        <v>206</v>
      </c>
      <c r="BH168" s="7" t="s">
        <v>206</v>
      </c>
      <c r="BI168" s="7"/>
      <c r="BJ168" s="4">
        <v>312</v>
      </c>
      <c r="BK168" s="8">
        <v>3444.48</v>
      </c>
      <c r="BL168" s="2" t="s">
        <v>1439</v>
      </c>
      <c r="BM168" s="7"/>
      <c r="BN168" s="7"/>
      <c r="BO168" s="4"/>
      <c r="BP168" s="8"/>
      <c r="BQ168" s="4"/>
      <c r="BR168" s="8"/>
      <c r="BS168" s="7"/>
      <c r="BT168" s="7"/>
      <c r="BU168" s="2" t="s">
        <v>1440</v>
      </c>
      <c r="BV168" s="2" t="s">
        <v>206</v>
      </c>
      <c r="BW168" s="2" t="s">
        <v>206</v>
      </c>
      <c r="BX168" s="2" t="s">
        <v>214</v>
      </c>
      <c r="BY168" s="2" t="s">
        <v>215</v>
      </c>
      <c r="BZ168" s="2" t="s">
        <v>203</v>
      </c>
      <c r="CA168" s="2" t="s">
        <v>206</v>
      </c>
      <c r="CB168" s="2" t="s">
        <v>206</v>
      </c>
      <c r="CC168" s="2" t="s">
        <v>218</v>
      </c>
      <c r="CD168" s="2" t="s">
        <v>206</v>
      </c>
      <c r="CE168" s="4">
        <v>206</v>
      </c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>
        <v>1200</v>
      </c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</row>
    <row r="169">
      <c r="A169" s="2" t="s">
        <v>1441</v>
      </c>
      <c r="B169" s="2" t="s">
        <v>1433</v>
      </c>
      <c r="C169" s="2" t="s">
        <v>562</v>
      </c>
      <c r="D169" s="2" t="s">
        <v>1434</v>
      </c>
      <c r="E169" s="2" t="s">
        <v>1435</v>
      </c>
      <c r="F169" s="2" t="s">
        <v>1436</v>
      </c>
      <c r="G169" s="2" t="s">
        <v>1436</v>
      </c>
      <c r="H169" s="2" t="s">
        <v>1436</v>
      </c>
      <c r="I169" s="2" t="s">
        <v>1442</v>
      </c>
      <c r="J169" s="2" t="s">
        <v>434</v>
      </c>
      <c r="K169" s="2" t="s">
        <v>1443</v>
      </c>
      <c r="L169" s="3">
        <v>10.39</v>
      </c>
      <c r="M169" s="3">
        <v>10.91</v>
      </c>
      <c r="N169" s="3">
        <v>18.99</v>
      </c>
      <c r="O169" s="2" t="s">
        <v>203</v>
      </c>
      <c r="P169" s="2" t="s">
        <v>204</v>
      </c>
      <c r="Q169" s="2" t="s">
        <v>205</v>
      </c>
      <c r="R169" s="2" t="s">
        <v>206</v>
      </c>
      <c r="S169" s="2" t="s">
        <v>206</v>
      </c>
      <c r="T169" s="2" t="s">
        <v>206</v>
      </c>
      <c r="U169" s="2" t="s">
        <v>900</v>
      </c>
      <c r="V169" s="2" t="s">
        <v>468</v>
      </c>
      <c r="W169" s="2" t="s">
        <v>210</v>
      </c>
      <c r="X169" s="2" t="s">
        <v>206</v>
      </c>
      <c r="Y169" s="2" t="s">
        <v>1444</v>
      </c>
      <c r="Z169" s="4">
        <v>607</v>
      </c>
      <c r="AA169" s="4">
        <f>=ROUNDDOWN(303.5,0)</f>
      </c>
      <c r="AB169" s="5">
        <v>2</v>
      </c>
      <c r="AC169" s="2" t="s">
        <v>206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206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 t="s">
        <v>206</v>
      </c>
      <c r="BD169" s="8" t="s">
        <v>206</v>
      </c>
      <c r="BE169" s="4" t="s">
        <v>206</v>
      </c>
      <c r="BF169" s="8" t="s">
        <v>206</v>
      </c>
      <c r="BG169" s="7" t="s">
        <v>206</v>
      </c>
      <c r="BH169" s="7" t="s">
        <v>206</v>
      </c>
      <c r="BI169" s="7"/>
      <c r="BJ169" s="4"/>
      <c r="BK169" s="8"/>
      <c r="BL169" s="2" t="s">
        <v>206</v>
      </c>
      <c r="BM169" s="7"/>
      <c r="BN169" s="7"/>
      <c r="BO169" s="4"/>
      <c r="BP169" s="8"/>
      <c r="BQ169" s="4"/>
      <c r="BR169" s="8"/>
      <c r="BS169" s="7"/>
      <c r="BT169" s="7"/>
      <c r="BU169" s="2" t="s">
        <v>1445</v>
      </c>
      <c r="BV169" s="2" t="s">
        <v>206</v>
      </c>
      <c r="BW169" s="2" t="s">
        <v>206</v>
      </c>
      <c r="BX169" s="2" t="s">
        <v>214</v>
      </c>
      <c r="BY169" s="2" t="s">
        <v>215</v>
      </c>
      <c r="BZ169" s="2" t="s">
        <v>203</v>
      </c>
      <c r="CA169" s="2" t="s">
        <v>513</v>
      </c>
      <c r="CB169" s="2" t="s">
        <v>1446</v>
      </c>
      <c r="CC169" s="2" t="s">
        <v>218</v>
      </c>
      <c r="CD169" s="2" t="s">
        <v>206</v>
      </c>
      <c r="CE169" s="4"/>
      <c r="CF169" s="4">
        <v>304</v>
      </c>
      <c r="CG169" s="4"/>
      <c r="CH169" s="4">
        <v>303</v>
      </c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</row>
    <row r="170">
      <c r="A170" s="2" t="s">
        <v>1447</v>
      </c>
      <c r="B170" s="2" t="s">
        <v>1433</v>
      </c>
      <c r="C170" s="2" t="s">
        <v>562</v>
      </c>
      <c r="D170" s="2" t="s">
        <v>1434</v>
      </c>
      <c r="E170" s="2" t="s">
        <v>1435</v>
      </c>
      <c r="F170" s="2" t="s">
        <v>1436</v>
      </c>
      <c r="G170" s="2" t="s">
        <v>1436</v>
      </c>
      <c r="H170" s="2" t="s">
        <v>1436</v>
      </c>
      <c r="I170" s="2" t="s">
        <v>1448</v>
      </c>
      <c r="J170" s="2" t="s">
        <v>434</v>
      </c>
      <c r="K170" s="2" t="s">
        <v>1449</v>
      </c>
      <c r="L170" s="3">
        <v>6.36</v>
      </c>
      <c r="M170" s="3">
        <v>6.68</v>
      </c>
      <c r="N170" s="3">
        <v>12.99</v>
      </c>
      <c r="O170" s="2" t="s">
        <v>203</v>
      </c>
      <c r="P170" s="2" t="s">
        <v>204</v>
      </c>
      <c r="Q170" s="2" t="s">
        <v>205</v>
      </c>
      <c r="R170" s="2" t="s">
        <v>206</v>
      </c>
      <c r="S170" s="2" t="s">
        <v>206</v>
      </c>
      <c r="T170" s="2" t="s">
        <v>206</v>
      </c>
      <c r="U170" s="2" t="s">
        <v>437</v>
      </c>
      <c r="V170" s="2" t="s">
        <v>468</v>
      </c>
      <c r="W170" s="2" t="s">
        <v>210</v>
      </c>
      <c r="X170" s="2" t="s">
        <v>206</v>
      </c>
      <c r="Y170" s="2" t="s">
        <v>1444</v>
      </c>
      <c r="Z170" s="4">
        <v>201</v>
      </c>
      <c r="AA170" s="4">
        <f>=ROUNDDOWN(40.2,0)</f>
      </c>
      <c r="AB170" s="5">
        <v>5</v>
      </c>
      <c r="AC170" s="2" t="s">
        <v>206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206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 t="s">
        <v>206</v>
      </c>
      <c r="BD170" s="8" t="s">
        <v>206</v>
      </c>
      <c r="BE170" s="4" t="s">
        <v>206</v>
      </c>
      <c r="BF170" s="8" t="s">
        <v>206</v>
      </c>
      <c r="BG170" s="7" t="s">
        <v>206</v>
      </c>
      <c r="BH170" s="7" t="s">
        <v>206</v>
      </c>
      <c r="BI170" s="7"/>
      <c r="BJ170" s="4"/>
      <c r="BK170" s="8"/>
      <c r="BL170" s="2" t="s">
        <v>1450</v>
      </c>
      <c r="BM170" s="7"/>
      <c r="BN170" s="7"/>
      <c r="BO170" s="4"/>
      <c r="BP170" s="8"/>
      <c r="BQ170" s="4"/>
      <c r="BR170" s="8"/>
      <c r="BS170" s="7"/>
      <c r="BT170" s="7"/>
      <c r="BU170" s="2" t="s">
        <v>1451</v>
      </c>
      <c r="BV170" s="2" t="s">
        <v>206</v>
      </c>
      <c r="BW170" s="2" t="s">
        <v>206</v>
      </c>
      <c r="BX170" s="2" t="s">
        <v>214</v>
      </c>
      <c r="BY170" s="2" t="s">
        <v>215</v>
      </c>
      <c r="BZ170" s="2" t="s">
        <v>203</v>
      </c>
      <c r="CA170" s="2" t="s">
        <v>513</v>
      </c>
      <c r="CB170" s="2" t="s">
        <v>1452</v>
      </c>
      <c r="CC170" s="2" t="s">
        <v>218</v>
      </c>
      <c r="CD170" s="2" t="s">
        <v>206</v>
      </c>
      <c r="CE170" s="4"/>
      <c r="CF170" s="4">
        <v>111</v>
      </c>
      <c r="CG170" s="4"/>
      <c r="CH170" s="4">
        <v>90</v>
      </c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</row>
    <row r="171">
      <c r="A171" s="2" t="s">
        <v>1453</v>
      </c>
      <c r="B171" s="2" t="s">
        <v>1433</v>
      </c>
      <c r="C171" s="2" t="s">
        <v>562</v>
      </c>
      <c r="D171" s="2" t="s">
        <v>1434</v>
      </c>
      <c r="E171" s="2" t="s">
        <v>1435</v>
      </c>
      <c r="F171" s="2" t="s">
        <v>1436</v>
      </c>
      <c r="G171" s="2" t="s">
        <v>1436</v>
      </c>
      <c r="H171" s="2" t="s">
        <v>1436</v>
      </c>
      <c r="I171" s="2" t="s">
        <v>1454</v>
      </c>
      <c r="J171" s="2" t="s">
        <v>434</v>
      </c>
      <c r="K171" s="2" t="s">
        <v>1455</v>
      </c>
      <c r="L171" s="3">
        <v>9.92</v>
      </c>
      <c r="M171" s="3">
        <v>10.42</v>
      </c>
      <c r="N171" s="3">
        <v>18.99</v>
      </c>
      <c r="O171" s="2" t="s">
        <v>203</v>
      </c>
      <c r="P171" s="2" t="s">
        <v>204</v>
      </c>
      <c r="Q171" s="2" t="s">
        <v>205</v>
      </c>
      <c r="R171" s="2" t="s">
        <v>206</v>
      </c>
      <c r="S171" s="2" t="s">
        <v>206</v>
      </c>
      <c r="T171" s="2" t="s">
        <v>206</v>
      </c>
      <c r="U171" s="2" t="s">
        <v>900</v>
      </c>
      <c r="V171" s="2" t="s">
        <v>468</v>
      </c>
      <c r="W171" s="2" t="s">
        <v>210</v>
      </c>
      <c r="X171" s="2" t="s">
        <v>206</v>
      </c>
      <c r="Y171" s="2" t="s">
        <v>1444</v>
      </c>
      <c r="Z171" s="4">
        <v>433</v>
      </c>
      <c r="AA171" s="4">
        <f>=ROUNDDOWN(108.25,0)</f>
      </c>
      <c r="AB171" s="5">
        <v>4</v>
      </c>
      <c r="AC171" s="2" t="s">
        <v>206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206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 t="s">
        <v>206</v>
      </c>
      <c r="BD171" s="8" t="s">
        <v>206</v>
      </c>
      <c r="BE171" s="4" t="s">
        <v>206</v>
      </c>
      <c r="BF171" s="8" t="s">
        <v>206</v>
      </c>
      <c r="BG171" s="7" t="s">
        <v>206</v>
      </c>
      <c r="BH171" s="7" t="s">
        <v>206</v>
      </c>
      <c r="BI171" s="7"/>
      <c r="BJ171" s="4"/>
      <c r="BK171" s="8"/>
      <c r="BL171" s="2" t="s">
        <v>1450</v>
      </c>
      <c r="BM171" s="7"/>
      <c r="BN171" s="7"/>
      <c r="BO171" s="4"/>
      <c r="BP171" s="8"/>
      <c r="BQ171" s="4"/>
      <c r="BR171" s="8"/>
      <c r="BS171" s="7"/>
      <c r="BT171" s="7"/>
      <c r="BU171" s="2" t="s">
        <v>1456</v>
      </c>
      <c r="BV171" s="2" t="s">
        <v>206</v>
      </c>
      <c r="BW171" s="2" t="s">
        <v>206</v>
      </c>
      <c r="BX171" s="2" t="s">
        <v>214</v>
      </c>
      <c r="BY171" s="2" t="s">
        <v>215</v>
      </c>
      <c r="BZ171" s="2" t="s">
        <v>203</v>
      </c>
      <c r="CA171" s="2" t="s">
        <v>513</v>
      </c>
      <c r="CB171" s="2" t="s">
        <v>1457</v>
      </c>
      <c r="CC171" s="2" t="s">
        <v>218</v>
      </c>
      <c r="CD171" s="2" t="s">
        <v>206</v>
      </c>
      <c r="CE171" s="4"/>
      <c r="CF171" s="4">
        <v>223</v>
      </c>
      <c r="CG171" s="4"/>
      <c r="CH171" s="4">
        <v>210</v>
      </c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</row>
    <row r="172">
      <c r="A172" s="2" t="s">
        <v>1458</v>
      </c>
      <c r="B172" s="2" t="s">
        <v>1433</v>
      </c>
      <c r="C172" s="2" t="s">
        <v>562</v>
      </c>
      <c r="D172" s="2" t="s">
        <v>1434</v>
      </c>
      <c r="E172" s="2" t="s">
        <v>1435</v>
      </c>
      <c r="F172" s="2" t="s">
        <v>1436</v>
      </c>
      <c r="G172" s="2" t="s">
        <v>1436</v>
      </c>
      <c r="H172" s="2" t="s">
        <v>1436</v>
      </c>
      <c r="I172" s="2" t="s">
        <v>1459</v>
      </c>
      <c r="J172" s="2" t="s">
        <v>1438</v>
      </c>
      <c r="K172" s="2" t="s">
        <v>1460</v>
      </c>
      <c r="L172" s="3">
        <v>7.37</v>
      </c>
      <c r="M172" s="3">
        <v>7.74</v>
      </c>
      <c r="N172" s="3">
        <v>15.99</v>
      </c>
      <c r="O172" s="2" t="s">
        <v>203</v>
      </c>
      <c r="P172" s="2" t="s">
        <v>204</v>
      </c>
      <c r="Q172" s="2" t="s">
        <v>205</v>
      </c>
      <c r="R172" s="2" t="s">
        <v>206</v>
      </c>
      <c r="S172" s="2" t="s">
        <v>206</v>
      </c>
      <c r="T172" s="2" t="s">
        <v>206</v>
      </c>
      <c r="U172" s="2" t="s">
        <v>437</v>
      </c>
      <c r="V172" s="2" t="s">
        <v>468</v>
      </c>
      <c r="W172" s="2" t="s">
        <v>210</v>
      </c>
      <c r="X172" s="2" t="s">
        <v>206</v>
      </c>
      <c r="Y172" s="2" t="s">
        <v>240</v>
      </c>
      <c r="Z172" s="4">
        <v>643</v>
      </c>
      <c r="AA172" s="4">
        <f>=ROUNDDOWN(214.333333333333,0)</f>
      </c>
      <c r="AB172" s="5">
        <v>3</v>
      </c>
      <c r="AC172" s="2" t="s">
        <v>206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206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 t="s">
        <v>206</v>
      </c>
      <c r="BD172" s="8" t="s">
        <v>206</v>
      </c>
      <c r="BE172" s="4" t="s">
        <v>206</v>
      </c>
      <c r="BF172" s="8" t="s">
        <v>206</v>
      </c>
      <c r="BG172" s="7" t="s">
        <v>206</v>
      </c>
      <c r="BH172" s="7" t="s">
        <v>206</v>
      </c>
      <c r="BI172" s="7"/>
      <c r="BJ172" s="4"/>
      <c r="BK172" s="8"/>
      <c r="BL172" s="2" t="s">
        <v>206</v>
      </c>
      <c r="BM172" s="7"/>
      <c r="BN172" s="7"/>
      <c r="BO172" s="4"/>
      <c r="BP172" s="8"/>
      <c r="BQ172" s="4"/>
      <c r="BR172" s="8"/>
      <c r="BS172" s="7"/>
      <c r="BT172" s="7"/>
      <c r="BU172" s="2" t="s">
        <v>1461</v>
      </c>
      <c r="BV172" s="2" t="s">
        <v>206</v>
      </c>
      <c r="BW172" s="2" t="s">
        <v>206</v>
      </c>
      <c r="BX172" s="2" t="s">
        <v>214</v>
      </c>
      <c r="BY172" s="2" t="s">
        <v>215</v>
      </c>
      <c r="BZ172" s="2" t="s">
        <v>203</v>
      </c>
      <c r="CA172" s="2" t="s">
        <v>206</v>
      </c>
      <c r="CB172" s="2" t="s">
        <v>206</v>
      </c>
      <c r="CC172" s="2" t="s">
        <v>218</v>
      </c>
      <c r="CD172" s="2" t="s">
        <v>206</v>
      </c>
      <c r="CE172" s="4">
        <v>643</v>
      </c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</row>
    <row r="173">
      <c r="A173" s="2" t="s">
        <v>1462</v>
      </c>
      <c r="B173" s="2" t="s">
        <v>1433</v>
      </c>
      <c r="C173" s="2" t="s">
        <v>562</v>
      </c>
      <c r="D173" s="2" t="s">
        <v>1434</v>
      </c>
      <c r="E173" s="2" t="s">
        <v>1435</v>
      </c>
      <c r="F173" s="2" t="s">
        <v>1436</v>
      </c>
      <c r="G173" s="2" t="s">
        <v>1436</v>
      </c>
      <c r="H173" s="2" t="s">
        <v>1436</v>
      </c>
      <c r="I173" s="2" t="s">
        <v>1459</v>
      </c>
      <c r="J173" s="2" t="s">
        <v>1438</v>
      </c>
      <c r="K173" s="2" t="s">
        <v>1463</v>
      </c>
      <c r="L173" s="3">
        <v>7.37</v>
      </c>
      <c r="M173" s="3">
        <v>7.74</v>
      </c>
      <c r="N173" s="3">
        <v>15.99</v>
      </c>
      <c r="O173" s="2" t="s">
        <v>203</v>
      </c>
      <c r="P173" s="2" t="s">
        <v>204</v>
      </c>
      <c r="Q173" s="2" t="s">
        <v>205</v>
      </c>
      <c r="R173" s="2" t="s">
        <v>206</v>
      </c>
      <c r="S173" s="2" t="s">
        <v>206</v>
      </c>
      <c r="T173" s="2" t="s">
        <v>206</v>
      </c>
      <c r="U173" s="2" t="s">
        <v>437</v>
      </c>
      <c r="V173" s="2" t="s">
        <v>468</v>
      </c>
      <c r="W173" s="2" t="s">
        <v>210</v>
      </c>
      <c r="X173" s="2" t="s">
        <v>206</v>
      </c>
      <c r="Y173" s="2" t="s">
        <v>240</v>
      </c>
      <c r="Z173" s="4">
        <v>463</v>
      </c>
      <c r="AA173" s="4">
        <f>=ROUNDDOWN(21.0454545454545,0)</f>
      </c>
      <c r="AB173" s="5">
        <v>22</v>
      </c>
      <c r="AC173" s="2" t="s">
        <v>127</v>
      </c>
      <c r="AD173" s="4">
        <v>1200</v>
      </c>
      <c r="AE173" s="4">
        <v>1200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206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 t="s">
        <v>206</v>
      </c>
      <c r="BD173" s="8" t="s">
        <v>206</v>
      </c>
      <c r="BE173" s="4" t="s">
        <v>206</v>
      </c>
      <c r="BF173" s="8" t="s">
        <v>206</v>
      </c>
      <c r="BG173" s="7" t="s">
        <v>206</v>
      </c>
      <c r="BH173" s="7" t="s">
        <v>206</v>
      </c>
      <c r="BI173" s="7"/>
      <c r="BJ173" s="4">
        <v>24</v>
      </c>
      <c r="BK173" s="8">
        <v>264.96</v>
      </c>
      <c r="BL173" s="2" t="s">
        <v>1439</v>
      </c>
      <c r="BM173" s="7"/>
      <c r="BN173" s="7"/>
      <c r="BO173" s="4"/>
      <c r="BP173" s="8"/>
      <c r="BQ173" s="4"/>
      <c r="BR173" s="8"/>
      <c r="BS173" s="7"/>
      <c r="BT173" s="7"/>
      <c r="BU173" s="2" t="s">
        <v>1464</v>
      </c>
      <c r="BV173" s="2" t="s">
        <v>206</v>
      </c>
      <c r="BW173" s="2" t="s">
        <v>206</v>
      </c>
      <c r="BX173" s="2" t="s">
        <v>214</v>
      </c>
      <c r="BY173" s="2" t="s">
        <v>215</v>
      </c>
      <c r="BZ173" s="2" t="s">
        <v>203</v>
      </c>
      <c r="CA173" s="2" t="s">
        <v>206</v>
      </c>
      <c r="CB173" s="2" t="s">
        <v>206</v>
      </c>
      <c r="CC173" s="2" t="s">
        <v>218</v>
      </c>
      <c r="CD173" s="2" t="s">
        <v>206</v>
      </c>
      <c r="CE173" s="4">
        <v>463</v>
      </c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>
        <v>1200</v>
      </c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</row>
    <row r="174">
      <c r="A174" s="2" t="s">
        <v>1465</v>
      </c>
      <c r="B174" s="2" t="s">
        <v>1433</v>
      </c>
      <c r="C174" s="2" t="s">
        <v>562</v>
      </c>
      <c r="D174" s="2" t="s">
        <v>1434</v>
      </c>
      <c r="E174" s="2" t="s">
        <v>1435</v>
      </c>
      <c r="F174" s="2" t="s">
        <v>1436</v>
      </c>
      <c r="G174" s="2" t="s">
        <v>1436</v>
      </c>
      <c r="H174" s="2" t="s">
        <v>1436</v>
      </c>
      <c r="I174" s="2" t="s">
        <v>1466</v>
      </c>
      <c r="J174" s="2" t="s">
        <v>1438</v>
      </c>
      <c r="K174" s="2" t="s">
        <v>1467</v>
      </c>
      <c r="L174" s="3">
        <v>7.08</v>
      </c>
      <c r="M174" s="3">
        <v>7.43</v>
      </c>
      <c r="N174" s="3">
        <v>15.99</v>
      </c>
      <c r="O174" s="2" t="s">
        <v>203</v>
      </c>
      <c r="P174" s="2" t="s">
        <v>204</v>
      </c>
      <c r="Q174" s="2" t="s">
        <v>205</v>
      </c>
      <c r="R174" s="2" t="s">
        <v>206</v>
      </c>
      <c r="S174" s="2" t="s">
        <v>206</v>
      </c>
      <c r="T174" s="2" t="s">
        <v>206</v>
      </c>
      <c r="U174" s="2" t="s">
        <v>437</v>
      </c>
      <c r="V174" s="2" t="s">
        <v>468</v>
      </c>
      <c r="W174" s="2" t="s">
        <v>210</v>
      </c>
      <c r="X174" s="2" t="s">
        <v>206</v>
      </c>
      <c r="Y174" s="2" t="s">
        <v>1468</v>
      </c>
      <c r="Z174" s="4">
        <v>732</v>
      </c>
      <c r="AA174" s="4">
        <f>=ROUNDDOWN(43.0588235294118,0)</f>
      </c>
      <c r="AB174" s="5">
        <v>17</v>
      </c>
      <c r="AC174" s="2" t="s">
        <v>206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206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 t="s">
        <v>206</v>
      </c>
      <c r="BD174" s="8" t="s">
        <v>206</v>
      </c>
      <c r="BE174" s="4" t="s">
        <v>206</v>
      </c>
      <c r="BF174" s="8" t="s">
        <v>206</v>
      </c>
      <c r="BG174" s="7" t="s">
        <v>206</v>
      </c>
      <c r="BH174" s="7" t="s">
        <v>206</v>
      </c>
      <c r="BI174" s="7"/>
      <c r="BJ174" s="4">
        <v>24</v>
      </c>
      <c r="BK174" s="8">
        <v>264.96</v>
      </c>
      <c r="BL174" s="2" t="s">
        <v>1439</v>
      </c>
      <c r="BM174" s="7"/>
      <c r="BN174" s="7"/>
      <c r="BO174" s="4"/>
      <c r="BP174" s="8"/>
      <c r="BQ174" s="4"/>
      <c r="BR174" s="8"/>
      <c r="BS174" s="7"/>
      <c r="BT174" s="7"/>
      <c r="BU174" s="2" t="s">
        <v>1469</v>
      </c>
      <c r="BV174" s="2" t="s">
        <v>206</v>
      </c>
      <c r="BW174" s="2" t="s">
        <v>206</v>
      </c>
      <c r="BX174" s="2" t="s">
        <v>214</v>
      </c>
      <c r="BY174" s="2" t="s">
        <v>215</v>
      </c>
      <c r="BZ174" s="2" t="s">
        <v>203</v>
      </c>
      <c r="CA174" s="2" t="s">
        <v>206</v>
      </c>
      <c r="CB174" s="2" t="s">
        <v>206</v>
      </c>
      <c r="CC174" s="2" t="s">
        <v>218</v>
      </c>
      <c r="CD174" s="2" t="s">
        <v>206</v>
      </c>
      <c r="CE174" s="4">
        <v>732</v>
      </c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</row>
    <row r="175">
      <c r="A175" s="2" t="s">
        <v>1470</v>
      </c>
      <c r="B175" s="2" t="s">
        <v>1433</v>
      </c>
      <c r="C175" s="2" t="s">
        <v>562</v>
      </c>
      <c r="D175" s="2" t="s">
        <v>1434</v>
      </c>
      <c r="E175" s="2" t="s">
        <v>1435</v>
      </c>
      <c r="F175" s="2" t="s">
        <v>1436</v>
      </c>
      <c r="G175" s="2" t="s">
        <v>1436</v>
      </c>
      <c r="H175" s="2" t="s">
        <v>1436</v>
      </c>
      <c r="I175" s="2" t="s">
        <v>1471</v>
      </c>
      <c r="J175" s="2" t="s">
        <v>434</v>
      </c>
      <c r="K175" s="2" t="s">
        <v>554</v>
      </c>
      <c r="L175" s="3">
        <v>8.06</v>
      </c>
      <c r="M175" s="3">
        <v>8.46</v>
      </c>
      <c r="N175" s="3">
        <v>14.99</v>
      </c>
      <c r="O175" s="2" t="s">
        <v>203</v>
      </c>
      <c r="P175" s="2" t="s">
        <v>204</v>
      </c>
      <c r="Q175" s="2" t="s">
        <v>205</v>
      </c>
      <c r="R175" s="2" t="s">
        <v>206</v>
      </c>
      <c r="S175" s="2" t="s">
        <v>206</v>
      </c>
      <c r="T175" s="2" t="s">
        <v>206</v>
      </c>
      <c r="U175" s="2" t="s">
        <v>437</v>
      </c>
      <c r="V175" s="2" t="s">
        <v>468</v>
      </c>
      <c r="W175" s="2" t="s">
        <v>210</v>
      </c>
      <c r="X175" s="2" t="s">
        <v>206</v>
      </c>
      <c r="Y175" s="2" t="s">
        <v>1444</v>
      </c>
      <c r="Z175" s="4">
        <v>202</v>
      </c>
      <c r="AA175" s="4">
        <f>=ROUNDDOWN(35.4385964912281,0)</f>
      </c>
      <c r="AB175" s="5">
        <v>5.7</v>
      </c>
      <c r="AC175" s="2" t="s">
        <v>206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206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 t="s">
        <v>206</v>
      </c>
      <c r="BD175" s="8" t="s">
        <v>206</v>
      </c>
      <c r="BE175" s="4" t="s">
        <v>206</v>
      </c>
      <c r="BF175" s="8" t="s">
        <v>206</v>
      </c>
      <c r="BG175" s="7" t="s">
        <v>206</v>
      </c>
      <c r="BH175" s="7" t="s">
        <v>206</v>
      </c>
      <c r="BI175" s="7"/>
      <c r="BJ175" s="4"/>
      <c r="BK175" s="8"/>
      <c r="BL175" s="2" t="s">
        <v>1450</v>
      </c>
      <c r="BM175" s="7"/>
      <c r="BN175" s="7"/>
      <c r="BO175" s="4"/>
      <c r="BP175" s="8"/>
      <c r="BQ175" s="4"/>
      <c r="BR175" s="8"/>
      <c r="BS175" s="7"/>
      <c r="BT175" s="7"/>
      <c r="BU175" s="2" t="s">
        <v>1472</v>
      </c>
      <c r="BV175" s="2" t="s">
        <v>206</v>
      </c>
      <c r="BW175" s="2" t="s">
        <v>206</v>
      </c>
      <c r="BX175" s="2" t="s">
        <v>214</v>
      </c>
      <c r="BY175" s="2" t="s">
        <v>215</v>
      </c>
      <c r="BZ175" s="2" t="s">
        <v>203</v>
      </c>
      <c r="CA175" s="2" t="s">
        <v>513</v>
      </c>
      <c r="CB175" s="2" t="s">
        <v>1473</v>
      </c>
      <c r="CC175" s="2" t="s">
        <v>218</v>
      </c>
      <c r="CD175" s="2" t="s">
        <v>206</v>
      </c>
      <c r="CE175" s="4"/>
      <c r="CF175" s="4">
        <v>102</v>
      </c>
      <c r="CG175" s="4"/>
      <c r="CH175" s="4">
        <v>100</v>
      </c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</row>
    <row r="176">
      <c r="A176" s="2" t="s">
        <v>1474</v>
      </c>
      <c r="B176" s="2" t="s">
        <v>507</v>
      </c>
      <c r="C176" s="2" t="s">
        <v>462</v>
      </c>
      <c r="D176" s="2" t="s">
        <v>1475</v>
      </c>
      <c r="E176" s="2" t="s">
        <v>1476</v>
      </c>
      <c r="F176" s="2" t="s">
        <v>1477</v>
      </c>
      <c r="G176" s="2" t="s">
        <v>1477</v>
      </c>
      <c r="H176" s="2" t="s">
        <v>1477</v>
      </c>
      <c r="I176" s="2" t="s">
        <v>1478</v>
      </c>
      <c r="J176" s="2" t="s">
        <v>434</v>
      </c>
      <c r="K176" s="2" t="s">
        <v>1479</v>
      </c>
      <c r="L176" s="3">
        <v>145</v>
      </c>
      <c r="M176" s="3">
        <v>152.25</v>
      </c>
      <c r="N176" s="3">
        <v>299</v>
      </c>
      <c r="O176" s="2" t="s">
        <v>203</v>
      </c>
      <c r="P176" s="2" t="s">
        <v>467</v>
      </c>
      <c r="Q176" s="2" t="s">
        <v>205</v>
      </c>
      <c r="R176" s="2" t="s">
        <v>206</v>
      </c>
      <c r="S176" s="2" t="s">
        <v>206</v>
      </c>
      <c r="T176" s="2" t="s">
        <v>206</v>
      </c>
      <c r="U176" s="2" t="s">
        <v>437</v>
      </c>
      <c r="V176" s="2" t="s">
        <v>468</v>
      </c>
      <c r="W176" s="2" t="s">
        <v>439</v>
      </c>
      <c r="X176" s="2" t="s">
        <v>586</v>
      </c>
      <c r="Y176" s="2" t="s">
        <v>1480</v>
      </c>
      <c r="Z176" s="4">
        <v>88</v>
      </c>
      <c r="AA176" s="4">
        <f>=ROUNDDOWN(88,0)</f>
      </c>
      <c r="AB176" s="5">
        <v>1</v>
      </c>
      <c r="AC176" s="2" t="s">
        <v>206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206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/>
      <c r="BK176" s="8"/>
      <c r="BL176" s="2" t="s">
        <v>206</v>
      </c>
      <c r="BM176" s="7"/>
      <c r="BN176" s="7"/>
      <c r="BO176" s="4"/>
      <c r="BP176" s="8"/>
      <c r="BQ176" s="4"/>
      <c r="BR176" s="8"/>
      <c r="BS176" s="7"/>
      <c r="BT176" s="7"/>
      <c r="BU176" s="2" t="s">
        <v>1481</v>
      </c>
      <c r="BV176" s="2" t="s">
        <v>206</v>
      </c>
      <c r="BW176" s="2" t="s">
        <v>206</v>
      </c>
      <c r="BX176" s="2" t="s">
        <v>214</v>
      </c>
      <c r="BY176" s="2" t="s">
        <v>215</v>
      </c>
      <c r="BZ176" s="2" t="s">
        <v>203</v>
      </c>
      <c r="CA176" s="2" t="s">
        <v>1482</v>
      </c>
      <c r="CB176" s="2" t="s">
        <v>206</v>
      </c>
      <c r="CC176" s="2" t="s">
        <v>218</v>
      </c>
      <c r="CD176" s="2" t="s">
        <v>206</v>
      </c>
      <c r="CE176" s="4"/>
      <c r="CF176" s="4">
        <v>88</v>
      </c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</row>
    <row r="177">
      <c r="A177" s="2" t="s">
        <v>1483</v>
      </c>
      <c r="B177" s="2" t="s">
        <v>461</v>
      </c>
      <c r="C177" s="2" t="s">
        <v>287</v>
      </c>
      <c r="D177" s="2" t="s">
        <v>882</v>
      </c>
      <c r="E177" s="2" t="s">
        <v>1196</v>
      </c>
      <c r="F177" s="2" t="s">
        <v>1484</v>
      </c>
      <c r="G177" s="2" t="s">
        <v>1485</v>
      </c>
      <c r="H177" s="2" t="s">
        <v>1486</v>
      </c>
      <c r="I177" s="2" t="s">
        <v>1487</v>
      </c>
      <c r="J177" s="2" t="s">
        <v>434</v>
      </c>
      <c r="K177" s="2" t="s">
        <v>336</v>
      </c>
      <c r="L177" s="3">
        <v>202.3</v>
      </c>
      <c r="M177" s="3">
        <v>212.42</v>
      </c>
      <c r="N177" s="3">
        <v>429</v>
      </c>
      <c r="O177" s="2" t="s">
        <v>203</v>
      </c>
      <c r="P177" s="2" t="s">
        <v>204</v>
      </c>
      <c r="Q177" s="2" t="s">
        <v>205</v>
      </c>
      <c r="R177" s="2" t="s">
        <v>206</v>
      </c>
      <c r="S177" s="2" t="s">
        <v>206</v>
      </c>
      <c r="T177" s="2" t="s">
        <v>206</v>
      </c>
      <c r="U177" s="2" t="s">
        <v>437</v>
      </c>
      <c r="V177" s="2" t="s">
        <v>209</v>
      </c>
      <c r="W177" s="2" t="s">
        <v>539</v>
      </c>
      <c r="X177" s="2" t="s">
        <v>453</v>
      </c>
      <c r="Y177" s="2" t="s">
        <v>1488</v>
      </c>
      <c r="Z177" s="4">
        <v>122</v>
      </c>
      <c r="AA177" s="4">
        <f>=ROUNDDOWN(61,0)</f>
      </c>
      <c r="AB177" s="5">
        <v>2</v>
      </c>
      <c r="AC177" s="2" t="s">
        <v>206</v>
      </c>
      <c r="AD177" s="4"/>
      <c r="AE177" s="4"/>
      <c r="AF177" s="6">
        <v>74</v>
      </c>
      <c r="AG177" s="6">
        <v>60</v>
      </c>
      <c r="AH177" s="7">
        <v>1</v>
      </c>
      <c r="AI177" s="4"/>
      <c r="AJ177" s="4">
        <f>=ROUNDDOWN({0},0)</f>
      </c>
      <c r="AK177" s="5"/>
      <c r="AL177" s="2" t="s">
        <v>206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10</v>
      </c>
      <c r="BK177" s="8">
        <v>1943.09</v>
      </c>
      <c r="BL177" s="2" t="s">
        <v>1489</v>
      </c>
      <c r="BM177" s="7"/>
      <c r="BN177" s="7"/>
      <c r="BO177" s="4"/>
      <c r="BP177" s="8"/>
      <c r="BQ177" s="4"/>
      <c r="BR177" s="8"/>
      <c r="BS177" s="7"/>
      <c r="BT177" s="7"/>
      <c r="BU177" s="2" t="s">
        <v>1490</v>
      </c>
      <c r="BV177" s="2" t="s">
        <v>206</v>
      </c>
      <c r="BW177" s="2" t="s">
        <v>206</v>
      </c>
      <c r="BX177" s="2" t="s">
        <v>214</v>
      </c>
      <c r="BY177" s="2" t="s">
        <v>215</v>
      </c>
      <c r="BZ177" s="2" t="s">
        <v>203</v>
      </c>
      <c r="CA177" s="2" t="s">
        <v>1488</v>
      </c>
      <c r="CB177" s="2" t="s">
        <v>1491</v>
      </c>
      <c r="CC177" s="2" t="s">
        <v>218</v>
      </c>
      <c r="CD177" s="2" t="s">
        <v>206</v>
      </c>
      <c r="CE177" s="4"/>
      <c r="CF177" s="4">
        <v>119</v>
      </c>
      <c r="CG177" s="4"/>
      <c r="CH177" s="4">
        <v>3</v>
      </c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</row>
    <row r="178">
      <c r="A178" s="2" t="s">
        <v>1492</v>
      </c>
      <c r="B178" s="2" t="s">
        <v>461</v>
      </c>
      <c r="C178" s="2" t="s">
        <v>287</v>
      </c>
      <c r="D178" s="2" t="s">
        <v>1072</v>
      </c>
      <c r="E178" s="2" t="s">
        <v>1073</v>
      </c>
      <c r="F178" s="2" t="s">
        <v>1493</v>
      </c>
      <c r="G178" s="2" t="s">
        <v>1494</v>
      </c>
      <c r="H178" s="2" t="s">
        <v>1495</v>
      </c>
      <c r="I178" s="2" t="s">
        <v>1496</v>
      </c>
      <c r="J178" s="2" t="s">
        <v>434</v>
      </c>
      <c r="K178" s="2" t="s">
        <v>1497</v>
      </c>
      <c r="L178" s="3">
        <v>226.1</v>
      </c>
      <c r="M178" s="3">
        <v>237.4</v>
      </c>
      <c r="N178" s="3">
        <v>479</v>
      </c>
      <c r="O178" s="2" t="s">
        <v>203</v>
      </c>
      <c r="P178" s="2" t="s">
        <v>204</v>
      </c>
      <c r="Q178" s="2" t="s">
        <v>205</v>
      </c>
      <c r="R178" s="2" t="s">
        <v>206</v>
      </c>
      <c r="S178" s="2" t="s">
        <v>206</v>
      </c>
      <c r="T178" s="2" t="s">
        <v>206</v>
      </c>
      <c r="U178" s="2" t="s">
        <v>900</v>
      </c>
      <c r="V178" s="2" t="s">
        <v>209</v>
      </c>
      <c r="W178" s="2" t="s">
        <v>539</v>
      </c>
      <c r="X178" s="2" t="s">
        <v>206</v>
      </c>
      <c r="Y178" s="2" t="s">
        <v>1498</v>
      </c>
      <c r="Z178" s="4">
        <v>221</v>
      </c>
      <c r="AA178" s="4">
        <f>=ROUNDDOWN(36.8333333333333,0)</f>
      </c>
      <c r="AB178" s="5">
        <v>6</v>
      </c>
      <c r="AC178" s="2" t="s">
        <v>206</v>
      </c>
      <c r="AD178" s="4"/>
      <c r="AE178" s="4"/>
      <c r="AF178" s="6">
        <v>69</v>
      </c>
      <c r="AG178" s="6">
        <v>52</v>
      </c>
      <c r="AH178" s="7">
        <v>1</v>
      </c>
      <c r="AI178" s="4"/>
      <c r="AJ178" s="4">
        <f>=ROUNDDOWN({0},0)</f>
      </c>
      <c r="AK178" s="5"/>
      <c r="AL178" s="2" t="s">
        <v>206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>
        <v>5</v>
      </c>
      <c r="BK178" s="8">
        <v>1182.63</v>
      </c>
      <c r="BL178" s="2" t="s">
        <v>1499</v>
      </c>
      <c r="BM178" s="7"/>
      <c r="BN178" s="7"/>
      <c r="BO178" s="4"/>
      <c r="BP178" s="8"/>
      <c r="BQ178" s="4"/>
      <c r="BR178" s="8"/>
      <c r="BS178" s="7"/>
      <c r="BT178" s="7"/>
      <c r="BU178" s="2" t="s">
        <v>1500</v>
      </c>
      <c r="BV178" s="2" t="s">
        <v>206</v>
      </c>
      <c r="BW178" s="2" t="s">
        <v>206</v>
      </c>
      <c r="BX178" s="2" t="s">
        <v>214</v>
      </c>
      <c r="BY178" s="2" t="s">
        <v>215</v>
      </c>
      <c r="BZ178" s="2" t="s">
        <v>203</v>
      </c>
      <c r="CA178" s="2" t="s">
        <v>1501</v>
      </c>
      <c r="CB178" s="2" t="s">
        <v>1502</v>
      </c>
      <c r="CC178" s="2" t="s">
        <v>218</v>
      </c>
      <c r="CD178" s="2" t="s">
        <v>206</v>
      </c>
      <c r="CE178" s="4"/>
      <c r="CF178" s="4">
        <v>200</v>
      </c>
      <c r="CG178" s="4"/>
      <c r="CH178" s="4">
        <v>21</v>
      </c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</row>
    <row r="179">
      <c r="A179" s="2" t="s">
        <v>1503</v>
      </c>
      <c r="B179" s="2" t="s">
        <v>461</v>
      </c>
      <c r="C179" s="2" t="s">
        <v>287</v>
      </c>
      <c r="D179" s="2" t="s">
        <v>1072</v>
      </c>
      <c r="E179" s="2" t="s">
        <v>1073</v>
      </c>
      <c r="F179" s="2" t="s">
        <v>1504</v>
      </c>
      <c r="G179" s="2" t="s">
        <v>1505</v>
      </c>
      <c r="H179" s="2" t="s">
        <v>1506</v>
      </c>
      <c r="I179" s="2" t="s">
        <v>1507</v>
      </c>
      <c r="J179" s="2" t="s">
        <v>434</v>
      </c>
      <c r="K179" s="2" t="s">
        <v>1508</v>
      </c>
      <c r="L179" s="3">
        <v>171</v>
      </c>
      <c r="M179" s="3">
        <v>179.55</v>
      </c>
      <c r="N179" s="3">
        <v>359</v>
      </c>
      <c r="O179" s="2" t="s">
        <v>203</v>
      </c>
      <c r="P179" s="2" t="s">
        <v>467</v>
      </c>
      <c r="Q179" s="2" t="s">
        <v>205</v>
      </c>
      <c r="R179" s="2" t="s">
        <v>206</v>
      </c>
      <c r="S179" s="2" t="s">
        <v>206</v>
      </c>
      <c r="T179" s="2" t="s">
        <v>206</v>
      </c>
      <c r="U179" s="2" t="s">
        <v>437</v>
      </c>
      <c r="V179" s="2" t="s">
        <v>209</v>
      </c>
      <c r="W179" s="2" t="s">
        <v>539</v>
      </c>
      <c r="X179" s="2" t="s">
        <v>206</v>
      </c>
      <c r="Y179" s="2" t="s">
        <v>1509</v>
      </c>
      <c r="Z179" s="4">
        <v>237</v>
      </c>
      <c r="AA179" s="4">
        <f>=ROUNDDOWN(79,0)</f>
      </c>
      <c r="AB179" s="5">
        <v>3</v>
      </c>
      <c r="AC179" s="2" t="s">
        <v>206</v>
      </c>
      <c r="AD179" s="4"/>
      <c r="AE179" s="4"/>
      <c r="AF179" s="6">
        <v>69</v>
      </c>
      <c r="AG179" s="6">
        <v>52</v>
      </c>
      <c r="AH179" s="7">
        <v>1</v>
      </c>
      <c r="AI179" s="4"/>
      <c r="AJ179" s="4">
        <f>=ROUNDDOWN({0},0)</f>
      </c>
      <c r="AK179" s="5"/>
      <c r="AL179" s="2" t="s">
        <v>206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206</v>
      </c>
      <c r="BD179" s="8" t="s">
        <v>206</v>
      </c>
      <c r="BE179" s="4" t="s">
        <v>206</v>
      </c>
      <c r="BF179" s="8" t="s">
        <v>206</v>
      </c>
      <c r="BG179" s="7" t="s">
        <v>206</v>
      </c>
      <c r="BH179" s="7" t="s">
        <v>206</v>
      </c>
      <c r="BI179" s="7"/>
      <c r="BJ179" s="4">
        <v>20</v>
      </c>
      <c r="BK179" s="8">
        <v>2707.39</v>
      </c>
      <c r="BL179" s="2" t="s">
        <v>1510</v>
      </c>
      <c r="BM179" s="7"/>
      <c r="BN179" s="7"/>
      <c r="BO179" s="4"/>
      <c r="BP179" s="8"/>
      <c r="BQ179" s="4"/>
      <c r="BR179" s="8"/>
      <c r="BS179" s="7"/>
      <c r="BT179" s="7"/>
      <c r="BU179" s="2" t="s">
        <v>1511</v>
      </c>
      <c r="BV179" s="2" t="s">
        <v>206</v>
      </c>
      <c r="BW179" s="2" t="s">
        <v>206</v>
      </c>
      <c r="BX179" s="2" t="s">
        <v>426</v>
      </c>
      <c r="BY179" s="2" t="s">
        <v>215</v>
      </c>
      <c r="BZ179" s="2" t="s">
        <v>203</v>
      </c>
      <c r="CA179" s="2" t="s">
        <v>1512</v>
      </c>
      <c r="CB179" s="2" t="s">
        <v>1513</v>
      </c>
      <c r="CC179" s="2" t="s">
        <v>218</v>
      </c>
      <c r="CD179" s="2" t="s">
        <v>206</v>
      </c>
      <c r="CE179" s="4"/>
      <c r="CF179" s="4">
        <v>237</v>
      </c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</row>
    <row r="180">
      <c r="A180" s="2" t="s">
        <v>1514</v>
      </c>
      <c r="B180" s="2" t="s">
        <v>461</v>
      </c>
      <c r="C180" s="2" t="s">
        <v>287</v>
      </c>
      <c r="D180" s="2" t="s">
        <v>1072</v>
      </c>
      <c r="E180" s="2" t="s">
        <v>1073</v>
      </c>
      <c r="F180" s="2" t="s">
        <v>1504</v>
      </c>
      <c r="G180" s="2" t="s">
        <v>1505</v>
      </c>
      <c r="H180" s="2" t="s">
        <v>1506</v>
      </c>
      <c r="I180" s="2" t="s">
        <v>1507</v>
      </c>
      <c r="J180" s="2" t="s">
        <v>434</v>
      </c>
      <c r="K180" s="2" t="s">
        <v>1515</v>
      </c>
      <c r="L180" s="3">
        <v>171</v>
      </c>
      <c r="M180" s="3">
        <v>179.55</v>
      </c>
      <c r="N180" s="3">
        <v>359</v>
      </c>
      <c r="O180" s="2" t="s">
        <v>203</v>
      </c>
      <c r="P180" s="2" t="s">
        <v>467</v>
      </c>
      <c r="Q180" s="2" t="s">
        <v>205</v>
      </c>
      <c r="R180" s="2" t="s">
        <v>206</v>
      </c>
      <c r="S180" s="2" t="s">
        <v>206</v>
      </c>
      <c r="T180" s="2" t="s">
        <v>206</v>
      </c>
      <c r="U180" s="2" t="s">
        <v>437</v>
      </c>
      <c r="V180" s="2" t="s">
        <v>209</v>
      </c>
      <c r="W180" s="2" t="s">
        <v>539</v>
      </c>
      <c r="X180" s="2" t="s">
        <v>210</v>
      </c>
      <c r="Y180" s="2" t="s">
        <v>1516</v>
      </c>
      <c r="Z180" s="4">
        <v>155</v>
      </c>
      <c r="AA180" s="4">
        <f>=ROUNDDOWN(77.5,0)</f>
      </c>
      <c r="AB180" s="5">
        <v>2</v>
      </c>
      <c r="AC180" s="2" t="s">
        <v>206</v>
      </c>
      <c r="AD180" s="4"/>
      <c r="AE180" s="4"/>
      <c r="AF180" s="6">
        <v>69</v>
      </c>
      <c r="AG180" s="6">
        <v>52</v>
      </c>
      <c r="AH180" s="7">
        <v>1</v>
      </c>
      <c r="AI180" s="4"/>
      <c r="AJ180" s="4">
        <f>=ROUNDDOWN({0},0)</f>
      </c>
      <c r="AK180" s="5"/>
      <c r="AL180" s="2" t="s">
        <v>206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 t="s">
        <v>206</v>
      </c>
      <c r="BD180" s="8" t="s">
        <v>206</v>
      </c>
      <c r="BE180" s="4" t="s">
        <v>206</v>
      </c>
      <c r="BF180" s="8" t="s">
        <v>206</v>
      </c>
      <c r="BG180" s="7" t="s">
        <v>206</v>
      </c>
      <c r="BH180" s="7" t="s">
        <v>206</v>
      </c>
      <c r="BI180" s="7"/>
      <c r="BJ180" s="4">
        <v>14</v>
      </c>
      <c r="BK180" s="8">
        <v>1977.69</v>
      </c>
      <c r="BL180" s="2" t="s">
        <v>795</v>
      </c>
      <c r="BM180" s="7"/>
      <c r="BN180" s="7"/>
      <c r="BO180" s="4"/>
      <c r="BP180" s="8"/>
      <c r="BQ180" s="4"/>
      <c r="BR180" s="8"/>
      <c r="BS180" s="7"/>
      <c r="BT180" s="7"/>
      <c r="BU180" s="2" t="s">
        <v>1517</v>
      </c>
      <c r="BV180" s="2" t="s">
        <v>206</v>
      </c>
      <c r="BW180" s="2" t="s">
        <v>206</v>
      </c>
      <c r="BX180" s="2" t="s">
        <v>426</v>
      </c>
      <c r="BY180" s="2" t="s">
        <v>215</v>
      </c>
      <c r="BZ180" s="2" t="s">
        <v>203</v>
      </c>
      <c r="CA180" s="2" t="s">
        <v>1518</v>
      </c>
      <c r="CB180" s="2" t="s">
        <v>1519</v>
      </c>
      <c r="CC180" s="2" t="s">
        <v>218</v>
      </c>
      <c r="CD180" s="2" t="s">
        <v>206</v>
      </c>
      <c r="CE180" s="4"/>
      <c r="CF180" s="4">
        <v>155</v>
      </c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</row>
    <row r="181">
      <c r="A181" s="2" t="s">
        <v>1520</v>
      </c>
      <c r="B181" s="2" t="s">
        <v>800</v>
      </c>
      <c r="C181" s="2" t="s">
        <v>287</v>
      </c>
      <c r="D181" s="2" t="s">
        <v>1267</v>
      </c>
      <c r="E181" s="2" t="s">
        <v>1268</v>
      </c>
      <c r="F181" s="2" t="s">
        <v>1521</v>
      </c>
      <c r="G181" s="2" t="s">
        <v>1521</v>
      </c>
      <c r="H181" s="2" t="s">
        <v>1521</v>
      </c>
      <c r="I181" s="2" t="s">
        <v>1268</v>
      </c>
      <c r="J181" s="2" t="s">
        <v>593</v>
      </c>
      <c r="K181" s="2" t="s">
        <v>262</v>
      </c>
      <c r="L181" s="3">
        <v>16</v>
      </c>
      <c r="M181" s="3">
        <v>16.8</v>
      </c>
      <c r="N181" s="3">
        <v>34.99</v>
      </c>
      <c r="O181" s="2" t="s">
        <v>203</v>
      </c>
      <c r="P181" s="2" t="s">
        <v>204</v>
      </c>
      <c r="Q181" s="2" t="s">
        <v>205</v>
      </c>
      <c r="R181" s="2" t="s">
        <v>206</v>
      </c>
      <c r="S181" s="2" t="s">
        <v>1522</v>
      </c>
      <c r="T181" s="2" t="s">
        <v>1523</v>
      </c>
      <c r="U181" s="2" t="s">
        <v>437</v>
      </c>
      <c r="V181" s="2" t="s">
        <v>809</v>
      </c>
      <c r="W181" s="2" t="s">
        <v>453</v>
      </c>
      <c r="X181" s="2" t="s">
        <v>539</v>
      </c>
      <c r="Y181" s="2" t="s">
        <v>1524</v>
      </c>
      <c r="Z181" s="4">
        <v>493</v>
      </c>
      <c r="AA181" s="4">
        <f>=ROUNDDOWN(37.9230769230769,0)</f>
      </c>
      <c r="AB181" s="5">
        <v>13</v>
      </c>
      <c r="AC181" s="2" t="s">
        <v>441</v>
      </c>
      <c r="AD181" s="4">
        <v>200</v>
      </c>
      <c r="AE181" s="4">
        <v>400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206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206</v>
      </c>
      <c r="AW181" s="8" t="s">
        <v>206</v>
      </c>
      <c r="AX181" s="4" t="s">
        <v>206</v>
      </c>
      <c r="AY181" s="8" t="s">
        <v>206</v>
      </c>
      <c r="AZ181" s="7" t="s">
        <v>206</v>
      </c>
      <c r="BA181" s="7" t="s">
        <v>206</v>
      </c>
      <c r="BB181" s="7"/>
      <c r="BC181" s="4" t="s">
        <v>206</v>
      </c>
      <c r="BD181" s="8" t="s">
        <v>206</v>
      </c>
      <c r="BE181" s="4" t="s">
        <v>206</v>
      </c>
      <c r="BF181" s="8" t="s">
        <v>206</v>
      </c>
      <c r="BG181" s="7" t="s">
        <v>206</v>
      </c>
      <c r="BH181" s="7" t="s">
        <v>206</v>
      </c>
      <c r="BI181" s="7"/>
      <c r="BJ181" s="4">
        <v>30</v>
      </c>
      <c r="BK181" s="8">
        <v>542.46</v>
      </c>
      <c r="BL181" s="2" t="s">
        <v>1525</v>
      </c>
      <c r="BM181" s="7"/>
      <c r="BN181" s="7"/>
      <c r="BO181" s="4"/>
      <c r="BP181" s="8"/>
      <c r="BQ181" s="4"/>
      <c r="BR181" s="8"/>
      <c r="BS181" s="7"/>
      <c r="BT181" s="7"/>
      <c r="BU181" s="2" t="s">
        <v>1526</v>
      </c>
      <c r="BV181" s="2" t="s">
        <v>206</v>
      </c>
      <c r="BW181" s="2" t="s">
        <v>206</v>
      </c>
      <c r="BX181" s="2" t="s">
        <v>214</v>
      </c>
      <c r="BY181" s="2" t="s">
        <v>215</v>
      </c>
      <c r="BZ181" s="2" t="s">
        <v>203</v>
      </c>
      <c r="CA181" s="2" t="s">
        <v>1527</v>
      </c>
      <c r="CB181" s="2" t="s">
        <v>1528</v>
      </c>
      <c r="CC181" s="2" t="s">
        <v>218</v>
      </c>
      <c r="CD181" s="2" t="s">
        <v>206</v>
      </c>
      <c r="CE181" s="4">
        <v>493</v>
      </c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>
        <v>200</v>
      </c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>
        <v>200</v>
      </c>
      <c r="GB181" s="4"/>
      <c r="GC181" s="4"/>
      <c r="GD181" s="4"/>
      <c r="GE181" s="4"/>
      <c r="GF181" s="4"/>
    </row>
    <row r="182">
      <c r="A182" s="2" t="s">
        <v>1529</v>
      </c>
      <c r="B182" s="2" t="s">
        <v>800</v>
      </c>
      <c r="C182" s="2" t="s">
        <v>287</v>
      </c>
      <c r="D182" s="2" t="s">
        <v>1267</v>
      </c>
      <c r="E182" s="2" t="s">
        <v>1268</v>
      </c>
      <c r="F182" s="2" t="s">
        <v>1521</v>
      </c>
      <c r="G182" s="2" t="s">
        <v>1521</v>
      </c>
      <c r="H182" s="2" t="s">
        <v>1521</v>
      </c>
      <c r="I182" s="2" t="s">
        <v>1268</v>
      </c>
      <c r="J182" s="2" t="s">
        <v>231</v>
      </c>
      <c r="K182" s="2" t="s">
        <v>262</v>
      </c>
      <c r="L182" s="3">
        <v>18.28</v>
      </c>
      <c r="M182" s="3">
        <v>19.19</v>
      </c>
      <c r="N182" s="3">
        <v>39.99</v>
      </c>
      <c r="O182" s="2" t="s">
        <v>203</v>
      </c>
      <c r="P182" s="2" t="s">
        <v>204</v>
      </c>
      <c r="Q182" s="2" t="s">
        <v>205</v>
      </c>
      <c r="R182" s="2" t="s">
        <v>206</v>
      </c>
      <c r="S182" s="2" t="s">
        <v>1522</v>
      </c>
      <c r="T182" s="2" t="s">
        <v>1523</v>
      </c>
      <c r="U182" s="2" t="s">
        <v>437</v>
      </c>
      <c r="V182" s="2" t="s">
        <v>809</v>
      </c>
      <c r="W182" s="2" t="s">
        <v>453</v>
      </c>
      <c r="X182" s="2" t="s">
        <v>539</v>
      </c>
      <c r="Y182" s="2" t="s">
        <v>1527</v>
      </c>
      <c r="Z182" s="4">
        <v>349</v>
      </c>
      <c r="AA182" s="4">
        <f>=ROUNDDOWN(38.7777777777778,0)</f>
      </c>
      <c r="AB182" s="5">
        <v>9</v>
      </c>
      <c r="AC182" s="2" t="s">
        <v>441</v>
      </c>
      <c r="AD182" s="4">
        <v>40</v>
      </c>
      <c r="AE182" s="4">
        <v>130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206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206</v>
      </c>
      <c r="AW182" s="8" t="s">
        <v>206</v>
      </c>
      <c r="AX182" s="4" t="s">
        <v>206</v>
      </c>
      <c r="AY182" s="8" t="s">
        <v>206</v>
      </c>
      <c r="AZ182" s="7" t="s">
        <v>206</v>
      </c>
      <c r="BA182" s="7" t="s">
        <v>206</v>
      </c>
      <c r="BB182" s="7"/>
      <c r="BC182" s="4" t="s">
        <v>206</v>
      </c>
      <c r="BD182" s="8" t="s">
        <v>206</v>
      </c>
      <c r="BE182" s="4" t="s">
        <v>206</v>
      </c>
      <c r="BF182" s="8" t="s">
        <v>206</v>
      </c>
      <c r="BG182" s="7" t="s">
        <v>206</v>
      </c>
      <c r="BH182" s="7" t="s">
        <v>206</v>
      </c>
      <c r="BI182" s="7"/>
      <c r="BJ182" s="4">
        <v>37</v>
      </c>
      <c r="BK182" s="8">
        <v>764.98</v>
      </c>
      <c r="BL182" s="2" t="s">
        <v>1525</v>
      </c>
      <c r="BM182" s="7"/>
      <c r="BN182" s="7"/>
      <c r="BO182" s="4"/>
      <c r="BP182" s="8"/>
      <c r="BQ182" s="4"/>
      <c r="BR182" s="8"/>
      <c r="BS182" s="7"/>
      <c r="BT182" s="7"/>
      <c r="BU182" s="2" t="s">
        <v>1530</v>
      </c>
      <c r="BV182" s="2" t="s">
        <v>206</v>
      </c>
      <c r="BW182" s="2" t="s">
        <v>206</v>
      </c>
      <c r="BX182" s="2" t="s">
        <v>214</v>
      </c>
      <c r="BY182" s="2" t="s">
        <v>215</v>
      </c>
      <c r="BZ182" s="2" t="s">
        <v>203</v>
      </c>
      <c r="CA182" s="2" t="s">
        <v>1527</v>
      </c>
      <c r="CB182" s="2" t="s">
        <v>1531</v>
      </c>
      <c r="CC182" s="2" t="s">
        <v>218</v>
      </c>
      <c r="CD182" s="2" t="s">
        <v>206</v>
      </c>
      <c r="CE182" s="4">
        <v>349</v>
      </c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>
        <v>40</v>
      </c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>
        <v>90</v>
      </c>
      <c r="GB182" s="4"/>
      <c r="GC182" s="4"/>
      <c r="GD182" s="4"/>
      <c r="GE182" s="4"/>
      <c r="GF182" s="4"/>
    </row>
    <row r="183">
      <c r="A183" s="2" t="s">
        <v>1532</v>
      </c>
      <c r="B183" s="2" t="s">
        <v>800</v>
      </c>
      <c r="C183" s="2" t="s">
        <v>287</v>
      </c>
      <c r="D183" s="2" t="s">
        <v>1267</v>
      </c>
      <c r="E183" s="2" t="s">
        <v>1268</v>
      </c>
      <c r="F183" s="2" t="s">
        <v>1521</v>
      </c>
      <c r="G183" s="2" t="s">
        <v>1521</v>
      </c>
      <c r="H183" s="2" t="s">
        <v>1521</v>
      </c>
      <c r="I183" s="2" t="s">
        <v>1268</v>
      </c>
      <c r="J183" s="2" t="s">
        <v>201</v>
      </c>
      <c r="K183" s="2" t="s">
        <v>696</v>
      </c>
      <c r="L183" s="3">
        <v>12.85</v>
      </c>
      <c r="M183" s="3">
        <v>13.49</v>
      </c>
      <c r="N183" s="3">
        <v>29.99</v>
      </c>
      <c r="O183" s="2" t="s">
        <v>203</v>
      </c>
      <c r="P183" s="2" t="s">
        <v>204</v>
      </c>
      <c r="Q183" s="2" t="s">
        <v>205</v>
      </c>
      <c r="R183" s="2" t="s">
        <v>206</v>
      </c>
      <c r="S183" s="2" t="s">
        <v>1533</v>
      </c>
      <c r="T183" s="2" t="s">
        <v>1523</v>
      </c>
      <c r="U183" s="2" t="s">
        <v>437</v>
      </c>
      <c r="V183" s="2" t="s">
        <v>809</v>
      </c>
      <c r="W183" s="2" t="s">
        <v>453</v>
      </c>
      <c r="X183" s="2" t="s">
        <v>539</v>
      </c>
      <c r="Y183" s="2" t="s">
        <v>1524</v>
      </c>
      <c r="Z183" s="4">
        <v>306</v>
      </c>
      <c r="AA183" s="4">
        <f>=ROUNDDOWN(51,0)</f>
      </c>
      <c r="AB183" s="5">
        <v>6</v>
      </c>
      <c r="AC183" s="2" t="s">
        <v>318</v>
      </c>
      <c r="AD183" s="4">
        <v>90</v>
      </c>
      <c r="AE183" s="4">
        <v>90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206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 t="s">
        <v>206</v>
      </c>
      <c r="BD183" s="8" t="s">
        <v>206</v>
      </c>
      <c r="BE183" s="4" t="s">
        <v>206</v>
      </c>
      <c r="BF183" s="8" t="s">
        <v>206</v>
      </c>
      <c r="BG183" s="7" t="s">
        <v>206</v>
      </c>
      <c r="BH183" s="7" t="s">
        <v>206</v>
      </c>
      <c r="BI183" s="7"/>
      <c r="BJ183" s="4">
        <v>10</v>
      </c>
      <c r="BK183" s="8">
        <v>143.7</v>
      </c>
      <c r="BL183" s="2" t="s">
        <v>1534</v>
      </c>
      <c r="BM183" s="7"/>
      <c r="BN183" s="7"/>
      <c r="BO183" s="4"/>
      <c r="BP183" s="8"/>
      <c r="BQ183" s="4"/>
      <c r="BR183" s="8"/>
      <c r="BS183" s="7"/>
      <c r="BT183" s="7"/>
      <c r="BU183" s="2" t="s">
        <v>1535</v>
      </c>
      <c r="BV183" s="2" t="s">
        <v>206</v>
      </c>
      <c r="BW183" s="2" t="s">
        <v>206</v>
      </c>
      <c r="BX183" s="2" t="s">
        <v>214</v>
      </c>
      <c r="BY183" s="2" t="s">
        <v>215</v>
      </c>
      <c r="BZ183" s="2" t="s">
        <v>203</v>
      </c>
      <c r="CA183" s="2" t="s">
        <v>1527</v>
      </c>
      <c r="CB183" s="2" t="s">
        <v>1536</v>
      </c>
      <c r="CC183" s="2" t="s">
        <v>218</v>
      </c>
      <c r="CD183" s="2" t="s">
        <v>206</v>
      </c>
      <c r="CE183" s="4">
        <v>306</v>
      </c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>
        <v>90</v>
      </c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</row>
    <row r="184">
      <c r="A184" s="2" t="s">
        <v>1537</v>
      </c>
      <c r="B184" s="2" t="s">
        <v>800</v>
      </c>
      <c r="C184" s="2" t="s">
        <v>287</v>
      </c>
      <c r="D184" s="2" t="s">
        <v>1267</v>
      </c>
      <c r="E184" s="2" t="s">
        <v>1268</v>
      </c>
      <c r="F184" s="2" t="s">
        <v>1521</v>
      </c>
      <c r="G184" s="2" t="s">
        <v>1521</v>
      </c>
      <c r="H184" s="2" t="s">
        <v>1521</v>
      </c>
      <c r="I184" s="2" t="s">
        <v>1268</v>
      </c>
      <c r="J184" s="2" t="s">
        <v>201</v>
      </c>
      <c r="K184" s="2" t="s">
        <v>709</v>
      </c>
      <c r="L184" s="3">
        <v>12.85</v>
      </c>
      <c r="M184" s="3">
        <v>13.49</v>
      </c>
      <c r="N184" s="3">
        <v>29.99</v>
      </c>
      <c r="O184" s="2" t="s">
        <v>203</v>
      </c>
      <c r="P184" s="2" t="s">
        <v>204</v>
      </c>
      <c r="Q184" s="2" t="s">
        <v>205</v>
      </c>
      <c r="R184" s="2" t="s">
        <v>206</v>
      </c>
      <c r="S184" s="2" t="s">
        <v>1538</v>
      </c>
      <c r="T184" s="2" t="s">
        <v>1523</v>
      </c>
      <c r="U184" s="2" t="s">
        <v>437</v>
      </c>
      <c r="V184" s="2" t="s">
        <v>809</v>
      </c>
      <c r="W184" s="2" t="s">
        <v>453</v>
      </c>
      <c r="X184" s="2" t="s">
        <v>539</v>
      </c>
      <c r="Y184" s="2" t="s">
        <v>1527</v>
      </c>
      <c r="Z184" s="4">
        <v>339</v>
      </c>
      <c r="AA184" s="4">
        <f>=ROUNDDOWN(67.8,0)</f>
      </c>
      <c r="AB184" s="5">
        <v>5</v>
      </c>
      <c r="AC184" s="2" t="s">
        <v>206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206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206</v>
      </c>
      <c r="AW184" s="8" t="s">
        <v>206</v>
      </c>
      <c r="AX184" s="4" t="s">
        <v>206</v>
      </c>
      <c r="AY184" s="8" t="s">
        <v>206</v>
      </c>
      <c r="AZ184" s="7" t="s">
        <v>206</v>
      </c>
      <c r="BA184" s="7" t="s">
        <v>206</v>
      </c>
      <c r="BB184" s="7"/>
      <c r="BC184" s="4" t="s">
        <v>206</v>
      </c>
      <c r="BD184" s="8" t="s">
        <v>206</v>
      </c>
      <c r="BE184" s="4" t="s">
        <v>206</v>
      </c>
      <c r="BF184" s="8" t="s">
        <v>206</v>
      </c>
      <c r="BG184" s="7" t="s">
        <v>206</v>
      </c>
      <c r="BH184" s="7" t="s">
        <v>206</v>
      </c>
      <c r="BI184" s="7"/>
      <c r="BJ184" s="4">
        <v>3</v>
      </c>
      <c r="BK184" s="8">
        <v>43.71</v>
      </c>
      <c r="BL184" s="2" t="s">
        <v>1417</v>
      </c>
      <c r="BM184" s="7"/>
      <c r="BN184" s="7"/>
      <c r="BO184" s="4"/>
      <c r="BP184" s="8"/>
      <c r="BQ184" s="4"/>
      <c r="BR184" s="8"/>
      <c r="BS184" s="7"/>
      <c r="BT184" s="7"/>
      <c r="BU184" s="2" t="s">
        <v>1539</v>
      </c>
      <c r="BV184" s="2" t="s">
        <v>206</v>
      </c>
      <c r="BW184" s="2" t="s">
        <v>206</v>
      </c>
      <c r="BX184" s="2" t="s">
        <v>214</v>
      </c>
      <c r="BY184" s="2" t="s">
        <v>215</v>
      </c>
      <c r="BZ184" s="2" t="s">
        <v>203</v>
      </c>
      <c r="CA184" s="2" t="s">
        <v>1527</v>
      </c>
      <c r="CB184" s="2" t="s">
        <v>973</v>
      </c>
      <c r="CC184" s="2" t="s">
        <v>218</v>
      </c>
      <c r="CD184" s="2" t="s">
        <v>206</v>
      </c>
      <c r="CE184" s="4">
        <v>339</v>
      </c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</row>
    <row r="185">
      <c r="A185" s="2" t="s">
        <v>1540</v>
      </c>
      <c r="B185" s="2" t="s">
        <v>800</v>
      </c>
      <c r="C185" s="2" t="s">
        <v>287</v>
      </c>
      <c r="D185" s="2" t="s">
        <v>1267</v>
      </c>
      <c r="E185" s="2" t="s">
        <v>1268</v>
      </c>
      <c r="F185" s="2" t="s">
        <v>1521</v>
      </c>
      <c r="G185" s="2" t="s">
        <v>1521</v>
      </c>
      <c r="H185" s="2" t="s">
        <v>1521</v>
      </c>
      <c r="I185" s="2" t="s">
        <v>1268</v>
      </c>
      <c r="J185" s="2" t="s">
        <v>593</v>
      </c>
      <c r="K185" s="2" t="s">
        <v>709</v>
      </c>
      <c r="L185" s="3">
        <v>16</v>
      </c>
      <c r="M185" s="3">
        <v>16.8</v>
      </c>
      <c r="N185" s="3">
        <v>34.99</v>
      </c>
      <c r="O185" s="2" t="s">
        <v>203</v>
      </c>
      <c r="P185" s="2" t="s">
        <v>204</v>
      </c>
      <c r="Q185" s="2" t="s">
        <v>205</v>
      </c>
      <c r="R185" s="2" t="s">
        <v>206</v>
      </c>
      <c r="S185" s="2" t="s">
        <v>1538</v>
      </c>
      <c r="T185" s="2" t="s">
        <v>1523</v>
      </c>
      <c r="U185" s="2" t="s">
        <v>437</v>
      </c>
      <c r="V185" s="2" t="s">
        <v>809</v>
      </c>
      <c r="W185" s="2" t="s">
        <v>453</v>
      </c>
      <c r="X185" s="2" t="s">
        <v>539</v>
      </c>
      <c r="Y185" s="2" t="s">
        <v>1524</v>
      </c>
      <c r="Z185" s="4">
        <v>406</v>
      </c>
      <c r="AA185" s="4">
        <f>=ROUNDDOWN(33.8333333333333,0)</f>
      </c>
      <c r="AB185" s="5">
        <v>12</v>
      </c>
      <c r="AC185" s="2" t="s">
        <v>1541</v>
      </c>
      <c r="AD185" s="4">
        <v>250</v>
      </c>
      <c r="AE185" s="4">
        <v>250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206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206</v>
      </c>
      <c r="AW185" s="8" t="s">
        <v>206</v>
      </c>
      <c r="AX185" s="4" t="s">
        <v>206</v>
      </c>
      <c r="AY185" s="8" t="s">
        <v>206</v>
      </c>
      <c r="AZ185" s="7" t="s">
        <v>206</v>
      </c>
      <c r="BA185" s="7" t="s">
        <v>206</v>
      </c>
      <c r="BB185" s="7"/>
      <c r="BC185" s="4" t="s">
        <v>206</v>
      </c>
      <c r="BD185" s="8" t="s">
        <v>206</v>
      </c>
      <c r="BE185" s="4" t="s">
        <v>206</v>
      </c>
      <c r="BF185" s="8" t="s">
        <v>206</v>
      </c>
      <c r="BG185" s="7" t="s">
        <v>206</v>
      </c>
      <c r="BH185" s="7" t="s">
        <v>206</v>
      </c>
      <c r="BI185" s="7"/>
      <c r="BJ185" s="4">
        <v>60</v>
      </c>
      <c r="BK185" s="8">
        <v>1078.82</v>
      </c>
      <c r="BL185" s="2" t="s">
        <v>1542</v>
      </c>
      <c r="BM185" s="7"/>
      <c r="BN185" s="7"/>
      <c r="BO185" s="4"/>
      <c r="BP185" s="8"/>
      <c r="BQ185" s="4"/>
      <c r="BR185" s="8"/>
      <c r="BS185" s="7"/>
      <c r="BT185" s="7"/>
      <c r="BU185" s="2" t="s">
        <v>1543</v>
      </c>
      <c r="BV185" s="2" t="s">
        <v>206</v>
      </c>
      <c r="BW185" s="2" t="s">
        <v>206</v>
      </c>
      <c r="BX185" s="2" t="s">
        <v>214</v>
      </c>
      <c r="BY185" s="2" t="s">
        <v>215</v>
      </c>
      <c r="BZ185" s="2" t="s">
        <v>203</v>
      </c>
      <c r="CA185" s="2" t="s">
        <v>1527</v>
      </c>
      <c r="CB185" s="2" t="s">
        <v>1544</v>
      </c>
      <c r="CC185" s="2" t="s">
        <v>218</v>
      </c>
      <c r="CD185" s="2" t="s">
        <v>206</v>
      </c>
      <c r="CE185" s="4">
        <v>406</v>
      </c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>
        <v>250</v>
      </c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</row>
    <row r="186">
      <c r="A186" s="2" t="s">
        <v>1545</v>
      </c>
      <c r="B186" s="2" t="s">
        <v>800</v>
      </c>
      <c r="C186" s="2" t="s">
        <v>287</v>
      </c>
      <c r="D186" s="2" t="s">
        <v>1267</v>
      </c>
      <c r="E186" s="2" t="s">
        <v>1268</v>
      </c>
      <c r="F186" s="2" t="s">
        <v>1521</v>
      </c>
      <c r="G186" s="2" t="s">
        <v>1521</v>
      </c>
      <c r="H186" s="2" t="s">
        <v>1521</v>
      </c>
      <c r="I186" s="2" t="s">
        <v>1268</v>
      </c>
      <c r="J186" s="2" t="s">
        <v>231</v>
      </c>
      <c r="K186" s="2" t="s">
        <v>709</v>
      </c>
      <c r="L186" s="3">
        <v>18.28</v>
      </c>
      <c r="M186" s="3">
        <v>19.19</v>
      </c>
      <c r="N186" s="3">
        <v>39.99</v>
      </c>
      <c r="O186" s="2" t="s">
        <v>203</v>
      </c>
      <c r="P186" s="2" t="s">
        <v>204</v>
      </c>
      <c r="Q186" s="2" t="s">
        <v>205</v>
      </c>
      <c r="R186" s="2" t="s">
        <v>206</v>
      </c>
      <c r="S186" s="2" t="s">
        <v>1538</v>
      </c>
      <c r="T186" s="2" t="s">
        <v>1523</v>
      </c>
      <c r="U186" s="2" t="s">
        <v>437</v>
      </c>
      <c r="V186" s="2" t="s">
        <v>809</v>
      </c>
      <c r="W186" s="2" t="s">
        <v>453</v>
      </c>
      <c r="X186" s="2" t="s">
        <v>539</v>
      </c>
      <c r="Y186" s="2" t="s">
        <v>1524</v>
      </c>
      <c r="Z186" s="4">
        <v>278</v>
      </c>
      <c r="AA186" s="4">
        <f>=ROUNDDOWN(37.0666666666667,0)</f>
      </c>
      <c r="AB186" s="5">
        <v>7.5</v>
      </c>
      <c r="AC186" s="2" t="s">
        <v>1541</v>
      </c>
      <c r="AD186" s="4">
        <v>85</v>
      </c>
      <c r="AE186" s="4">
        <v>85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206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206</v>
      </c>
      <c r="AW186" s="8" t="s">
        <v>206</v>
      </c>
      <c r="AX186" s="4" t="s">
        <v>206</v>
      </c>
      <c r="AY186" s="8" t="s">
        <v>206</v>
      </c>
      <c r="AZ186" s="7" t="s">
        <v>206</v>
      </c>
      <c r="BA186" s="7" t="s">
        <v>206</v>
      </c>
      <c r="BB186" s="7"/>
      <c r="BC186" s="4" t="s">
        <v>206</v>
      </c>
      <c r="BD186" s="8" t="s">
        <v>206</v>
      </c>
      <c r="BE186" s="4" t="s">
        <v>206</v>
      </c>
      <c r="BF186" s="8" t="s">
        <v>206</v>
      </c>
      <c r="BG186" s="7" t="s">
        <v>206</v>
      </c>
      <c r="BH186" s="7" t="s">
        <v>206</v>
      </c>
      <c r="BI186" s="7"/>
      <c r="BJ186" s="4">
        <v>63</v>
      </c>
      <c r="BK186" s="8">
        <v>1300.77</v>
      </c>
      <c r="BL186" s="2" t="s">
        <v>1546</v>
      </c>
      <c r="BM186" s="7"/>
      <c r="BN186" s="7"/>
      <c r="BO186" s="4"/>
      <c r="BP186" s="8"/>
      <c r="BQ186" s="4"/>
      <c r="BR186" s="8"/>
      <c r="BS186" s="7"/>
      <c r="BT186" s="7"/>
      <c r="BU186" s="2" t="s">
        <v>1547</v>
      </c>
      <c r="BV186" s="2" t="s">
        <v>206</v>
      </c>
      <c r="BW186" s="2" t="s">
        <v>206</v>
      </c>
      <c r="BX186" s="2" t="s">
        <v>214</v>
      </c>
      <c r="BY186" s="2" t="s">
        <v>215</v>
      </c>
      <c r="BZ186" s="2" t="s">
        <v>203</v>
      </c>
      <c r="CA186" s="2" t="s">
        <v>1527</v>
      </c>
      <c r="CB186" s="2" t="s">
        <v>1548</v>
      </c>
      <c r="CC186" s="2" t="s">
        <v>218</v>
      </c>
      <c r="CD186" s="2" t="s">
        <v>206</v>
      </c>
      <c r="CE186" s="4">
        <v>278</v>
      </c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>
        <v>85</v>
      </c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</row>
    <row r="187">
      <c r="A187" s="2" t="s">
        <v>1549</v>
      </c>
      <c r="B187" s="2" t="s">
        <v>800</v>
      </c>
      <c r="C187" s="2" t="s">
        <v>287</v>
      </c>
      <c r="D187" s="2" t="s">
        <v>1267</v>
      </c>
      <c r="E187" s="2" t="s">
        <v>1268</v>
      </c>
      <c r="F187" s="2" t="s">
        <v>1521</v>
      </c>
      <c r="G187" s="2" t="s">
        <v>1521</v>
      </c>
      <c r="H187" s="2" t="s">
        <v>1521</v>
      </c>
      <c r="I187" s="2" t="s">
        <v>1268</v>
      </c>
      <c r="J187" s="2" t="s">
        <v>593</v>
      </c>
      <c r="K187" s="2" t="s">
        <v>336</v>
      </c>
      <c r="L187" s="3">
        <v>16</v>
      </c>
      <c r="M187" s="3">
        <v>16.8</v>
      </c>
      <c r="N187" s="3">
        <v>34.99</v>
      </c>
      <c r="O187" s="2" t="s">
        <v>203</v>
      </c>
      <c r="P187" s="2" t="s">
        <v>204</v>
      </c>
      <c r="Q187" s="2" t="s">
        <v>205</v>
      </c>
      <c r="R187" s="2" t="s">
        <v>206</v>
      </c>
      <c r="S187" s="2" t="s">
        <v>1550</v>
      </c>
      <c r="T187" s="2" t="s">
        <v>1523</v>
      </c>
      <c r="U187" s="2" t="s">
        <v>437</v>
      </c>
      <c r="V187" s="2" t="s">
        <v>809</v>
      </c>
      <c r="W187" s="2" t="s">
        <v>453</v>
      </c>
      <c r="X187" s="2" t="s">
        <v>539</v>
      </c>
      <c r="Y187" s="2" t="s">
        <v>1527</v>
      </c>
      <c r="Z187" s="4">
        <v>331</v>
      </c>
      <c r="AA187" s="4">
        <f>=ROUNDDOWN(25.4615384615385,0)</f>
      </c>
      <c r="AB187" s="5">
        <v>13</v>
      </c>
      <c r="AC187" s="2" t="s">
        <v>5</v>
      </c>
      <c r="AD187" s="4">
        <v>200</v>
      </c>
      <c r="AE187" s="4">
        <v>310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206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 t="s">
        <v>206</v>
      </c>
      <c r="BD187" s="8" t="s">
        <v>206</v>
      </c>
      <c r="BE187" s="4" t="s">
        <v>206</v>
      </c>
      <c r="BF187" s="8" t="s">
        <v>206</v>
      </c>
      <c r="BG187" s="7" t="s">
        <v>206</v>
      </c>
      <c r="BH187" s="7" t="s">
        <v>206</v>
      </c>
      <c r="BI187" s="7"/>
      <c r="BJ187" s="4">
        <v>42</v>
      </c>
      <c r="BK187" s="8">
        <v>757.8</v>
      </c>
      <c r="BL187" s="2" t="s">
        <v>424</v>
      </c>
      <c r="BM187" s="7"/>
      <c r="BN187" s="7"/>
      <c r="BO187" s="4"/>
      <c r="BP187" s="8"/>
      <c r="BQ187" s="4"/>
      <c r="BR187" s="8"/>
      <c r="BS187" s="7"/>
      <c r="BT187" s="7"/>
      <c r="BU187" s="2" t="s">
        <v>1551</v>
      </c>
      <c r="BV187" s="2" t="s">
        <v>206</v>
      </c>
      <c r="BW187" s="2" t="s">
        <v>206</v>
      </c>
      <c r="BX187" s="2" t="s">
        <v>214</v>
      </c>
      <c r="BY187" s="2" t="s">
        <v>215</v>
      </c>
      <c r="BZ187" s="2" t="s">
        <v>203</v>
      </c>
      <c r="CA187" s="2" t="s">
        <v>1527</v>
      </c>
      <c r="CB187" s="2" t="s">
        <v>1552</v>
      </c>
      <c r="CC187" s="2" t="s">
        <v>218</v>
      </c>
      <c r="CD187" s="2" t="s">
        <v>206</v>
      </c>
      <c r="CE187" s="4">
        <v>331</v>
      </c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>
        <v>200</v>
      </c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>
        <v>110</v>
      </c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</row>
    <row r="188">
      <c r="A188" s="2" t="s">
        <v>1553</v>
      </c>
      <c r="B188" s="2" t="s">
        <v>800</v>
      </c>
      <c r="C188" s="2" t="s">
        <v>287</v>
      </c>
      <c r="D188" s="2" t="s">
        <v>1267</v>
      </c>
      <c r="E188" s="2" t="s">
        <v>1268</v>
      </c>
      <c r="F188" s="2" t="s">
        <v>1521</v>
      </c>
      <c r="G188" s="2" t="s">
        <v>1521</v>
      </c>
      <c r="H188" s="2" t="s">
        <v>1521</v>
      </c>
      <c r="I188" s="2" t="s">
        <v>1268</v>
      </c>
      <c r="J188" s="2" t="s">
        <v>201</v>
      </c>
      <c r="K188" s="2" t="s">
        <v>674</v>
      </c>
      <c r="L188" s="3">
        <v>12.85</v>
      </c>
      <c r="M188" s="3">
        <v>13.49</v>
      </c>
      <c r="N188" s="3">
        <v>29.99</v>
      </c>
      <c r="O188" s="2" t="s">
        <v>203</v>
      </c>
      <c r="P188" s="2" t="s">
        <v>204</v>
      </c>
      <c r="Q188" s="2" t="s">
        <v>205</v>
      </c>
      <c r="R188" s="2" t="s">
        <v>206</v>
      </c>
      <c r="S188" s="2" t="s">
        <v>1554</v>
      </c>
      <c r="T188" s="2" t="s">
        <v>1523</v>
      </c>
      <c r="U188" s="2" t="s">
        <v>437</v>
      </c>
      <c r="V188" s="2" t="s">
        <v>809</v>
      </c>
      <c r="W188" s="2" t="s">
        <v>453</v>
      </c>
      <c r="X188" s="2" t="s">
        <v>539</v>
      </c>
      <c r="Y188" s="2" t="s">
        <v>1527</v>
      </c>
      <c r="Z188" s="4">
        <v>283</v>
      </c>
      <c r="AA188" s="4">
        <f>=ROUNDDOWN(94.3333333333333,0)</f>
      </c>
      <c r="AB188" s="5">
        <v>3</v>
      </c>
      <c r="AC188" s="2" t="s">
        <v>1555</v>
      </c>
      <c r="AD188" s="4">
        <v>170</v>
      </c>
      <c r="AE188" s="4">
        <v>170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206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206</v>
      </c>
      <c r="AW188" s="8" t="s">
        <v>206</v>
      </c>
      <c r="AX188" s="4" t="s">
        <v>206</v>
      </c>
      <c r="AY188" s="8" t="s">
        <v>206</v>
      </c>
      <c r="AZ188" s="7" t="s">
        <v>206</v>
      </c>
      <c r="BA188" s="7" t="s">
        <v>206</v>
      </c>
      <c r="BB188" s="7"/>
      <c r="BC188" s="4" t="s">
        <v>206</v>
      </c>
      <c r="BD188" s="8" t="s">
        <v>206</v>
      </c>
      <c r="BE188" s="4" t="s">
        <v>206</v>
      </c>
      <c r="BF188" s="8" t="s">
        <v>206</v>
      </c>
      <c r="BG188" s="7" t="s">
        <v>206</v>
      </c>
      <c r="BH188" s="7" t="s">
        <v>206</v>
      </c>
      <c r="BI188" s="7"/>
      <c r="BJ188" s="4">
        <v>5</v>
      </c>
      <c r="BK188" s="8">
        <v>72.45</v>
      </c>
      <c r="BL188" s="2" t="s">
        <v>1354</v>
      </c>
      <c r="BM188" s="7"/>
      <c r="BN188" s="7"/>
      <c r="BO188" s="4"/>
      <c r="BP188" s="8"/>
      <c r="BQ188" s="4"/>
      <c r="BR188" s="8"/>
      <c r="BS188" s="7"/>
      <c r="BT188" s="7"/>
      <c r="BU188" s="2" t="s">
        <v>1556</v>
      </c>
      <c r="BV188" s="2" t="s">
        <v>206</v>
      </c>
      <c r="BW188" s="2" t="s">
        <v>206</v>
      </c>
      <c r="BX188" s="2" t="s">
        <v>214</v>
      </c>
      <c r="BY188" s="2" t="s">
        <v>215</v>
      </c>
      <c r="BZ188" s="2" t="s">
        <v>203</v>
      </c>
      <c r="CA188" s="2" t="s">
        <v>1527</v>
      </c>
      <c r="CB188" s="2" t="s">
        <v>206</v>
      </c>
      <c r="CC188" s="2" t="s">
        <v>218</v>
      </c>
      <c r="CD188" s="2" t="s">
        <v>206</v>
      </c>
      <c r="CE188" s="4">
        <v>283</v>
      </c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>
        <v>170</v>
      </c>
      <c r="GB188" s="4"/>
      <c r="GC188" s="4"/>
      <c r="GD188" s="4"/>
      <c r="GE188" s="4"/>
      <c r="GF188" s="4"/>
    </row>
    <row r="189">
      <c r="A189" s="2" t="s">
        <v>1557</v>
      </c>
      <c r="B189" s="2" t="s">
        <v>800</v>
      </c>
      <c r="C189" s="2" t="s">
        <v>287</v>
      </c>
      <c r="D189" s="2" t="s">
        <v>1267</v>
      </c>
      <c r="E189" s="2" t="s">
        <v>1268</v>
      </c>
      <c r="F189" s="2" t="s">
        <v>1521</v>
      </c>
      <c r="G189" s="2" t="s">
        <v>1521</v>
      </c>
      <c r="H189" s="2" t="s">
        <v>1521</v>
      </c>
      <c r="I189" s="2" t="s">
        <v>1268</v>
      </c>
      <c r="J189" s="2" t="s">
        <v>231</v>
      </c>
      <c r="K189" s="2" t="s">
        <v>674</v>
      </c>
      <c r="L189" s="3">
        <v>18.28</v>
      </c>
      <c r="M189" s="3">
        <v>19.19</v>
      </c>
      <c r="N189" s="3">
        <v>39.99</v>
      </c>
      <c r="O189" s="2" t="s">
        <v>203</v>
      </c>
      <c r="P189" s="2" t="s">
        <v>204</v>
      </c>
      <c r="Q189" s="2" t="s">
        <v>205</v>
      </c>
      <c r="R189" s="2" t="s">
        <v>206</v>
      </c>
      <c r="S189" s="2" t="s">
        <v>1554</v>
      </c>
      <c r="T189" s="2" t="s">
        <v>1523</v>
      </c>
      <c r="U189" s="2" t="s">
        <v>437</v>
      </c>
      <c r="V189" s="2" t="s">
        <v>809</v>
      </c>
      <c r="W189" s="2" t="s">
        <v>453</v>
      </c>
      <c r="X189" s="2" t="s">
        <v>539</v>
      </c>
      <c r="Y189" s="2" t="s">
        <v>1527</v>
      </c>
      <c r="Z189" s="4">
        <v>256</v>
      </c>
      <c r="AA189" s="4">
        <f>=ROUNDDOWN(64,0)</f>
      </c>
      <c r="AB189" s="5">
        <v>4</v>
      </c>
      <c r="AC189" s="2" t="s">
        <v>1555</v>
      </c>
      <c r="AD189" s="4">
        <v>200</v>
      </c>
      <c r="AE189" s="4">
        <v>200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206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206</v>
      </c>
      <c r="AW189" s="8" t="s">
        <v>206</v>
      </c>
      <c r="AX189" s="4" t="s">
        <v>206</v>
      </c>
      <c r="AY189" s="8" t="s">
        <v>206</v>
      </c>
      <c r="AZ189" s="7" t="s">
        <v>206</v>
      </c>
      <c r="BA189" s="7" t="s">
        <v>206</v>
      </c>
      <c r="BB189" s="7"/>
      <c r="BC189" s="4" t="s">
        <v>206</v>
      </c>
      <c r="BD189" s="8" t="s">
        <v>206</v>
      </c>
      <c r="BE189" s="4" t="s">
        <v>206</v>
      </c>
      <c r="BF189" s="8" t="s">
        <v>206</v>
      </c>
      <c r="BG189" s="7" t="s">
        <v>206</v>
      </c>
      <c r="BH189" s="7" t="s">
        <v>206</v>
      </c>
      <c r="BI189" s="7"/>
      <c r="BJ189" s="4">
        <v>15</v>
      </c>
      <c r="BK189" s="8">
        <v>309.21</v>
      </c>
      <c r="BL189" s="2" t="s">
        <v>1534</v>
      </c>
      <c r="BM189" s="7"/>
      <c r="BN189" s="7"/>
      <c r="BO189" s="4"/>
      <c r="BP189" s="8"/>
      <c r="BQ189" s="4"/>
      <c r="BR189" s="8"/>
      <c r="BS189" s="7"/>
      <c r="BT189" s="7"/>
      <c r="BU189" s="2" t="s">
        <v>1558</v>
      </c>
      <c r="BV189" s="2" t="s">
        <v>206</v>
      </c>
      <c r="BW189" s="2" t="s">
        <v>206</v>
      </c>
      <c r="BX189" s="2" t="s">
        <v>214</v>
      </c>
      <c r="BY189" s="2" t="s">
        <v>215</v>
      </c>
      <c r="BZ189" s="2" t="s">
        <v>203</v>
      </c>
      <c r="CA189" s="2" t="s">
        <v>1527</v>
      </c>
      <c r="CB189" s="2" t="s">
        <v>1559</v>
      </c>
      <c r="CC189" s="2" t="s">
        <v>218</v>
      </c>
      <c r="CD189" s="2" t="s">
        <v>206</v>
      </c>
      <c r="CE189" s="4">
        <v>256</v>
      </c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>
        <v>200</v>
      </c>
      <c r="GB189" s="4"/>
      <c r="GC189" s="4"/>
      <c r="GD189" s="4"/>
      <c r="GE189" s="4"/>
      <c r="GF189" s="4"/>
    </row>
    <row r="190">
      <c r="A190" s="2" t="s">
        <v>1560</v>
      </c>
      <c r="B190" s="2" t="s">
        <v>546</v>
      </c>
      <c r="C190" s="2" t="s">
        <v>1145</v>
      </c>
      <c r="D190" s="2" t="s">
        <v>548</v>
      </c>
      <c r="E190" s="2" t="s">
        <v>549</v>
      </c>
      <c r="F190" s="2" t="s">
        <v>1561</v>
      </c>
      <c r="G190" s="2" t="s">
        <v>1562</v>
      </c>
      <c r="H190" s="2" t="s">
        <v>1563</v>
      </c>
      <c r="I190" s="2" t="s">
        <v>1564</v>
      </c>
      <c r="J190" s="2" t="s">
        <v>582</v>
      </c>
      <c r="K190" s="2" t="s">
        <v>583</v>
      </c>
      <c r="L190" s="3">
        <v>31.5</v>
      </c>
      <c r="M190" s="3">
        <v>33.08</v>
      </c>
      <c r="N190" s="3">
        <v>74.99</v>
      </c>
      <c r="O190" s="2" t="s">
        <v>203</v>
      </c>
      <c r="P190" s="2" t="s">
        <v>204</v>
      </c>
      <c r="Q190" s="2" t="s">
        <v>205</v>
      </c>
      <c r="R190" s="2" t="s">
        <v>206</v>
      </c>
      <c r="S190" s="2" t="s">
        <v>1565</v>
      </c>
      <c r="T190" s="2" t="s">
        <v>292</v>
      </c>
      <c r="U190" s="2" t="s">
        <v>235</v>
      </c>
      <c r="V190" s="2" t="s">
        <v>438</v>
      </c>
      <c r="W190" s="2" t="s">
        <v>439</v>
      </c>
      <c r="X190" s="2" t="s">
        <v>210</v>
      </c>
      <c r="Y190" s="2" t="s">
        <v>1566</v>
      </c>
      <c r="Z190" s="4">
        <v>290</v>
      </c>
      <c r="AA190" s="4">
        <f>=ROUNDDOWN(58,0)</f>
      </c>
      <c r="AB190" s="5">
        <v>5</v>
      </c>
      <c r="AC190" s="2" t="s">
        <v>206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206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 t="s">
        <v>206</v>
      </c>
      <c r="BD190" s="8" t="s">
        <v>206</v>
      </c>
      <c r="BE190" s="4" t="s">
        <v>206</v>
      </c>
      <c r="BF190" s="8" t="s">
        <v>206</v>
      </c>
      <c r="BG190" s="7" t="s">
        <v>206</v>
      </c>
      <c r="BH190" s="7" t="s">
        <v>206</v>
      </c>
      <c r="BI190" s="7"/>
      <c r="BJ190" s="4">
        <v>8</v>
      </c>
      <c r="BK190" s="8">
        <v>288.26</v>
      </c>
      <c r="BL190" s="2" t="s">
        <v>1399</v>
      </c>
      <c r="BM190" s="7"/>
      <c r="BN190" s="7"/>
      <c r="BO190" s="4"/>
      <c r="BP190" s="8"/>
      <c r="BQ190" s="4"/>
      <c r="BR190" s="8"/>
      <c r="BS190" s="7"/>
      <c r="BT190" s="7"/>
      <c r="BU190" s="2" t="s">
        <v>1567</v>
      </c>
      <c r="BV190" s="2" t="s">
        <v>206</v>
      </c>
      <c r="BW190" s="2" t="s">
        <v>206</v>
      </c>
      <c r="BX190" s="2" t="s">
        <v>214</v>
      </c>
      <c r="BY190" s="2" t="s">
        <v>215</v>
      </c>
      <c r="BZ190" s="2" t="s">
        <v>203</v>
      </c>
      <c r="CA190" s="2" t="s">
        <v>1566</v>
      </c>
      <c r="CB190" s="2" t="s">
        <v>1568</v>
      </c>
      <c r="CC190" s="2" t="s">
        <v>218</v>
      </c>
      <c r="CD190" s="2" t="s">
        <v>206</v>
      </c>
      <c r="CE190" s="4">
        <v>290</v>
      </c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</row>
    <row r="191">
      <c r="A191" s="2" t="s">
        <v>1569</v>
      </c>
      <c r="B191" s="2" t="s">
        <v>546</v>
      </c>
      <c r="C191" s="2" t="s">
        <v>1145</v>
      </c>
      <c r="D191" s="2" t="s">
        <v>529</v>
      </c>
      <c r="E191" s="2" t="s">
        <v>816</v>
      </c>
      <c r="F191" s="2" t="s">
        <v>1561</v>
      </c>
      <c r="G191" s="2" t="s">
        <v>1562</v>
      </c>
      <c r="H191" s="2" t="s">
        <v>1563</v>
      </c>
      <c r="I191" s="2" t="s">
        <v>1570</v>
      </c>
      <c r="J191" s="2" t="s">
        <v>821</v>
      </c>
      <c r="K191" s="2" t="s">
        <v>1049</v>
      </c>
      <c r="L191" s="3">
        <v>31.25</v>
      </c>
      <c r="M191" s="3">
        <v>32.81</v>
      </c>
      <c r="N191" s="3">
        <v>69.99</v>
      </c>
      <c r="O191" s="2" t="s">
        <v>203</v>
      </c>
      <c r="P191" s="2" t="s">
        <v>204</v>
      </c>
      <c r="Q191" s="2" t="s">
        <v>205</v>
      </c>
      <c r="R191" s="2" t="s">
        <v>206</v>
      </c>
      <c r="S191" s="2" t="s">
        <v>1571</v>
      </c>
      <c r="T191" s="2" t="s">
        <v>292</v>
      </c>
      <c r="U191" s="2" t="s">
        <v>556</v>
      </c>
      <c r="V191" s="2" t="s">
        <v>438</v>
      </c>
      <c r="W191" s="2" t="s">
        <v>439</v>
      </c>
      <c r="X191" s="2" t="s">
        <v>210</v>
      </c>
      <c r="Y191" s="2" t="s">
        <v>1572</v>
      </c>
      <c r="Z191" s="4">
        <v>245</v>
      </c>
      <c r="AA191" s="4">
        <f>=ROUNDDOWN(49,0)</f>
      </c>
      <c r="AB191" s="5">
        <v>5</v>
      </c>
      <c r="AC191" s="2" t="s">
        <v>206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206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206</v>
      </c>
      <c r="AW191" s="8" t="s">
        <v>206</v>
      </c>
      <c r="AX191" s="4" t="s">
        <v>206</v>
      </c>
      <c r="AY191" s="8" t="s">
        <v>206</v>
      </c>
      <c r="AZ191" s="7" t="s">
        <v>206</v>
      </c>
      <c r="BA191" s="7" t="s">
        <v>206</v>
      </c>
      <c r="BB191" s="7"/>
      <c r="BC191" s="4" t="s">
        <v>206</v>
      </c>
      <c r="BD191" s="8" t="s">
        <v>206</v>
      </c>
      <c r="BE191" s="4" t="s">
        <v>206</v>
      </c>
      <c r="BF191" s="8" t="s">
        <v>206</v>
      </c>
      <c r="BG191" s="7" t="s">
        <v>206</v>
      </c>
      <c r="BH191" s="7" t="s">
        <v>206</v>
      </c>
      <c r="BI191" s="7"/>
      <c r="BJ191" s="4">
        <v>10</v>
      </c>
      <c r="BK191" s="8">
        <v>316.27</v>
      </c>
      <c r="BL191" s="2" t="s">
        <v>1573</v>
      </c>
      <c r="BM191" s="7"/>
      <c r="BN191" s="7"/>
      <c r="BO191" s="4"/>
      <c r="BP191" s="8"/>
      <c r="BQ191" s="4"/>
      <c r="BR191" s="8"/>
      <c r="BS191" s="7"/>
      <c r="BT191" s="7"/>
      <c r="BU191" s="2" t="s">
        <v>1574</v>
      </c>
      <c r="BV191" s="2" t="s">
        <v>206</v>
      </c>
      <c r="BW191" s="2" t="s">
        <v>206</v>
      </c>
      <c r="BX191" s="2" t="s">
        <v>850</v>
      </c>
      <c r="BY191" s="2" t="s">
        <v>215</v>
      </c>
      <c r="BZ191" s="2" t="s">
        <v>203</v>
      </c>
      <c r="CA191" s="2" t="s">
        <v>1575</v>
      </c>
      <c r="CB191" s="2" t="s">
        <v>1576</v>
      </c>
      <c r="CC191" s="2" t="s">
        <v>218</v>
      </c>
      <c r="CD191" s="2" t="s">
        <v>206</v>
      </c>
      <c r="CE191" s="4">
        <v>245</v>
      </c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</row>
    <row r="192">
      <c r="A192" s="2" t="s">
        <v>1577</v>
      </c>
      <c r="B192" s="2" t="s">
        <v>546</v>
      </c>
      <c r="C192" s="2" t="s">
        <v>1145</v>
      </c>
      <c r="D192" s="2" t="s">
        <v>529</v>
      </c>
      <c r="E192" s="2" t="s">
        <v>816</v>
      </c>
      <c r="F192" s="2" t="s">
        <v>1561</v>
      </c>
      <c r="G192" s="2" t="s">
        <v>1562</v>
      </c>
      <c r="H192" s="2" t="s">
        <v>1563</v>
      </c>
      <c r="I192" s="2" t="s">
        <v>1570</v>
      </c>
      <c r="J192" s="2" t="s">
        <v>593</v>
      </c>
      <c r="K192" s="2" t="s">
        <v>1049</v>
      </c>
      <c r="L192" s="3">
        <v>36.67</v>
      </c>
      <c r="M192" s="3">
        <v>38.5</v>
      </c>
      <c r="N192" s="3">
        <v>79.99</v>
      </c>
      <c r="O192" s="2" t="s">
        <v>203</v>
      </c>
      <c r="P192" s="2" t="s">
        <v>204</v>
      </c>
      <c r="Q192" s="2" t="s">
        <v>205</v>
      </c>
      <c r="R192" s="2" t="s">
        <v>206</v>
      </c>
      <c r="S192" s="2" t="s">
        <v>1571</v>
      </c>
      <c r="T192" s="2" t="s">
        <v>292</v>
      </c>
      <c r="U192" s="2" t="s">
        <v>235</v>
      </c>
      <c r="V192" s="2" t="s">
        <v>438</v>
      </c>
      <c r="W192" s="2" t="s">
        <v>439</v>
      </c>
      <c r="X192" s="2" t="s">
        <v>210</v>
      </c>
      <c r="Y192" s="2" t="s">
        <v>1578</v>
      </c>
      <c r="Z192" s="4">
        <v>445</v>
      </c>
      <c r="AA192" s="4">
        <f>=ROUNDDOWN(37.0833333333333,0)</f>
      </c>
      <c r="AB192" s="5">
        <v>12</v>
      </c>
      <c r="AC192" s="2" t="s">
        <v>206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206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206</v>
      </c>
      <c r="AW192" s="8" t="s">
        <v>206</v>
      </c>
      <c r="AX192" s="4" t="s">
        <v>206</v>
      </c>
      <c r="AY192" s="8" t="s">
        <v>206</v>
      </c>
      <c r="AZ192" s="7" t="s">
        <v>206</v>
      </c>
      <c r="BA192" s="7" t="s">
        <v>206</v>
      </c>
      <c r="BB192" s="7"/>
      <c r="BC192" s="4" t="s">
        <v>206</v>
      </c>
      <c r="BD192" s="8" t="s">
        <v>206</v>
      </c>
      <c r="BE192" s="4" t="s">
        <v>206</v>
      </c>
      <c r="BF192" s="8" t="s">
        <v>206</v>
      </c>
      <c r="BG192" s="7" t="s">
        <v>206</v>
      </c>
      <c r="BH192" s="7" t="s">
        <v>206</v>
      </c>
      <c r="BI192" s="7"/>
      <c r="BJ192" s="4">
        <v>33</v>
      </c>
      <c r="BK192" s="8">
        <v>1303.79</v>
      </c>
      <c r="BL192" s="2" t="s">
        <v>1579</v>
      </c>
      <c r="BM192" s="7"/>
      <c r="BN192" s="7"/>
      <c r="BO192" s="4"/>
      <c r="BP192" s="8"/>
      <c r="BQ192" s="4"/>
      <c r="BR192" s="8"/>
      <c r="BS192" s="7"/>
      <c r="BT192" s="7"/>
      <c r="BU192" s="2" t="s">
        <v>1580</v>
      </c>
      <c r="BV192" s="2" t="s">
        <v>206</v>
      </c>
      <c r="BW192" s="2" t="s">
        <v>206</v>
      </c>
      <c r="BX192" s="2" t="s">
        <v>850</v>
      </c>
      <c r="BY192" s="2" t="s">
        <v>215</v>
      </c>
      <c r="BZ192" s="2" t="s">
        <v>203</v>
      </c>
      <c r="CA192" s="2" t="s">
        <v>1575</v>
      </c>
      <c r="CB192" s="2" t="s">
        <v>1581</v>
      </c>
      <c r="CC192" s="2" t="s">
        <v>218</v>
      </c>
      <c r="CD192" s="2" t="s">
        <v>206</v>
      </c>
      <c r="CE192" s="4">
        <v>445</v>
      </c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</row>
    <row r="193">
      <c r="A193" s="2" t="s">
        <v>1582</v>
      </c>
      <c r="B193" s="2" t="s">
        <v>546</v>
      </c>
      <c r="C193" s="2" t="s">
        <v>1145</v>
      </c>
      <c r="D193" s="2" t="s">
        <v>529</v>
      </c>
      <c r="E193" s="2" t="s">
        <v>816</v>
      </c>
      <c r="F193" s="2" t="s">
        <v>1561</v>
      </c>
      <c r="G193" s="2" t="s">
        <v>1562</v>
      </c>
      <c r="H193" s="2" t="s">
        <v>1563</v>
      </c>
      <c r="I193" s="2" t="s">
        <v>1570</v>
      </c>
      <c r="J193" s="2" t="s">
        <v>582</v>
      </c>
      <c r="K193" s="2" t="s">
        <v>1049</v>
      </c>
      <c r="L193" s="3">
        <v>39.5</v>
      </c>
      <c r="M193" s="3">
        <v>41.48</v>
      </c>
      <c r="N193" s="3">
        <v>89.99</v>
      </c>
      <c r="O193" s="2" t="s">
        <v>203</v>
      </c>
      <c r="P193" s="2" t="s">
        <v>204</v>
      </c>
      <c r="Q193" s="2" t="s">
        <v>205</v>
      </c>
      <c r="R193" s="2" t="s">
        <v>206</v>
      </c>
      <c r="S193" s="2" t="s">
        <v>1571</v>
      </c>
      <c r="T193" s="2" t="s">
        <v>292</v>
      </c>
      <c r="U193" s="2" t="s">
        <v>235</v>
      </c>
      <c r="V193" s="2" t="s">
        <v>438</v>
      </c>
      <c r="W193" s="2" t="s">
        <v>439</v>
      </c>
      <c r="X193" s="2" t="s">
        <v>210</v>
      </c>
      <c r="Y193" s="2" t="s">
        <v>1583</v>
      </c>
      <c r="Z193" s="4">
        <v>145</v>
      </c>
      <c r="AA193" s="4">
        <f>=ROUNDDOWN(29,0)</f>
      </c>
      <c r="AB193" s="5">
        <v>5</v>
      </c>
      <c r="AC193" s="2" t="s">
        <v>206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206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206</v>
      </c>
      <c r="AW193" s="8" t="s">
        <v>206</v>
      </c>
      <c r="AX193" s="4" t="s">
        <v>206</v>
      </c>
      <c r="AY193" s="8" t="s">
        <v>206</v>
      </c>
      <c r="AZ193" s="7" t="s">
        <v>206</v>
      </c>
      <c r="BA193" s="7" t="s">
        <v>206</v>
      </c>
      <c r="BB193" s="7"/>
      <c r="BC193" s="4" t="s">
        <v>206</v>
      </c>
      <c r="BD193" s="8" t="s">
        <v>206</v>
      </c>
      <c r="BE193" s="4" t="s">
        <v>206</v>
      </c>
      <c r="BF193" s="8" t="s">
        <v>206</v>
      </c>
      <c r="BG193" s="7" t="s">
        <v>206</v>
      </c>
      <c r="BH193" s="7" t="s">
        <v>206</v>
      </c>
      <c r="BI193" s="7"/>
      <c r="BJ193" s="4">
        <v>15</v>
      </c>
      <c r="BK193" s="8">
        <v>648.92</v>
      </c>
      <c r="BL193" s="2" t="s">
        <v>1584</v>
      </c>
      <c r="BM193" s="7"/>
      <c r="BN193" s="7"/>
      <c r="BO193" s="4"/>
      <c r="BP193" s="8"/>
      <c r="BQ193" s="4"/>
      <c r="BR193" s="8"/>
      <c r="BS193" s="7"/>
      <c r="BT193" s="7"/>
      <c r="BU193" s="2" t="s">
        <v>1585</v>
      </c>
      <c r="BV193" s="2" t="s">
        <v>206</v>
      </c>
      <c r="BW193" s="2" t="s">
        <v>206</v>
      </c>
      <c r="BX193" s="2" t="s">
        <v>850</v>
      </c>
      <c r="BY193" s="2" t="s">
        <v>215</v>
      </c>
      <c r="BZ193" s="2" t="s">
        <v>203</v>
      </c>
      <c r="CA193" s="2" t="s">
        <v>1575</v>
      </c>
      <c r="CB193" s="2" t="s">
        <v>206</v>
      </c>
      <c r="CC193" s="2" t="s">
        <v>218</v>
      </c>
      <c r="CD193" s="2" t="s">
        <v>206</v>
      </c>
      <c r="CE193" s="4">
        <v>145</v>
      </c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</row>
    <row r="194">
      <c r="A194" s="2" t="s">
        <v>1586</v>
      </c>
      <c r="B194" s="2" t="s">
        <v>546</v>
      </c>
      <c r="C194" s="2" t="s">
        <v>1145</v>
      </c>
      <c r="D194" s="2" t="s">
        <v>548</v>
      </c>
      <c r="E194" s="2" t="s">
        <v>549</v>
      </c>
      <c r="F194" s="2" t="s">
        <v>1561</v>
      </c>
      <c r="G194" s="2" t="s">
        <v>1562</v>
      </c>
      <c r="H194" s="2" t="s">
        <v>1563</v>
      </c>
      <c r="I194" s="2" t="s">
        <v>1564</v>
      </c>
      <c r="J194" s="2" t="s">
        <v>821</v>
      </c>
      <c r="K194" s="2" t="s">
        <v>1587</v>
      </c>
      <c r="L194" s="3">
        <v>23.96</v>
      </c>
      <c r="M194" s="3">
        <v>25.16</v>
      </c>
      <c r="N194" s="3">
        <v>54.99</v>
      </c>
      <c r="O194" s="2" t="s">
        <v>203</v>
      </c>
      <c r="P194" s="2" t="s">
        <v>204</v>
      </c>
      <c r="Q194" s="2" t="s">
        <v>205</v>
      </c>
      <c r="R194" s="2" t="s">
        <v>206</v>
      </c>
      <c r="S194" s="2" t="s">
        <v>1588</v>
      </c>
      <c r="T194" s="2" t="s">
        <v>292</v>
      </c>
      <c r="U194" s="2" t="s">
        <v>556</v>
      </c>
      <c r="V194" s="2" t="s">
        <v>438</v>
      </c>
      <c r="W194" s="2" t="s">
        <v>439</v>
      </c>
      <c r="X194" s="2" t="s">
        <v>210</v>
      </c>
      <c r="Y194" s="2" t="s">
        <v>1589</v>
      </c>
      <c r="Z194" s="4">
        <v>238</v>
      </c>
      <c r="AA194" s="4">
        <f>=ROUNDDOWN(79.3333333333333,0)</f>
      </c>
      <c r="AB194" s="5">
        <v>3</v>
      </c>
      <c r="AC194" s="2" t="s">
        <v>206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206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206</v>
      </c>
      <c r="AW194" s="8" t="s">
        <v>206</v>
      </c>
      <c r="AX194" s="4" t="s">
        <v>206</v>
      </c>
      <c r="AY194" s="8" t="s">
        <v>206</v>
      </c>
      <c r="AZ194" s="7" t="s">
        <v>206</v>
      </c>
      <c r="BA194" s="7" t="s">
        <v>206</v>
      </c>
      <c r="BB194" s="7"/>
      <c r="BC194" s="4" t="s">
        <v>206</v>
      </c>
      <c r="BD194" s="8" t="s">
        <v>206</v>
      </c>
      <c r="BE194" s="4" t="s">
        <v>206</v>
      </c>
      <c r="BF194" s="8" t="s">
        <v>206</v>
      </c>
      <c r="BG194" s="7" t="s">
        <v>206</v>
      </c>
      <c r="BH194" s="7" t="s">
        <v>206</v>
      </c>
      <c r="BI194" s="7"/>
      <c r="BJ194" s="4">
        <v>9</v>
      </c>
      <c r="BK194" s="8">
        <v>238.65</v>
      </c>
      <c r="BL194" s="2" t="s">
        <v>1590</v>
      </c>
      <c r="BM194" s="7"/>
      <c r="BN194" s="7"/>
      <c r="BO194" s="4"/>
      <c r="BP194" s="8"/>
      <c r="BQ194" s="4"/>
      <c r="BR194" s="8"/>
      <c r="BS194" s="7"/>
      <c r="BT194" s="7"/>
      <c r="BU194" s="2" t="s">
        <v>1591</v>
      </c>
      <c r="BV194" s="2" t="s">
        <v>206</v>
      </c>
      <c r="BW194" s="2" t="s">
        <v>206</v>
      </c>
      <c r="BX194" s="2" t="s">
        <v>214</v>
      </c>
      <c r="BY194" s="2" t="s">
        <v>215</v>
      </c>
      <c r="BZ194" s="2" t="s">
        <v>203</v>
      </c>
      <c r="CA194" s="2" t="s">
        <v>1592</v>
      </c>
      <c r="CB194" s="2" t="s">
        <v>1593</v>
      </c>
      <c r="CC194" s="2" t="s">
        <v>218</v>
      </c>
      <c r="CD194" s="2" t="s">
        <v>206</v>
      </c>
      <c r="CE194" s="4">
        <v>192</v>
      </c>
      <c r="CF194" s="4"/>
      <c r="CG194" s="4"/>
      <c r="CH194" s="4">
        <v>46</v>
      </c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</row>
    <row r="195">
      <c r="A195" s="2" t="s">
        <v>1594</v>
      </c>
      <c r="B195" s="2" t="s">
        <v>546</v>
      </c>
      <c r="C195" s="2" t="s">
        <v>1145</v>
      </c>
      <c r="D195" s="2" t="s">
        <v>548</v>
      </c>
      <c r="E195" s="2" t="s">
        <v>549</v>
      </c>
      <c r="F195" s="2" t="s">
        <v>1561</v>
      </c>
      <c r="G195" s="2" t="s">
        <v>1562</v>
      </c>
      <c r="H195" s="2" t="s">
        <v>1563</v>
      </c>
      <c r="I195" s="2" t="s">
        <v>1564</v>
      </c>
      <c r="J195" s="2" t="s">
        <v>582</v>
      </c>
      <c r="K195" s="2" t="s">
        <v>1587</v>
      </c>
      <c r="L195" s="3">
        <v>31.5</v>
      </c>
      <c r="M195" s="3">
        <v>33.08</v>
      </c>
      <c r="N195" s="3">
        <v>74.99</v>
      </c>
      <c r="O195" s="2" t="s">
        <v>203</v>
      </c>
      <c r="P195" s="2" t="s">
        <v>204</v>
      </c>
      <c r="Q195" s="2" t="s">
        <v>205</v>
      </c>
      <c r="R195" s="2" t="s">
        <v>206</v>
      </c>
      <c r="S195" s="2" t="s">
        <v>1588</v>
      </c>
      <c r="T195" s="2" t="s">
        <v>292</v>
      </c>
      <c r="U195" s="2" t="s">
        <v>235</v>
      </c>
      <c r="V195" s="2" t="s">
        <v>438</v>
      </c>
      <c r="W195" s="2" t="s">
        <v>439</v>
      </c>
      <c r="X195" s="2" t="s">
        <v>210</v>
      </c>
      <c r="Y195" s="2" t="s">
        <v>1589</v>
      </c>
      <c r="Z195" s="4">
        <v>218</v>
      </c>
      <c r="AA195" s="4">
        <f>=ROUNDDOWN(72.6666666666667,0)</f>
      </c>
      <c r="AB195" s="5">
        <v>3</v>
      </c>
      <c r="AC195" s="2" t="s">
        <v>206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206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206</v>
      </c>
      <c r="AW195" s="8" t="s">
        <v>206</v>
      </c>
      <c r="AX195" s="4" t="s">
        <v>206</v>
      </c>
      <c r="AY195" s="8" t="s">
        <v>206</v>
      </c>
      <c r="AZ195" s="7" t="s">
        <v>206</v>
      </c>
      <c r="BA195" s="7" t="s">
        <v>206</v>
      </c>
      <c r="BB195" s="7"/>
      <c r="BC195" s="4" t="s">
        <v>206</v>
      </c>
      <c r="BD195" s="8" t="s">
        <v>206</v>
      </c>
      <c r="BE195" s="4" t="s">
        <v>206</v>
      </c>
      <c r="BF195" s="8" t="s">
        <v>206</v>
      </c>
      <c r="BG195" s="7" t="s">
        <v>206</v>
      </c>
      <c r="BH195" s="7" t="s">
        <v>206</v>
      </c>
      <c r="BI195" s="7"/>
      <c r="BJ195" s="4">
        <v>10</v>
      </c>
      <c r="BK195" s="8">
        <v>356.88</v>
      </c>
      <c r="BL195" s="2" t="s">
        <v>1421</v>
      </c>
      <c r="BM195" s="7"/>
      <c r="BN195" s="7"/>
      <c r="BO195" s="4"/>
      <c r="BP195" s="8"/>
      <c r="BQ195" s="4"/>
      <c r="BR195" s="8"/>
      <c r="BS195" s="7"/>
      <c r="BT195" s="7"/>
      <c r="BU195" s="2" t="s">
        <v>1595</v>
      </c>
      <c r="BV195" s="2" t="s">
        <v>206</v>
      </c>
      <c r="BW195" s="2" t="s">
        <v>206</v>
      </c>
      <c r="BX195" s="2" t="s">
        <v>214</v>
      </c>
      <c r="BY195" s="2" t="s">
        <v>215</v>
      </c>
      <c r="BZ195" s="2" t="s">
        <v>203</v>
      </c>
      <c r="CA195" s="2" t="s">
        <v>1592</v>
      </c>
      <c r="CB195" s="2" t="s">
        <v>1568</v>
      </c>
      <c r="CC195" s="2" t="s">
        <v>218</v>
      </c>
      <c r="CD195" s="2" t="s">
        <v>206</v>
      </c>
      <c r="CE195" s="4">
        <v>175</v>
      </c>
      <c r="CF195" s="4"/>
      <c r="CG195" s="4"/>
      <c r="CH195" s="4">
        <v>43</v>
      </c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</row>
    <row r="196">
      <c r="A196" s="2" t="s">
        <v>1596</v>
      </c>
      <c r="B196" s="2" t="s">
        <v>613</v>
      </c>
      <c r="C196" s="2" t="s">
        <v>1044</v>
      </c>
      <c r="D196" s="2" t="s">
        <v>628</v>
      </c>
      <c r="E196" s="2" t="s">
        <v>629</v>
      </c>
      <c r="F196" s="2" t="s">
        <v>1597</v>
      </c>
      <c r="G196" s="2" t="s">
        <v>1598</v>
      </c>
      <c r="H196" s="2" t="s">
        <v>1599</v>
      </c>
      <c r="I196" s="2" t="s">
        <v>1600</v>
      </c>
      <c r="J196" s="2" t="s">
        <v>631</v>
      </c>
      <c r="K196" s="2" t="s">
        <v>1601</v>
      </c>
      <c r="L196" s="3">
        <v>22.5</v>
      </c>
      <c r="M196" s="3">
        <v>23.62</v>
      </c>
      <c r="N196" s="3">
        <v>49.99</v>
      </c>
      <c r="O196" s="2" t="s">
        <v>203</v>
      </c>
      <c r="P196" s="2" t="s">
        <v>204</v>
      </c>
      <c r="Q196" s="2" t="s">
        <v>205</v>
      </c>
      <c r="R196" s="2" t="s">
        <v>206</v>
      </c>
      <c r="S196" s="2" t="s">
        <v>1602</v>
      </c>
      <c r="T196" s="2" t="s">
        <v>206</v>
      </c>
      <c r="U196" s="2" t="s">
        <v>437</v>
      </c>
      <c r="V196" s="2" t="s">
        <v>438</v>
      </c>
      <c r="W196" s="2" t="s">
        <v>914</v>
      </c>
      <c r="X196" s="2" t="s">
        <v>1051</v>
      </c>
      <c r="Y196" s="2" t="s">
        <v>1603</v>
      </c>
      <c r="Z196" s="4">
        <v>271</v>
      </c>
      <c r="AA196" s="4">
        <f>=ROUNDDOWN(30.1111111111111,0)</f>
      </c>
      <c r="AB196" s="5">
        <v>9</v>
      </c>
      <c r="AC196" s="2" t="s">
        <v>206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206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 t="s">
        <v>206</v>
      </c>
      <c r="AW196" s="8" t="s">
        <v>206</v>
      </c>
      <c r="AX196" s="4" t="s">
        <v>206</v>
      </c>
      <c r="AY196" s="8" t="s">
        <v>206</v>
      </c>
      <c r="AZ196" s="7" t="s">
        <v>206</v>
      </c>
      <c r="BA196" s="7" t="s">
        <v>206</v>
      </c>
      <c r="BB196" s="7"/>
      <c r="BC196" s="4" t="s">
        <v>206</v>
      </c>
      <c r="BD196" s="8" t="s">
        <v>206</v>
      </c>
      <c r="BE196" s="4" t="s">
        <v>206</v>
      </c>
      <c r="BF196" s="8" t="s">
        <v>206</v>
      </c>
      <c r="BG196" s="7" t="s">
        <v>206</v>
      </c>
      <c r="BH196" s="7" t="s">
        <v>206</v>
      </c>
      <c r="BI196" s="7"/>
      <c r="BJ196" s="4">
        <v>50</v>
      </c>
      <c r="BK196" s="8">
        <v>1560.57</v>
      </c>
      <c r="BL196" s="2" t="s">
        <v>1604</v>
      </c>
      <c r="BM196" s="7"/>
      <c r="BN196" s="7"/>
      <c r="BO196" s="4"/>
      <c r="BP196" s="8"/>
      <c r="BQ196" s="4"/>
      <c r="BR196" s="8"/>
      <c r="BS196" s="7"/>
      <c r="BT196" s="7"/>
      <c r="BU196" s="2" t="s">
        <v>1605</v>
      </c>
      <c r="BV196" s="2" t="s">
        <v>206</v>
      </c>
      <c r="BW196" s="2" t="s">
        <v>206</v>
      </c>
      <c r="BX196" s="2" t="s">
        <v>426</v>
      </c>
      <c r="BY196" s="2" t="s">
        <v>215</v>
      </c>
      <c r="BZ196" s="2" t="s">
        <v>203</v>
      </c>
      <c r="CA196" s="2" t="s">
        <v>1603</v>
      </c>
      <c r="CB196" s="2" t="s">
        <v>1606</v>
      </c>
      <c r="CC196" s="2" t="s">
        <v>218</v>
      </c>
      <c r="CD196" s="2" t="s">
        <v>206</v>
      </c>
      <c r="CE196" s="4">
        <v>271</v>
      </c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</row>
    <row r="197">
      <c r="A197" s="2" t="s">
        <v>1607</v>
      </c>
      <c r="B197" s="2" t="s">
        <v>613</v>
      </c>
      <c r="C197" s="2" t="s">
        <v>1044</v>
      </c>
      <c r="D197" s="2" t="s">
        <v>628</v>
      </c>
      <c r="E197" s="2" t="s">
        <v>629</v>
      </c>
      <c r="F197" s="2" t="s">
        <v>1597</v>
      </c>
      <c r="G197" s="2" t="s">
        <v>1598</v>
      </c>
      <c r="H197" s="2" t="s">
        <v>1599</v>
      </c>
      <c r="I197" s="2" t="s">
        <v>1600</v>
      </c>
      <c r="J197" s="2" t="s">
        <v>853</v>
      </c>
      <c r="K197" s="2" t="s">
        <v>1601</v>
      </c>
      <c r="L197" s="3">
        <v>27</v>
      </c>
      <c r="M197" s="3">
        <v>28.35</v>
      </c>
      <c r="N197" s="3">
        <v>59.99</v>
      </c>
      <c r="O197" s="2" t="s">
        <v>203</v>
      </c>
      <c r="P197" s="2" t="s">
        <v>204</v>
      </c>
      <c r="Q197" s="2" t="s">
        <v>205</v>
      </c>
      <c r="R197" s="2" t="s">
        <v>206</v>
      </c>
      <c r="S197" s="2" t="s">
        <v>1602</v>
      </c>
      <c r="T197" s="2" t="s">
        <v>206</v>
      </c>
      <c r="U197" s="2" t="s">
        <v>437</v>
      </c>
      <c r="V197" s="2" t="s">
        <v>438</v>
      </c>
      <c r="W197" s="2" t="s">
        <v>914</v>
      </c>
      <c r="X197" s="2" t="s">
        <v>1051</v>
      </c>
      <c r="Y197" s="2" t="s">
        <v>1603</v>
      </c>
      <c r="Z197" s="4">
        <v>250</v>
      </c>
      <c r="AA197" s="4">
        <f>=ROUNDDOWN(31.25,0)</f>
      </c>
      <c r="AB197" s="5">
        <v>8</v>
      </c>
      <c r="AC197" s="2" t="s">
        <v>206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206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206</v>
      </c>
      <c r="AW197" s="8" t="s">
        <v>206</v>
      </c>
      <c r="AX197" s="4" t="s">
        <v>206</v>
      </c>
      <c r="AY197" s="8" t="s">
        <v>206</v>
      </c>
      <c r="AZ197" s="7" t="s">
        <v>206</v>
      </c>
      <c r="BA197" s="7" t="s">
        <v>206</v>
      </c>
      <c r="BB197" s="7"/>
      <c r="BC197" s="4" t="s">
        <v>206</v>
      </c>
      <c r="BD197" s="8" t="s">
        <v>206</v>
      </c>
      <c r="BE197" s="4" t="s">
        <v>206</v>
      </c>
      <c r="BF197" s="8" t="s">
        <v>206</v>
      </c>
      <c r="BG197" s="7" t="s">
        <v>206</v>
      </c>
      <c r="BH197" s="7" t="s">
        <v>206</v>
      </c>
      <c r="BI197" s="7"/>
      <c r="BJ197" s="4">
        <v>37</v>
      </c>
      <c r="BK197" s="8">
        <v>1082.36</v>
      </c>
      <c r="BL197" s="2" t="s">
        <v>1608</v>
      </c>
      <c r="BM197" s="7"/>
      <c r="BN197" s="7"/>
      <c r="BO197" s="4"/>
      <c r="BP197" s="8"/>
      <c r="BQ197" s="4"/>
      <c r="BR197" s="8"/>
      <c r="BS197" s="7"/>
      <c r="BT197" s="7"/>
      <c r="BU197" s="2" t="s">
        <v>1609</v>
      </c>
      <c r="BV197" s="2" t="s">
        <v>206</v>
      </c>
      <c r="BW197" s="2" t="s">
        <v>206</v>
      </c>
      <c r="BX197" s="2" t="s">
        <v>426</v>
      </c>
      <c r="BY197" s="2" t="s">
        <v>215</v>
      </c>
      <c r="BZ197" s="2" t="s">
        <v>203</v>
      </c>
      <c r="CA197" s="2" t="s">
        <v>1603</v>
      </c>
      <c r="CB197" s="2" t="s">
        <v>1610</v>
      </c>
      <c r="CC197" s="2" t="s">
        <v>218</v>
      </c>
      <c r="CD197" s="2" t="s">
        <v>206</v>
      </c>
      <c r="CE197" s="4">
        <v>250</v>
      </c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</row>
    <row r="198">
      <c r="A198" s="2" t="s">
        <v>1611</v>
      </c>
      <c r="B198" s="2" t="s">
        <v>528</v>
      </c>
      <c r="C198" s="2" t="s">
        <v>287</v>
      </c>
      <c r="D198" s="2" t="s">
        <v>1612</v>
      </c>
      <c r="E198" s="2" t="s">
        <v>1613</v>
      </c>
      <c r="F198" s="2" t="s">
        <v>1614</v>
      </c>
      <c r="G198" s="2" t="s">
        <v>1615</v>
      </c>
      <c r="H198" s="2" t="s">
        <v>1616</v>
      </c>
      <c r="I198" s="2" t="s">
        <v>1617</v>
      </c>
      <c r="J198" s="2" t="s">
        <v>582</v>
      </c>
      <c r="K198" s="2" t="s">
        <v>202</v>
      </c>
      <c r="L198" s="3">
        <v>57.6</v>
      </c>
      <c r="M198" s="3">
        <v>60.47</v>
      </c>
      <c r="N198" s="3">
        <v>119.99</v>
      </c>
      <c r="O198" s="2" t="s">
        <v>203</v>
      </c>
      <c r="P198" s="2" t="s">
        <v>492</v>
      </c>
      <c r="Q198" s="2" t="s">
        <v>205</v>
      </c>
      <c r="R198" s="2" t="s">
        <v>206</v>
      </c>
      <c r="S198" s="2" t="s">
        <v>1618</v>
      </c>
      <c r="T198" s="2" t="s">
        <v>206</v>
      </c>
      <c r="U198" s="2" t="s">
        <v>235</v>
      </c>
      <c r="V198" s="2" t="s">
        <v>209</v>
      </c>
      <c r="W198" s="2" t="s">
        <v>1322</v>
      </c>
      <c r="X198" s="2" t="s">
        <v>1619</v>
      </c>
      <c r="Y198" s="2" t="s">
        <v>211</v>
      </c>
      <c r="Z198" s="4">
        <v>373</v>
      </c>
      <c r="AA198" s="4">
        <f>=ROUNDDOWN(31.0833333333333,0)</f>
      </c>
      <c r="AB198" s="5">
        <v>12</v>
      </c>
      <c r="AC198" s="2" t="s">
        <v>1620</v>
      </c>
      <c r="AD198" s="4">
        <v>540</v>
      </c>
      <c r="AE198" s="4">
        <v>870</v>
      </c>
      <c r="AF198" s="6">
        <v>65</v>
      </c>
      <c r="AG198" s="6">
        <v>48</v>
      </c>
      <c r="AH198" s="7">
        <v>1</v>
      </c>
      <c r="AI198" s="4"/>
      <c r="AJ198" s="4">
        <f>=ROUNDDOWN({0},0)</f>
      </c>
      <c r="AK198" s="5"/>
      <c r="AL198" s="2" t="s">
        <v>206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43</v>
      </c>
      <c r="BK198" s="8">
        <v>2704.61</v>
      </c>
      <c r="BL198" s="2" t="s">
        <v>1621</v>
      </c>
      <c r="BM198" s="7"/>
      <c r="BN198" s="7"/>
      <c r="BO198" s="4"/>
      <c r="BP198" s="8"/>
      <c r="BQ198" s="4"/>
      <c r="BR198" s="8"/>
      <c r="BS198" s="7"/>
      <c r="BT198" s="7"/>
      <c r="BU198" s="2" t="s">
        <v>1622</v>
      </c>
      <c r="BV198" s="2" t="s">
        <v>206</v>
      </c>
      <c r="BW198" s="2" t="s">
        <v>206</v>
      </c>
      <c r="BX198" s="2" t="s">
        <v>214</v>
      </c>
      <c r="BY198" s="2" t="s">
        <v>215</v>
      </c>
      <c r="BZ198" s="2" t="s">
        <v>203</v>
      </c>
      <c r="CA198" s="2" t="s">
        <v>216</v>
      </c>
      <c r="CB198" s="2" t="s">
        <v>1623</v>
      </c>
      <c r="CC198" s="2" t="s">
        <v>218</v>
      </c>
      <c r="CD198" s="2" t="s">
        <v>206</v>
      </c>
      <c r="CE198" s="4">
        <v>280</v>
      </c>
      <c r="CF198" s="4"/>
      <c r="CG198" s="4"/>
      <c r="CH198" s="4">
        <v>93</v>
      </c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>
        <v>540</v>
      </c>
      <c r="CY198" s="4"/>
      <c r="CZ198" s="4"/>
      <c r="DA198" s="4"/>
      <c r="DB198" s="4">
        <v>280</v>
      </c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>
        <v>50</v>
      </c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</row>
    <row r="199">
      <c r="A199" s="2" t="s">
        <v>1624</v>
      </c>
      <c r="B199" s="2" t="s">
        <v>429</v>
      </c>
      <c r="C199" s="2" t="s">
        <v>462</v>
      </c>
      <c r="D199" s="2" t="s">
        <v>909</v>
      </c>
      <c r="E199" s="2" t="s">
        <v>910</v>
      </c>
      <c r="F199" s="2" t="s">
        <v>1625</v>
      </c>
      <c r="G199" s="2" t="s">
        <v>1625</v>
      </c>
      <c r="H199" s="2" t="s">
        <v>1625</v>
      </c>
      <c r="I199" s="2" t="s">
        <v>1626</v>
      </c>
      <c r="J199" s="2" t="s">
        <v>434</v>
      </c>
      <c r="K199" s="2" t="s">
        <v>605</v>
      </c>
      <c r="L199" s="3">
        <v>40.03</v>
      </c>
      <c r="M199" s="3">
        <v>42.03</v>
      </c>
      <c r="N199" s="3">
        <v>87.54</v>
      </c>
      <c r="O199" s="2" t="s">
        <v>203</v>
      </c>
      <c r="P199" s="2" t="s">
        <v>204</v>
      </c>
      <c r="Q199" s="2" t="s">
        <v>205</v>
      </c>
      <c r="R199" s="2" t="s">
        <v>206</v>
      </c>
      <c r="S199" s="2" t="s">
        <v>1627</v>
      </c>
      <c r="T199" s="2" t="s">
        <v>206</v>
      </c>
      <c r="U199" s="2" t="s">
        <v>437</v>
      </c>
      <c r="V199" s="2" t="s">
        <v>438</v>
      </c>
      <c r="W199" s="2" t="s">
        <v>439</v>
      </c>
      <c r="X199" s="2" t="s">
        <v>206</v>
      </c>
      <c r="Y199" s="2" t="s">
        <v>493</v>
      </c>
      <c r="Z199" s="4">
        <v>111</v>
      </c>
      <c r="AA199" s="4">
        <f>=ROUNDDOWN(27.75,0)</f>
      </c>
      <c r="AB199" s="5">
        <v>4</v>
      </c>
      <c r="AC199" s="2" t="s">
        <v>206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206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8</v>
      </c>
      <c r="BK199" s="8">
        <v>389.47</v>
      </c>
      <c r="BL199" s="2" t="s">
        <v>1628</v>
      </c>
      <c r="BM199" s="7"/>
      <c r="BN199" s="7"/>
      <c r="BO199" s="4"/>
      <c r="BP199" s="8"/>
      <c r="BQ199" s="4"/>
      <c r="BR199" s="8"/>
      <c r="BS199" s="7"/>
      <c r="BT199" s="7"/>
      <c r="BU199" s="2" t="s">
        <v>1629</v>
      </c>
      <c r="BV199" s="2" t="s">
        <v>206</v>
      </c>
      <c r="BW199" s="2" t="s">
        <v>206</v>
      </c>
      <c r="BX199" s="2" t="s">
        <v>214</v>
      </c>
      <c r="BY199" s="2" t="s">
        <v>215</v>
      </c>
      <c r="BZ199" s="2" t="s">
        <v>203</v>
      </c>
      <c r="CA199" s="2" t="s">
        <v>1630</v>
      </c>
      <c r="CB199" s="2" t="s">
        <v>1631</v>
      </c>
      <c r="CC199" s="2" t="s">
        <v>218</v>
      </c>
      <c r="CD199" s="2" t="s">
        <v>206</v>
      </c>
      <c r="CE199" s="4"/>
      <c r="CF199" s="4">
        <v>111</v>
      </c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</row>
    <row r="200">
      <c r="A200" s="2" t="s">
        <v>1632</v>
      </c>
      <c r="B200" s="2" t="s">
        <v>613</v>
      </c>
      <c r="C200" s="2" t="s">
        <v>287</v>
      </c>
      <c r="D200" s="2" t="s">
        <v>628</v>
      </c>
      <c r="E200" s="2" t="s">
        <v>1633</v>
      </c>
      <c r="F200" s="2" t="s">
        <v>1634</v>
      </c>
      <c r="G200" s="2" t="s">
        <v>1635</v>
      </c>
      <c r="H200" s="2" t="s">
        <v>1636</v>
      </c>
      <c r="I200" s="2" t="s">
        <v>1637</v>
      </c>
      <c r="J200" s="2" t="s">
        <v>1638</v>
      </c>
      <c r="K200" s="2" t="s">
        <v>353</v>
      </c>
      <c r="L200" s="3">
        <v>13.23</v>
      </c>
      <c r="M200" s="3">
        <v>13.89</v>
      </c>
      <c r="N200" s="3">
        <v>26.99</v>
      </c>
      <c r="O200" s="2" t="s">
        <v>203</v>
      </c>
      <c r="P200" s="2" t="s">
        <v>204</v>
      </c>
      <c r="Q200" s="2" t="s">
        <v>205</v>
      </c>
      <c r="R200" s="2" t="s">
        <v>206</v>
      </c>
      <c r="S200" s="2" t="s">
        <v>1639</v>
      </c>
      <c r="T200" s="2" t="s">
        <v>292</v>
      </c>
      <c r="U200" s="2" t="s">
        <v>437</v>
      </c>
      <c r="V200" s="2" t="s">
        <v>209</v>
      </c>
      <c r="W200" s="2" t="s">
        <v>539</v>
      </c>
      <c r="X200" s="2" t="s">
        <v>929</v>
      </c>
      <c r="Y200" s="2" t="s">
        <v>1640</v>
      </c>
      <c r="Z200" s="4">
        <v>222</v>
      </c>
      <c r="AA200" s="4">
        <f>=ROUNDDOWN(27.75,0)</f>
      </c>
      <c r="AB200" s="5">
        <v>8</v>
      </c>
      <c r="AC200" s="2" t="s">
        <v>119</v>
      </c>
      <c r="AD200" s="4">
        <v>80</v>
      </c>
      <c r="AE200" s="4">
        <v>176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206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 t="s">
        <v>206</v>
      </c>
      <c r="BD200" s="8" t="s">
        <v>206</v>
      </c>
      <c r="BE200" s="4" t="s">
        <v>206</v>
      </c>
      <c r="BF200" s="8" t="s">
        <v>206</v>
      </c>
      <c r="BG200" s="7" t="s">
        <v>206</v>
      </c>
      <c r="BH200" s="7" t="s">
        <v>206</v>
      </c>
      <c r="BI200" s="7"/>
      <c r="BJ200" s="4">
        <v>47</v>
      </c>
      <c r="BK200" s="8">
        <v>640.03</v>
      </c>
      <c r="BL200" s="2" t="s">
        <v>1641</v>
      </c>
      <c r="BM200" s="7"/>
      <c r="BN200" s="7"/>
      <c r="BO200" s="4"/>
      <c r="BP200" s="8"/>
      <c r="BQ200" s="4"/>
      <c r="BR200" s="8"/>
      <c r="BS200" s="7"/>
      <c r="BT200" s="7"/>
      <c r="BU200" s="2" t="s">
        <v>1642</v>
      </c>
      <c r="BV200" s="2" t="s">
        <v>206</v>
      </c>
      <c r="BW200" s="2" t="s">
        <v>206</v>
      </c>
      <c r="BX200" s="2" t="s">
        <v>214</v>
      </c>
      <c r="BY200" s="2" t="s">
        <v>215</v>
      </c>
      <c r="BZ200" s="2" t="s">
        <v>203</v>
      </c>
      <c r="CA200" s="2" t="s">
        <v>1643</v>
      </c>
      <c r="CB200" s="2" t="s">
        <v>1644</v>
      </c>
      <c r="CC200" s="2" t="s">
        <v>218</v>
      </c>
      <c r="CD200" s="2" t="s">
        <v>206</v>
      </c>
      <c r="CE200" s="4">
        <v>221</v>
      </c>
      <c r="CF200" s="4">
        <v>1</v>
      </c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>
        <v>80</v>
      </c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>
        <v>96</v>
      </c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</row>
    <row r="201">
      <c r="A201" s="2" t="s">
        <v>1645</v>
      </c>
      <c r="B201" s="2" t="s">
        <v>613</v>
      </c>
      <c r="C201" s="2" t="s">
        <v>287</v>
      </c>
      <c r="D201" s="2" t="s">
        <v>628</v>
      </c>
      <c r="E201" s="2" t="s">
        <v>1633</v>
      </c>
      <c r="F201" s="2" t="s">
        <v>1634</v>
      </c>
      <c r="G201" s="2" t="s">
        <v>1635</v>
      </c>
      <c r="H201" s="2" t="s">
        <v>1636</v>
      </c>
      <c r="I201" s="2" t="s">
        <v>1646</v>
      </c>
      <c r="J201" s="2" t="s">
        <v>1647</v>
      </c>
      <c r="K201" s="2" t="s">
        <v>1508</v>
      </c>
      <c r="L201" s="3">
        <v>14.7</v>
      </c>
      <c r="M201" s="3">
        <v>15.44</v>
      </c>
      <c r="N201" s="3">
        <v>29.99</v>
      </c>
      <c r="O201" s="2" t="s">
        <v>203</v>
      </c>
      <c r="P201" s="2" t="s">
        <v>204</v>
      </c>
      <c r="Q201" s="2" t="s">
        <v>205</v>
      </c>
      <c r="R201" s="2" t="s">
        <v>206</v>
      </c>
      <c r="S201" s="2" t="s">
        <v>1648</v>
      </c>
      <c r="T201" s="2" t="s">
        <v>206</v>
      </c>
      <c r="U201" s="2" t="s">
        <v>900</v>
      </c>
      <c r="V201" s="2" t="s">
        <v>209</v>
      </c>
      <c r="W201" s="2" t="s">
        <v>539</v>
      </c>
      <c r="X201" s="2" t="s">
        <v>929</v>
      </c>
      <c r="Y201" s="2" t="s">
        <v>1649</v>
      </c>
      <c r="Z201" s="4">
        <v>670</v>
      </c>
      <c r="AA201" s="4">
        <f>=ROUNDDOWN(60.9090909090909,0)</f>
      </c>
      <c r="AB201" s="5">
        <v>11</v>
      </c>
      <c r="AC201" s="2" t="s">
        <v>206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206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 t="s">
        <v>206</v>
      </c>
      <c r="BD201" s="8" t="s">
        <v>206</v>
      </c>
      <c r="BE201" s="4" t="s">
        <v>206</v>
      </c>
      <c r="BF201" s="8" t="s">
        <v>206</v>
      </c>
      <c r="BG201" s="7" t="s">
        <v>206</v>
      </c>
      <c r="BH201" s="7" t="s">
        <v>206</v>
      </c>
      <c r="BI201" s="7"/>
      <c r="BJ201" s="4">
        <v>37</v>
      </c>
      <c r="BK201" s="8">
        <v>637.99</v>
      </c>
      <c r="BL201" s="2" t="s">
        <v>1650</v>
      </c>
      <c r="BM201" s="7"/>
      <c r="BN201" s="7"/>
      <c r="BO201" s="4"/>
      <c r="BP201" s="8"/>
      <c r="BQ201" s="4"/>
      <c r="BR201" s="8"/>
      <c r="BS201" s="7"/>
      <c r="BT201" s="7"/>
      <c r="BU201" s="2" t="s">
        <v>1651</v>
      </c>
      <c r="BV201" s="2" t="s">
        <v>206</v>
      </c>
      <c r="BW201" s="2" t="s">
        <v>206</v>
      </c>
      <c r="BX201" s="2" t="s">
        <v>214</v>
      </c>
      <c r="BY201" s="2" t="s">
        <v>215</v>
      </c>
      <c r="BZ201" s="2" t="s">
        <v>203</v>
      </c>
      <c r="CA201" s="2" t="s">
        <v>1649</v>
      </c>
      <c r="CB201" s="2" t="s">
        <v>1062</v>
      </c>
      <c r="CC201" s="2" t="s">
        <v>218</v>
      </c>
      <c r="CD201" s="2" t="s">
        <v>206</v>
      </c>
      <c r="CE201" s="4">
        <v>670</v>
      </c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</row>
    <row r="202">
      <c r="A202" s="2" t="s">
        <v>1652</v>
      </c>
      <c r="B202" s="2" t="s">
        <v>800</v>
      </c>
      <c r="C202" s="2" t="s">
        <v>287</v>
      </c>
      <c r="D202" s="2" t="s">
        <v>801</v>
      </c>
      <c r="E202" s="2" t="s">
        <v>1262</v>
      </c>
      <c r="F202" s="2" t="s">
        <v>1653</v>
      </c>
      <c r="G202" s="2" t="s">
        <v>1654</v>
      </c>
      <c r="H202" s="2" t="s">
        <v>1654</v>
      </c>
      <c r="I202" s="2" t="s">
        <v>1655</v>
      </c>
      <c r="J202" s="2" t="s">
        <v>806</v>
      </c>
      <c r="K202" s="2" t="s">
        <v>336</v>
      </c>
      <c r="L202" s="3">
        <v>17.86</v>
      </c>
      <c r="M202" s="3">
        <v>18.75</v>
      </c>
      <c r="N202" s="3">
        <v>39.99</v>
      </c>
      <c r="O202" s="2" t="s">
        <v>203</v>
      </c>
      <c r="P202" s="2" t="s">
        <v>204</v>
      </c>
      <c r="Q202" s="2" t="s">
        <v>205</v>
      </c>
      <c r="R202" s="2" t="s">
        <v>206</v>
      </c>
      <c r="S202" s="2" t="s">
        <v>1656</v>
      </c>
      <c r="T202" s="2" t="s">
        <v>206</v>
      </c>
      <c r="U202" s="2" t="s">
        <v>437</v>
      </c>
      <c r="V202" s="2" t="s">
        <v>438</v>
      </c>
      <c r="W202" s="2" t="s">
        <v>1657</v>
      </c>
      <c r="X202" s="2" t="s">
        <v>206</v>
      </c>
      <c r="Y202" s="2" t="s">
        <v>1631</v>
      </c>
      <c r="Z202" s="4">
        <v>672</v>
      </c>
      <c r="AA202" s="4">
        <f>=ROUNDDOWN(74.6666666666667,0)</f>
      </c>
      <c r="AB202" s="5">
        <v>9</v>
      </c>
      <c r="AC202" s="2" t="s">
        <v>206</v>
      </c>
      <c r="AD202" s="4"/>
      <c r="AE202" s="4"/>
      <c r="AF202" s="6">
        <v>69</v>
      </c>
      <c r="AG202" s="6"/>
      <c r="AH202" s="7">
        <v>1</v>
      </c>
      <c r="AI202" s="4"/>
      <c r="AJ202" s="4">
        <f>=ROUNDDOWN({0},0)</f>
      </c>
      <c r="AK202" s="5"/>
      <c r="AL202" s="2" t="s">
        <v>206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25</v>
      </c>
      <c r="BK202" s="8">
        <v>495.52</v>
      </c>
      <c r="BL202" s="2" t="s">
        <v>1658</v>
      </c>
      <c r="BM202" s="7"/>
      <c r="BN202" s="7"/>
      <c r="BO202" s="4"/>
      <c r="BP202" s="8"/>
      <c r="BQ202" s="4"/>
      <c r="BR202" s="8"/>
      <c r="BS202" s="7"/>
      <c r="BT202" s="7"/>
      <c r="BU202" s="2" t="s">
        <v>1659</v>
      </c>
      <c r="BV202" s="2" t="s">
        <v>206</v>
      </c>
      <c r="BW202" s="2" t="s">
        <v>206</v>
      </c>
      <c r="BX202" s="2" t="s">
        <v>214</v>
      </c>
      <c r="BY202" s="2" t="s">
        <v>215</v>
      </c>
      <c r="BZ202" s="2" t="s">
        <v>203</v>
      </c>
      <c r="CA202" s="2" t="s">
        <v>1660</v>
      </c>
      <c r="CB202" s="2" t="s">
        <v>1661</v>
      </c>
      <c r="CC202" s="2" t="s">
        <v>218</v>
      </c>
      <c r="CD202" s="2" t="s">
        <v>206</v>
      </c>
      <c r="CE202" s="4">
        <v>672</v>
      </c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</row>
    <row r="203">
      <c r="A203" s="2" t="s">
        <v>1662</v>
      </c>
      <c r="B203" s="2" t="s">
        <v>546</v>
      </c>
      <c r="C203" s="2" t="s">
        <v>1145</v>
      </c>
      <c r="D203" s="2" t="s">
        <v>529</v>
      </c>
      <c r="E203" s="2" t="s">
        <v>816</v>
      </c>
      <c r="F203" s="2" t="s">
        <v>1663</v>
      </c>
      <c r="G203" s="2" t="s">
        <v>1664</v>
      </c>
      <c r="H203" s="2" t="s">
        <v>1665</v>
      </c>
      <c r="I203" s="2" t="s">
        <v>1666</v>
      </c>
      <c r="J203" s="2" t="s">
        <v>821</v>
      </c>
      <c r="K203" s="2" t="s">
        <v>262</v>
      </c>
      <c r="L203" s="3">
        <v>23.8</v>
      </c>
      <c r="M203" s="3">
        <v>24.99</v>
      </c>
      <c r="N203" s="3">
        <v>49.99</v>
      </c>
      <c r="O203" s="2" t="s">
        <v>203</v>
      </c>
      <c r="P203" s="2" t="s">
        <v>204</v>
      </c>
      <c r="Q203" s="2" t="s">
        <v>205</v>
      </c>
      <c r="R203" s="2" t="s">
        <v>206</v>
      </c>
      <c r="S203" s="2" t="s">
        <v>1667</v>
      </c>
      <c r="T203" s="2" t="s">
        <v>292</v>
      </c>
      <c r="U203" s="2" t="s">
        <v>235</v>
      </c>
      <c r="V203" s="2" t="s">
        <v>1127</v>
      </c>
      <c r="W203" s="2" t="s">
        <v>786</v>
      </c>
      <c r="X203" s="2" t="s">
        <v>206</v>
      </c>
      <c r="Y203" s="2" t="s">
        <v>1314</v>
      </c>
      <c r="Z203" s="4"/>
      <c r="AA203" s="4">
        <f>=ROUNDDOWN({0},0)</f>
      </c>
      <c r="AB203" s="5">
        <v>11</v>
      </c>
      <c r="AC203" s="2" t="s">
        <v>119</v>
      </c>
      <c r="AD203" s="4">
        <v>280</v>
      </c>
      <c r="AE203" s="4">
        <v>280</v>
      </c>
      <c r="AF203" s="6">
        <v>64</v>
      </c>
      <c r="AG203" s="6"/>
      <c r="AH203" s="7">
        <v>0</v>
      </c>
      <c r="AI203" s="4"/>
      <c r="AJ203" s="4">
        <f>=ROUNDDOWN({0},0)</f>
      </c>
      <c r="AK203" s="5"/>
      <c r="AL203" s="2" t="s">
        <v>206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206</v>
      </c>
      <c r="AW203" s="8" t="s">
        <v>206</v>
      </c>
      <c r="AX203" s="4" t="s">
        <v>206</v>
      </c>
      <c r="AY203" s="8" t="s">
        <v>206</v>
      </c>
      <c r="AZ203" s="7" t="s">
        <v>206</v>
      </c>
      <c r="BA203" s="7" t="s">
        <v>206</v>
      </c>
      <c r="BB203" s="7" t="s">
        <v>206</v>
      </c>
      <c r="BC203" s="4" t="s">
        <v>206</v>
      </c>
      <c r="BD203" s="8" t="s">
        <v>206</v>
      </c>
      <c r="BE203" s="4" t="s">
        <v>206</v>
      </c>
      <c r="BF203" s="8" t="s">
        <v>206</v>
      </c>
      <c r="BG203" s="7" t="s">
        <v>206</v>
      </c>
      <c r="BH203" s="7" t="s">
        <v>206</v>
      </c>
      <c r="BI203" s="7"/>
      <c r="BJ203" s="4"/>
      <c r="BK203" s="8"/>
      <c r="BL203" s="2" t="s">
        <v>206</v>
      </c>
      <c r="BM203" s="7"/>
      <c r="BN203" s="7"/>
      <c r="BO203" s="4"/>
      <c r="BP203" s="8"/>
      <c r="BQ203" s="4"/>
      <c r="BR203" s="8"/>
      <c r="BS203" s="7"/>
      <c r="BT203" s="7"/>
      <c r="BU203" s="2" t="s">
        <v>1668</v>
      </c>
      <c r="BV203" s="2" t="s">
        <v>206</v>
      </c>
      <c r="BW203" s="2" t="s">
        <v>206</v>
      </c>
      <c r="BX203" s="2" t="s">
        <v>214</v>
      </c>
      <c r="BY203" s="2" t="s">
        <v>215</v>
      </c>
      <c r="BZ203" s="2" t="s">
        <v>203</v>
      </c>
      <c r="CA203" s="2" t="s">
        <v>1527</v>
      </c>
      <c r="CB203" s="2" t="s">
        <v>1669</v>
      </c>
      <c r="CC203" s="2" t="s">
        <v>218</v>
      </c>
      <c r="CD203" s="2" t="s">
        <v>206</v>
      </c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>
        <v>280</v>
      </c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</row>
    <row r="204">
      <c r="A204" s="2" t="s">
        <v>1670</v>
      </c>
      <c r="B204" s="2" t="s">
        <v>546</v>
      </c>
      <c r="C204" s="2" t="s">
        <v>1145</v>
      </c>
      <c r="D204" s="2" t="s">
        <v>548</v>
      </c>
      <c r="E204" s="2" t="s">
        <v>579</v>
      </c>
      <c r="F204" s="2" t="s">
        <v>1663</v>
      </c>
      <c r="G204" s="2" t="s">
        <v>1664</v>
      </c>
      <c r="H204" s="2" t="s">
        <v>1665</v>
      </c>
      <c r="I204" s="2" t="s">
        <v>1671</v>
      </c>
      <c r="J204" s="2" t="s">
        <v>821</v>
      </c>
      <c r="K204" s="2" t="s">
        <v>262</v>
      </c>
      <c r="L204" s="3">
        <v>14.28</v>
      </c>
      <c r="M204" s="3">
        <v>14.99</v>
      </c>
      <c r="N204" s="3">
        <v>29.99</v>
      </c>
      <c r="O204" s="2" t="s">
        <v>203</v>
      </c>
      <c r="P204" s="2" t="s">
        <v>204</v>
      </c>
      <c r="Q204" s="2" t="s">
        <v>205</v>
      </c>
      <c r="R204" s="2" t="s">
        <v>206</v>
      </c>
      <c r="S204" s="2" t="s">
        <v>1667</v>
      </c>
      <c r="T204" s="2" t="s">
        <v>292</v>
      </c>
      <c r="U204" s="2" t="s">
        <v>900</v>
      </c>
      <c r="V204" s="2" t="s">
        <v>1127</v>
      </c>
      <c r="W204" s="2" t="s">
        <v>786</v>
      </c>
      <c r="X204" s="2" t="s">
        <v>206</v>
      </c>
      <c r="Y204" s="2" t="s">
        <v>1314</v>
      </c>
      <c r="Z204" s="4"/>
      <c r="AA204" s="4">
        <f>=ROUNDDOWN({0},0)</f>
      </c>
      <c r="AB204" s="5">
        <v>4</v>
      </c>
      <c r="AC204" s="2" t="s">
        <v>119</v>
      </c>
      <c r="AD204" s="4">
        <v>130</v>
      </c>
      <c r="AE204" s="4">
        <v>130</v>
      </c>
      <c r="AF204" s="6">
        <v>64</v>
      </c>
      <c r="AG204" s="6"/>
      <c r="AH204" s="7">
        <v>0</v>
      </c>
      <c r="AI204" s="4"/>
      <c r="AJ204" s="4">
        <f>=ROUNDDOWN({0},0)</f>
      </c>
      <c r="AK204" s="5"/>
      <c r="AL204" s="2" t="s">
        <v>206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206</v>
      </c>
      <c r="AW204" s="8" t="s">
        <v>206</v>
      </c>
      <c r="AX204" s="4" t="s">
        <v>206</v>
      </c>
      <c r="AY204" s="8" t="s">
        <v>206</v>
      </c>
      <c r="AZ204" s="7" t="s">
        <v>206</v>
      </c>
      <c r="BA204" s="7" t="s">
        <v>206</v>
      </c>
      <c r="BB204" s="7" t="s">
        <v>206</v>
      </c>
      <c r="BC204" s="4" t="s">
        <v>206</v>
      </c>
      <c r="BD204" s="8" t="s">
        <v>206</v>
      </c>
      <c r="BE204" s="4" t="s">
        <v>206</v>
      </c>
      <c r="BF204" s="8" t="s">
        <v>206</v>
      </c>
      <c r="BG204" s="7" t="s">
        <v>206</v>
      </c>
      <c r="BH204" s="7" t="s">
        <v>206</v>
      </c>
      <c r="BI204" s="7"/>
      <c r="BJ204" s="4"/>
      <c r="BK204" s="8"/>
      <c r="BL204" s="2" t="s">
        <v>206</v>
      </c>
      <c r="BM204" s="7"/>
      <c r="BN204" s="7"/>
      <c r="BO204" s="4"/>
      <c r="BP204" s="8"/>
      <c r="BQ204" s="4"/>
      <c r="BR204" s="8"/>
      <c r="BS204" s="7"/>
      <c r="BT204" s="7"/>
      <c r="BU204" s="2" t="s">
        <v>1672</v>
      </c>
      <c r="BV204" s="2" t="s">
        <v>206</v>
      </c>
      <c r="BW204" s="2" t="s">
        <v>206</v>
      </c>
      <c r="BX204" s="2" t="s">
        <v>214</v>
      </c>
      <c r="BY204" s="2" t="s">
        <v>215</v>
      </c>
      <c r="BZ204" s="2" t="s">
        <v>203</v>
      </c>
      <c r="CA204" s="2" t="s">
        <v>1673</v>
      </c>
      <c r="CB204" s="2" t="s">
        <v>1674</v>
      </c>
      <c r="CC204" s="2" t="s">
        <v>218</v>
      </c>
      <c r="CD204" s="2" t="s">
        <v>206</v>
      </c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>
        <v>130</v>
      </c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</row>
    <row r="205">
      <c r="A205" s="2" t="s">
        <v>1675</v>
      </c>
      <c r="B205" s="2" t="s">
        <v>546</v>
      </c>
      <c r="C205" s="2" t="s">
        <v>1145</v>
      </c>
      <c r="D205" s="2" t="s">
        <v>548</v>
      </c>
      <c r="E205" s="2" t="s">
        <v>579</v>
      </c>
      <c r="F205" s="2" t="s">
        <v>1663</v>
      </c>
      <c r="G205" s="2" t="s">
        <v>1664</v>
      </c>
      <c r="H205" s="2" t="s">
        <v>1665</v>
      </c>
      <c r="I205" s="2" t="s">
        <v>1671</v>
      </c>
      <c r="J205" s="2" t="s">
        <v>593</v>
      </c>
      <c r="K205" s="2" t="s">
        <v>262</v>
      </c>
      <c r="L205" s="3">
        <v>19.04</v>
      </c>
      <c r="M205" s="3">
        <v>19.99</v>
      </c>
      <c r="N205" s="3">
        <v>39.99</v>
      </c>
      <c r="O205" s="2" t="s">
        <v>203</v>
      </c>
      <c r="P205" s="2" t="s">
        <v>204</v>
      </c>
      <c r="Q205" s="2" t="s">
        <v>205</v>
      </c>
      <c r="R205" s="2" t="s">
        <v>206</v>
      </c>
      <c r="S205" s="2" t="s">
        <v>1667</v>
      </c>
      <c r="T205" s="2" t="s">
        <v>292</v>
      </c>
      <c r="U205" s="2" t="s">
        <v>556</v>
      </c>
      <c r="V205" s="2" t="s">
        <v>1127</v>
      </c>
      <c r="W205" s="2" t="s">
        <v>786</v>
      </c>
      <c r="X205" s="2" t="s">
        <v>206</v>
      </c>
      <c r="Y205" s="2" t="s">
        <v>1676</v>
      </c>
      <c r="Z205" s="4">
        <v>35</v>
      </c>
      <c r="AA205" s="4">
        <f>=ROUNDDOWN(5.83333333333333,0)</f>
      </c>
      <c r="AB205" s="5">
        <v>6</v>
      </c>
      <c r="AC205" s="2" t="s">
        <v>119</v>
      </c>
      <c r="AD205" s="4">
        <v>160</v>
      </c>
      <c r="AE205" s="4">
        <v>160</v>
      </c>
      <c r="AF205" s="6">
        <v>64</v>
      </c>
      <c r="AG205" s="6"/>
      <c r="AH205" s="7">
        <v>1</v>
      </c>
      <c r="AI205" s="4"/>
      <c r="AJ205" s="4">
        <f>=ROUNDDOWN({0},0)</f>
      </c>
      <c r="AK205" s="5"/>
      <c r="AL205" s="2" t="s">
        <v>206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206</v>
      </c>
      <c r="AW205" s="8" t="s">
        <v>206</v>
      </c>
      <c r="AX205" s="4" t="s">
        <v>206</v>
      </c>
      <c r="AY205" s="8" t="s">
        <v>206</v>
      </c>
      <c r="AZ205" s="7" t="s">
        <v>206</v>
      </c>
      <c r="BA205" s="7" t="s">
        <v>206</v>
      </c>
      <c r="BB205" s="7"/>
      <c r="BC205" s="4" t="s">
        <v>206</v>
      </c>
      <c r="BD205" s="8" t="s">
        <v>206</v>
      </c>
      <c r="BE205" s="4" t="s">
        <v>206</v>
      </c>
      <c r="BF205" s="8" t="s">
        <v>206</v>
      </c>
      <c r="BG205" s="7" t="s">
        <v>206</v>
      </c>
      <c r="BH205" s="7" t="s">
        <v>206</v>
      </c>
      <c r="BI205" s="7"/>
      <c r="BJ205" s="4">
        <v>14</v>
      </c>
      <c r="BK205" s="8">
        <v>334.26</v>
      </c>
      <c r="BL205" s="2" t="s">
        <v>1677</v>
      </c>
      <c r="BM205" s="7"/>
      <c r="BN205" s="7"/>
      <c r="BO205" s="4"/>
      <c r="BP205" s="8"/>
      <c r="BQ205" s="4"/>
      <c r="BR205" s="8"/>
      <c r="BS205" s="7"/>
      <c r="BT205" s="7"/>
      <c r="BU205" s="2" t="s">
        <v>1678</v>
      </c>
      <c r="BV205" s="2" t="s">
        <v>206</v>
      </c>
      <c r="BW205" s="2" t="s">
        <v>206</v>
      </c>
      <c r="BX205" s="2" t="s">
        <v>214</v>
      </c>
      <c r="BY205" s="2" t="s">
        <v>215</v>
      </c>
      <c r="BZ205" s="2" t="s">
        <v>203</v>
      </c>
      <c r="CA205" s="2" t="s">
        <v>1673</v>
      </c>
      <c r="CB205" s="2" t="s">
        <v>1679</v>
      </c>
      <c r="CC205" s="2" t="s">
        <v>218</v>
      </c>
      <c r="CD205" s="2" t="s">
        <v>206</v>
      </c>
      <c r="CE205" s="4">
        <v>35</v>
      </c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>
        <v>160</v>
      </c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</row>
    <row r="206">
      <c r="A206" s="2" t="s">
        <v>1680</v>
      </c>
      <c r="B206" s="2" t="s">
        <v>528</v>
      </c>
      <c r="C206" s="2" t="s">
        <v>941</v>
      </c>
      <c r="D206" s="2" t="s">
        <v>1681</v>
      </c>
      <c r="E206" s="2" t="s">
        <v>1682</v>
      </c>
      <c r="F206" s="2" t="s">
        <v>1683</v>
      </c>
      <c r="G206" s="2" t="s">
        <v>1683</v>
      </c>
      <c r="H206" s="2" t="s">
        <v>1683</v>
      </c>
      <c r="I206" s="2" t="s">
        <v>1684</v>
      </c>
      <c r="J206" s="2" t="s">
        <v>1249</v>
      </c>
      <c r="K206" s="2" t="s">
        <v>833</v>
      </c>
      <c r="L206" s="3">
        <v>24.76</v>
      </c>
      <c r="M206" s="3">
        <v>26</v>
      </c>
      <c r="N206" s="3">
        <v>79.99</v>
      </c>
      <c r="O206" s="2" t="s">
        <v>203</v>
      </c>
      <c r="P206" s="2" t="s">
        <v>467</v>
      </c>
      <c r="Q206" s="2" t="s">
        <v>205</v>
      </c>
      <c r="R206" s="2" t="s">
        <v>206</v>
      </c>
      <c r="S206" s="2" t="s">
        <v>206</v>
      </c>
      <c r="T206" s="2" t="s">
        <v>206</v>
      </c>
      <c r="U206" s="2" t="s">
        <v>437</v>
      </c>
      <c r="V206" s="2" t="s">
        <v>809</v>
      </c>
      <c r="W206" s="2" t="s">
        <v>453</v>
      </c>
      <c r="X206" s="2" t="s">
        <v>206</v>
      </c>
      <c r="Y206" s="2" t="s">
        <v>1685</v>
      </c>
      <c r="Z206" s="4">
        <v>113</v>
      </c>
      <c r="AA206" s="4">
        <f>=ROUNDDOWN(40.3571428571429,0)</f>
      </c>
      <c r="AB206" s="5">
        <v>2.8</v>
      </c>
      <c r="AC206" s="2" t="s">
        <v>206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206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17</v>
      </c>
      <c r="BK206" s="8">
        <v>659.22</v>
      </c>
      <c r="BL206" s="2" t="s">
        <v>1686</v>
      </c>
      <c r="BM206" s="7"/>
      <c r="BN206" s="7"/>
      <c r="BO206" s="4"/>
      <c r="BP206" s="8"/>
      <c r="BQ206" s="4"/>
      <c r="BR206" s="8"/>
      <c r="BS206" s="7"/>
      <c r="BT206" s="7"/>
      <c r="BU206" s="2" t="s">
        <v>1687</v>
      </c>
      <c r="BV206" s="2" t="s">
        <v>206</v>
      </c>
      <c r="BW206" s="2" t="s">
        <v>206</v>
      </c>
      <c r="BX206" s="2" t="s">
        <v>214</v>
      </c>
      <c r="BY206" s="2" t="s">
        <v>215</v>
      </c>
      <c r="BZ206" s="2" t="s">
        <v>203</v>
      </c>
      <c r="CA206" s="2" t="s">
        <v>1131</v>
      </c>
      <c r="CB206" s="2" t="s">
        <v>1254</v>
      </c>
      <c r="CC206" s="2" t="s">
        <v>218</v>
      </c>
      <c r="CD206" s="2" t="s">
        <v>206</v>
      </c>
      <c r="CE206" s="4">
        <v>113</v>
      </c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</row>
    <row r="207">
      <c r="A207" s="2" t="s">
        <v>1688</v>
      </c>
      <c r="B207" s="2" t="s">
        <v>528</v>
      </c>
      <c r="C207" s="2" t="s">
        <v>1689</v>
      </c>
      <c r="D207" s="2" t="s">
        <v>548</v>
      </c>
      <c r="E207" s="2" t="s">
        <v>549</v>
      </c>
      <c r="F207" s="2" t="s">
        <v>1690</v>
      </c>
      <c r="G207" s="2" t="s">
        <v>1690</v>
      </c>
      <c r="H207" s="2" t="s">
        <v>1690</v>
      </c>
      <c r="I207" s="2" t="s">
        <v>1691</v>
      </c>
      <c r="J207" s="2" t="s">
        <v>593</v>
      </c>
      <c r="K207" s="2" t="s">
        <v>583</v>
      </c>
      <c r="L207" s="3">
        <v>76.49</v>
      </c>
      <c r="M207" s="3">
        <v>80.32</v>
      </c>
      <c r="N207" s="3">
        <v>174.99</v>
      </c>
      <c r="O207" s="2" t="s">
        <v>203</v>
      </c>
      <c r="P207" s="2" t="s">
        <v>773</v>
      </c>
      <c r="Q207" s="2" t="s">
        <v>205</v>
      </c>
      <c r="R207" s="2" t="s">
        <v>206</v>
      </c>
      <c r="S207" s="2" t="s">
        <v>1692</v>
      </c>
      <c r="T207" s="2" t="s">
        <v>206</v>
      </c>
      <c r="U207" s="2" t="s">
        <v>206</v>
      </c>
      <c r="V207" s="2" t="s">
        <v>901</v>
      </c>
      <c r="W207" s="2" t="s">
        <v>901</v>
      </c>
      <c r="X207" s="2" t="s">
        <v>786</v>
      </c>
      <c r="Y207" s="2" t="s">
        <v>211</v>
      </c>
      <c r="Z207" s="4">
        <v>137</v>
      </c>
      <c r="AA207" s="4">
        <f>=ROUNDDOWN(65.2380952380952,0)</f>
      </c>
      <c r="AB207" s="5">
        <v>2.1</v>
      </c>
      <c r="AC207" s="2" t="s">
        <v>1620</v>
      </c>
      <c r="AD207" s="4">
        <v>450</v>
      </c>
      <c r="AE207" s="4">
        <v>450</v>
      </c>
      <c r="AF207" s="6">
        <v>68</v>
      </c>
      <c r="AG207" s="6"/>
      <c r="AH207" s="7">
        <v>1</v>
      </c>
      <c r="AI207" s="4"/>
      <c r="AJ207" s="4">
        <f>=ROUNDDOWN({0},0)</f>
      </c>
      <c r="AK207" s="5"/>
      <c r="AL207" s="2" t="s">
        <v>206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12</v>
      </c>
      <c r="BK207" s="8">
        <v>945.77</v>
      </c>
      <c r="BL207" s="2" t="s">
        <v>1693</v>
      </c>
      <c r="BM207" s="7"/>
      <c r="BN207" s="7"/>
      <c r="BO207" s="4"/>
      <c r="BP207" s="8"/>
      <c r="BQ207" s="4"/>
      <c r="BR207" s="8"/>
      <c r="BS207" s="7"/>
      <c r="BT207" s="7"/>
      <c r="BU207" s="2" t="s">
        <v>1694</v>
      </c>
      <c r="BV207" s="2" t="s">
        <v>206</v>
      </c>
      <c r="BW207" s="2" t="s">
        <v>206</v>
      </c>
      <c r="BX207" s="2" t="s">
        <v>214</v>
      </c>
      <c r="BY207" s="2" t="s">
        <v>215</v>
      </c>
      <c r="BZ207" s="2" t="s">
        <v>203</v>
      </c>
      <c r="CA207" s="2" t="s">
        <v>216</v>
      </c>
      <c r="CB207" s="2" t="s">
        <v>1695</v>
      </c>
      <c r="CC207" s="2" t="s">
        <v>1696</v>
      </c>
      <c r="CD207" s="2" t="s">
        <v>206</v>
      </c>
      <c r="CE207" s="4">
        <v>137</v>
      </c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>
        <v>450</v>
      </c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</row>
    <row r="208">
      <c r="A208" s="2" t="s">
        <v>1697</v>
      </c>
      <c r="B208" s="2" t="s">
        <v>528</v>
      </c>
      <c r="C208" s="2" t="s">
        <v>1698</v>
      </c>
      <c r="D208" s="2" t="s">
        <v>548</v>
      </c>
      <c r="E208" s="2" t="s">
        <v>579</v>
      </c>
      <c r="F208" s="2" t="s">
        <v>1699</v>
      </c>
      <c r="G208" s="2" t="s">
        <v>1699</v>
      </c>
      <c r="H208" s="2" t="s">
        <v>1699</v>
      </c>
      <c r="I208" s="2" t="s">
        <v>1700</v>
      </c>
      <c r="J208" s="2" t="s">
        <v>593</v>
      </c>
      <c r="K208" s="2" t="s">
        <v>202</v>
      </c>
      <c r="L208" s="3">
        <v>67.5</v>
      </c>
      <c r="M208" s="3">
        <v>70.88</v>
      </c>
      <c r="N208" s="3">
        <v>149.99</v>
      </c>
      <c r="O208" s="2" t="s">
        <v>203</v>
      </c>
      <c r="P208" s="2" t="s">
        <v>204</v>
      </c>
      <c r="Q208" s="2" t="s">
        <v>205</v>
      </c>
      <c r="R208" s="2" t="s">
        <v>206</v>
      </c>
      <c r="S208" s="2" t="s">
        <v>1701</v>
      </c>
      <c r="T208" s="2" t="s">
        <v>292</v>
      </c>
      <c r="U208" s="2" t="s">
        <v>556</v>
      </c>
      <c r="V208" s="2" t="s">
        <v>209</v>
      </c>
      <c r="W208" s="2" t="s">
        <v>439</v>
      </c>
      <c r="X208" s="2" t="s">
        <v>206</v>
      </c>
      <c r="Y208" s="2" t="s">
        <v>1702</v>
      </c>
      <c r="Z208" s="4">
        <v>66</v>
      </c>
      <c r="AA208" s="4">
        <f>=ROUNDDOWN(44,0)</f>
      </c>
      <c r="AB208" s="5">
        <v>1.5</v>
      </c>
      <c r="AC208" s="2" t="s">
        <v>206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206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11</v>
      </c>
      <c r="BK208" s="8">
        <v>916.68</v>
      </c>
      <c r="BL208" s="2" t="s">
        <v>1703</v>
      </c>
      <c r="BM208" s="7"/>
      <c r="BN208" s="7"/>
      <c r="BO208" s="4"/>
      <c r="BP208" s="8"/>
      <c r="BQ208" s="4"/>
      <c r="BR208" s="8"/>
      <c r="BS208" s="7"/>
      <c r="BT208" s="7"/>
      <c r="BU208" s="2" t="s">
        <v>1704</v>
      </c>
      <c r="BV208" s="2" t="s">
        <v>206</v>
      </c>
      <c r="BW208" s="2" t="s">
        <v>206</v>
      </c>
      <c r="BX208" s="2" t="s">
        <v>214</v>
      </c>
      <c r="BY208" s="2" t="s">
        <v>215</v>
      </c>
      <c r="BZ208" s="2" t="s">
        <v>203</v>
      </c>
      <c r="CA208" s="2" t="s">
        <v>1705</v>
      </c>
      <c r="CB208" s="2" t="s">
        <v>1706</v>
      </c>
      <c r="CC208" s="2" t="s">
        <v>218</v>
      </c>
      <c r="CD208" s="2" t="s">
        <v>206</v>
      </c>
      <c r="CE208" s="4">
        <v>66</v>
      </c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</row>
    <row r="209">
      <c r="A209" s="2" t="s">
        <v>1707</v>
      </c>
      <c r="B209" s="2" t="s">
        <v>507</v>
      </c>
      <c r="C209" s="2" t="s">
        <v>1708</v>
      </c>
      <c r="D209" s="2" t="s">
        <v>508</v>
      </c>
      <c r="E209" s="2" t="s">
        <v>509</v>
      </c>
      <c r="F209" s="2" t="s">
        <v>979</v>
      </c>
      <c r="G209" s="2" t="s">
        <v>979</v>
      </c>
      <c r="H209" s="2" t="s">
        <v>979</v>
      </c>
      <c r="I209" s="2" t="s">
        <v>1709</v>
      </c>
      <c r="J209" s="2" t="s">
        <v>434</v>
      </c>
      <c r="K209" s="2" t="s">
        <v>353</v>
      </c>
      <c r="L209" s="3">
        <v>81.97</v>
      </c>
      <c r="M209" s="3">
        <v>86.07</v>
      </c>
      <c r="N209" s="3">
        <v>189.99</v>
      </c>
      <c r="O209" s="2" t="s">
        <v>203</v>
      </c>
      <c r="P209" s="2" t="s">
        <v>492</v>
      </c>
      <c r="Q209" s="2" t="s">
        <v>205</v>
      </c>
      <c r="R209" s="2" t="s">
        <v>206</v>
      </c>
      <c r="S209" s="2" t="s">
        <v>1710</v>
      </c>
      <c r="T209" s="2" t="s">
        <v>206</v>
      </c>
      <c r="U209" s="2" t="s">
        <v>206</v>
      </c>
      <c r="V209" s="2" t="s">
        <v>209</v>
      </c>
      <c r="W209" s="2" t="s">
        <v>539</v>
      </c>
      <c r="X209" s="2" t="s">
        <v>206</v>
      </c>
      <c r="Y209" s="2" t="s">
        <v>211</v>
      </c>
      <c r="Z209" s="4">
        <v>277</v>
      </c>
      <c r="AA209" s="4">
        <f>=ROUNDDOWN(50.3636363636364,0)</f>
      </c>
      <c r="AB209" s="5">
        <v>5.5</v>
      </c>
      <c r="AC209" s="2" t="s">
        <v>206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206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17</v>
      </c>
      <c r="BK209" s="8">
        <v>1477.04</v>
      </c>
      <c r="BL209" s="2" t="s">
        <v>1711</v>
      </c>
      <c r="BM209" s="7"/>
      <c r="BN209" s="7"/>
      <c r="BO209" s="4"/>
      <c r="BP209" s="8"/>
      <c r="BQ209" s="4"/>
      <c r="BR209" s="8"/>
      <c r="BS209" s="7"/>
      <c r="BT209" s="7"/>
      <c r="BU209" s="2" t="s">
        <v>1712</v>
      </c>
      <c r="BV209" s="2" t="s">
        <v>206</v>
      </c>
      <c r="BW209" s="2" t="s">
        <v>206</v>
      </c>
      <c r="BX209" s="2" t="s">
        <v>214</v>
      </c>
      <c r="BY209" s="2" t="s">
        <v>215</v>
      </c>
      <c r="BZ209" s="2" t="s">
        <v>203</v>
      </c>
      <c r="CA209" s="2" t="s">
        <v>1713</v>
      </c>
      <c r="CB209" s="2" t="s">
        <v>1380</v>
      </c>
      <c r="CC209" s="2" t="s">
        <v>218</v>
      </c>
      <c r="CD209" s="2" t="s">
        <v>206</v>
      </c>
      <c r="CE209" s="4"/>
      <c r="CF209" s="4">
        <v>277</v>
      </c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</row>
    <row r="210">
      <c r="A210" s="2" t="s">
        <v>1714</v>
      </c>
      <c r="B210" s="2" t="s">
        <v>613</v>
      </c>
      <c r="C210" s="2" t="s">
        <v>828</v>
      </c>
      <c r="D210" s="2" t="s">
        <v>628</v>
      </c>
      <c r="E210" s="2" t="s">
        <v>840</v>
      </c>
      <c r="F210" s="2" t="s">
        <v>1715</v>
      </c>
      <c r="G210" s="2" t="s">
        <v>1716</v>
      </c>
      <c r="H210" s="2" t="s">
        <v>1717</v>
      </c>
      <c r="I210" s="2" t="s">
        <v>1718</v>
      </c>
      <c r="J210" s="2" t="s">
        <v>1719</v>
      </c>
      <c r="K210" s="2" t="s">
        <v>353</v>
      </c>
      <c r="L210" s="3">
        <v>17.02</v>
      </c>
      <c r="M210" s="3">
        <v>17.87</v>
      </c>
      <c r="N210" s="3">
        <v>36.99</v>
      </c>
      <c r="O210" s="2" t="s">
        <v>203</v>
      </c>
      <c r="P210" s="2" t="s">
        <v>492</v>
      </c>
      <c r="Q210" s="2" t="s">
        <v>205</v>
      </c>
      <c r="R210" s="2" t="s">
        <v>206</v>
      </c>
      <c r="S210" s="2" t="s">
        <v>1720</v>
      </c>
      <c r="T210" s="2" t="s">
        <v>1721</v>
      </c>
      <c r="U210" s="2" t="s">
        <v>900</v>
      </c>
      <c r="V210" s="2" t="s">
        <v>209</v>
      </c>
      <c r="W210" s="2" t="s">
        <v>439</v>
      </c>
      <c r="X210" s="2" t="s">
        <v>1722</v>
      </c>
      <c r="Y210" s="2" t="s">
        <v>1723</v>
      </c>
      <c r="Z210" s="4">
        <v>101</v>
      </c>
      <c r="AA210" s="4">
        <f>=ROUNDDOWN(14.4285714285714,0)</f>
      </c>
      <c r="AB210" s="5">
        <v>7</v>
      </c>
      <c r="AC210" s="2" t="s">
        <v>114</v>
      </c>
      <c r="AD210" s="4">
        <v>136</v>
      </c>
      <c r="AE210" s="4">
        <v>348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206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206</v>
      </c>
      <c r="AW210" s="8" t="s">
        <v>206</v>
      </c>
      <c r="AX210" s="4" t="s">
        <v>206</v>
      </c>
      <c r="AY210" s="8" t="s">
        <v>206</v>
      </c>
      <c r="AZ210" s="7" t="s">
        <v>206</v>
      </c>
      <c r="BA210" s="7" t="s">
        <v>206</v>
      </c>
      <c r="BB210" s="7"/>
      <c r="BC210" s="4" t="s">
        <v>206</v>
      </c>
      <c r="BD210" s="8" t="s">
        <v>206</v>
      </c>
      <c r="BE210" s="4" t="s">
        <v>206</v>
      </c>
      <c r="BF210" s="8" t="s">
        <v>206</v>
      </c>
      <c r="BG210" s="7" t="s">
        <v>206</v>
      </c>
      <c r="BH210" s="7" t="s">
        <v>206</v>
      </c>
      <c r="BI210" s="7"/>
      <c r="BJ210" s="4">
        <v>33</v>
      </c>
      <c r="BK210" s="8">
        <v>591.69</v>
      </c>
      <c r="BL210" s="2" t="s">
        <v>1724</v>
      </c>
      <c r="BM210" s="7"/>
      <c r="BN210" s="7"/>
      <c r="BO210" s="4"/>
      <c r="BP210" s="8"/>
      <c r="BQ210" s="4"/>
      <c r="BR210" s="8"/>
      <c r="BS210" s="7"/>
      <c r="BT210" s="7"/>
      <c r="BU210" s="2" t="s">
        <v>1725</v>
      </c>
      <c r="BV210" s="2" t="s">
        <v>206</v>
      </c>
      <c r="BW210" s="2" t="s">
        <v>206</v>
      </c>
      <c r="BX210" s="2" t="s">
        <v>214</v>
      </c>
      <c r="BY210" s="2" t="s">
        <v>215</v>
      </c>
      <c r="BZ210" s="2" t="s">
        <v>203</v>
      </c>
      <c r="CA210" s="2" t="s">
        <v>1726</v>
      </c>
      <c r="CB210" s="2" t="s">
        <v>1727</v>
      </c>
      <c r="CC210" s="2" t="s">
        <v>218</v>
      </c>
      <c r="CD210" s="2" t="s">
        <v>206</v>
      </c>
      <c r="CE210" s="4">
        <v>101</v>
      </c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>
        <v>136</v>
      </c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>
        <v>112</v>
      </c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>
        <v>100</v>
      </c>
      <c r="GB210" s="4"/>
      <c r="GC210" s="4"/>
      <c r="GD210" s="4"/>
      <c r="GE210" s="4"/>
      <c r="GF210" s="4"/>
    </row>
    <row r="211">
      <c r="A211" s="2" t="s">
        <v>1728</v>
      </c>
      <c r="B211" s="2" t="s">
        <v>613</v>
      </c>
      <c r="C211" s="2" t="s">
        <v>828</v>
      </c>
      <c r="D211" s="2" t="s">
        <v>628</v>
      </c>
      <c r="E211" s="2" t="s">
        <v>840</v>
      </c>
      <c r="F211" s="2" t="s">
        <v>1715</v>
      </c>
      <c r="G211" s="2" t="s">
        <v>1716</v>
      </c>
      <c r="H211" s="2" t="s">
        <v>1717</v>
      </c>
      <c r="I211" s="2" t="s">
        <v>1718</v>
      </c>
      <c r="J211" s="2" t="s">
        <v>1729</v>
      </c>
      <c r="K211" s="2" t="s">
        <v>353</v>
      </c>
      <c r="L211" s="3">
        <v>19.32</v>
      </c>
      <c r="M211" s="3">
        <v>20.29</v>
      </c>
      <c r="N211" s="3">
        <v>41.99</v>
      </c>
      <c r="O211" s="2" t="s">
        <v>203</v>
      </c>
      <c r="P211" s="2" t="s">
        <v>204</v>
      </c>
      <c r="Q211" s="2" t="s">
        <v>205</v>
      </c>
      <c r="R211" s="2" t="s">
        <v>206</v>
      </c>
      <c r="S211" s="2" t="s">
        <v>1720</v>
      </c>
      <c r="T211" s="2" t="s">
        <v>1721</v>
      </c>
      <c r="U211" s="2" t="s">
        <v>900</v>
      </c>
      <c r="V211" s="2" t="s">
        <v>209</v>
      </c>
      <c r="W211" s="2" t="s">
        <v>439</v>
      </c>
      <c r="X211" s="2" t="s">
        <v>1722</v>
      </c>
      <c r="Y211" s="2" t="s">
        <v>1723</v>
      </c>
      <c r="Z211" s="4">
        <v>403</v>
      </c>
      <c r="AA211" s="4">
        <f>=ROUNDDOWN(26.8666666666667,0)</f>
      </c>
      <c r="AB211" s="5">
        <v>15</v>
      </c>
      <c r="AC211" s="2" t="s">
        <v>114</v>
      </c>
      <c r="AD211" s="4">
        <v>148</v>
      </c>
      <c r="AE211" s="4">
        <v>460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206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206</v>
      </c>
      <c r="AW211" s="8" t="s">
        <v>206</v>
      </c>
      <c r="AX211" s="4" t="s">
        <v>206</v>
      </c>
      <c r="AY211" s="8" t="s">
        <v>206</v>
      </c>
      <c r="AZ211" s="7" t="s">
        <v>206</v>
      </c>
      <c r="BA211" s="7" t="s">
        <v>206</v>
      </c>
      <c r="BB211" s="7"/>
      <c r="BC211" s="4" t="s">
        <v>206</v>
      </c>
      <c r="BD211" s="8" t="s">
        <v>206</v>
      </c>
      <c r="BE211" s="4" t="s">
        <v>206</v>
      </c>
      <c r="BF211" s="8" t="s">
        <v>206</v>
      </c>
      <c r="BG211" s="7" t="s">
        <v>206</v>
      </c>
      <c r="BH211" s="7" t="s">
        <v>206</v>
      </c>
      <c r="BI211" s="7"/>
      <c r="BJ211" s="4">
        <v>55</v>
      </c>
      <c r="BK211" s="8">
        <v>1205.31</v>
      </c>
      <c r="BL211" s="2" t="s">
        <v>1730</v>
      </c>
      <c r="BM211" s="7"/>
      <c r="BN211" s="7"/>
      <c r="BO211" s="4"/>
      <c r="BP211" s="8"/>
      <c r="BQ211" s="4"/>
      <c r="BR211" s="8"/>
      <c r="BS211" s="7"/>
      <c r="BT211" s="7"/>
      <c r="BU211" s="2" t="s">
        <v>1731</v>
      </c>
      <c r="BV211" s="2" t="s">
        <v>206</v>
      </c>
      <c r="BW211" s="2" t="s">
        <v>206</v>
      </c>
      <c r="BX211" s="2" t="s">
        <v>214</v>
      </c>
      <c r="BY211" s="2" t="s">
        <v>215</v>
      </c>
      <c r="BZ211" s="2" t="s">
        <v>203</v>
      </c>
      <c r="CA211" s="2" t="s">
        <v>1726</v>
      </c>
      <c r="CB211" s="2" t="s">
        <v>1732</v>
      </c>
      <c r="CC211" s="2" t="s">
        <v>218</v>
      </c>
      <c r="CD211" s="2" t="s">
        <v>206</v>
      </c>
      <c r="CE211" s="4">
        <v>403</v>
      </c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>
        <v>148</v>
      </c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>
        <v>112</v>
      </c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>
        <v>200</v>
      </c>
      <c r="GB211" s="4"/>
      <c r="GC211" s="4"/>
      <c r="GD211" s="4"/>
      <c r="GE211" s="4"/>
      <c r="GF211" s="4"/>
    </row>
    <row r="212">
      <c r="A212" s="2" t="s">
        <v>1733</v>
      </c>
      <c r="B212" s="2" t="s">
        <v>613</v>
      </c>
      <c r="C212" s="2" t="s">
        <v>828</v>
      </c>
      <c r="D212" s="2" t="s">
        <v>628</v>
      </c>
      <c r="E212" s="2" t="s">
        <v>840</v>
      </c>
      <c r="F212" s="2" t="s">
        <v>1715</v>
      </c>
      <c r="G212" s="2" t="s">
        <v>1716</v>
      </c>
      <c r="H212" s="2" t="s">
        <v>1717</v>
      </c>
      <c r="I212" s="2" t="s">
        <v>1718</v>
      </c>
      <c r="J212" s="2" t="s">
        <v>1734</v>
      </c>
      <c r="K212" s="2" t="s">
        <v>353</v>
      </c>
      <c r="L212" s="3">
        <v>22.09</v>
      </c>
      <c r="M212" s="3">
        <v>23.19</v>
      </c>
      <c r="N212" s="3">
        <v>46.99</v>
      </c>
      <c r="O212" s="2" t="s">
        <v>203</v>
      </c>
      <c r="P212" s="2" t="s">
        <v>204</v>
      </c>
      <c r="Q212" s="2" t="s">
        <v>205</v>
      </c>
      <c r="R212" s="2" t="s">
        <v>206</v>
      </c>
      <c r="S212" s="2" t="s">
        <v>1720</v>
      </c>
      <c r="T212" s="2" t="s">
        <v>1721</v>
      </c>
      <c r="U212" s="2" t="s">
        <v>900</v>
      </c>
      <c r="V212" s="2" t="s">
        <v>209</v>
      </c>
      <c r="W212" s="2" t="s">
        <v>439</v>
      </c>
      <c r="X212" s="2" t="s">
        <v>1722</v>
      </c>
      <c r="Y212" s="2" t="s">
        <v>1723</v>
      </c>
      <c r="Z212" s="4">
        <v>456</v>
      </c>
      <c r="AA212" s="4">
        <f>=ROUNDDOWN(30.4,0)</f>
      </c>
      <c r="AB212" s="5">
        <v>15</v>
      </c>
      <c r="AC212" s="2" t="s">
        <v>114</v>
      </c>
      <c r="AD212" s="4">
        <v>216</v>
      </c>
      <c r="AE212" s="4">
        <v>496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206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206</v>
      </c>
      <c r="AW212" s="8" t="s">
        <v>206</v>
      </c>
      <c r="AX212" s="4" t="s">
        <v>206</v>
      </c>
      <c r="AY212" s="8" t="s">
        <v>206</v>
      </c>
      <c r="AZ212" s="7" t="s">
        <v>206</v>
      </c>
      <c r="BA212" s="7" t="s">
        <v>206</v>
      </c>
      <c r="BB212" s="7"/>
      <c r="BC212" s="4" t="s">
        <v>206</v>
      </c>
      <c r="BD212" s="8" t="s">
        <v>206</v>
      </c>
      <c r="BE212" s="4" t="s">
        <v>206</v>
      </c>
      <c r="BF212" s="8" t="s">
        <v>206</v>
      </c>
      <c r="BG212" s="7" t="s">
        <v>206</v>
      </c>
      <c r="BH212" s="7" t="s">
        <v>206</v>
      </c>
      <c r="BI212" s="7"/>
      <c r="BJ212" s="4">
        <v>37</v>
      </c>
      <c r="BK212" s="8">
        <v>851.31</v>
      </c>
      <c r="BL212" s="2" t="s">
        <v>1735</v>
      </c>
      <c r="BM212" s="7"/>
      <c r="BN212" s="7"/>
      <c r="BO212" s="4"/>
      <c r="BP212" s="8"/>
      <c r="BQ212" s="4"/>
      <c r="BR212" s="8"/>
      <c r="BS212" s="7"/>
      <c r="BT212" s="7"/>
      <c r="BU212" s="2" t="s">
        <v>1736</v>
      </c>
      <c r="BV212" s="2" t="s">
        <v>206</v>
      </c>
      <c r="BW212" s="2" t="s">
        <v>206</v>
      </c>
      <c r="BX212" s="2" t="s">
        <v>214</v>
      </c>
      <c r="BY212" s="2" t="s">
        <v>215</v>
      </c>
      <c r="BZ212" s="2" t="s">
        <v>203</v>
      </c>
      <c r="CA212" s="2" t="s">
        <v>1726</v>
      </c>
      <c r="CB212" s="2" t="s">
        <v>1737</v>
      </c>
      <c r="CC212" s="2" t="s">
        <v>218</v>
      </c>
      <c r="CD212" s="2" t="s">
        <v>206</v>
      </c>
      <c r="CE212" s="4">
        <v>456</v>
      </c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>
        <v>216</v>
      </c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>
        <v>60</v>
      </c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>
        <v>220</v>
      </c>
      <c r="GB212" s="4"/>
      <c r="GC212" s="4"/>
      <c r="GD212" s="4"/>
      <c r="GE212" s="4"/>
      <c r="GF212" s="4"/>
    </row>
    <row r="213">
      <c r="A213" s="2" t="s">
        <v>1738</v>
      </c>
      <c r="B213" s="2" t="s">
        <v>613</v>
      </c>
      <c r="C213" s="2" t="s">
        <v>828</v>
      </c>
      <c r="D213" s="2" t="s">
        <v>628</v>
      </c>
      <c r="E213" s="2" t="s">
        <v>840</v>
      </c>
      <c r="F213" s="2" t="s">
        <v>1715</v>
      </c>
      <c r="G213" s="2" t="s">
        <v>1716</v>
      </c>
      <c r="H213" s="2" t="s">
        <v>1717</v>
      </c>
      <c r="I213" s="2" t="s">
        <v>1718</v>
      </c>
      <c r="J213" s="2" t="s">
        <v>1734</v>
      </c>
      <c r="K213" s="2" t="s">
        <v>605</v>
      </c>
      <c r="L213" s="3">
        <v>22.09</v>
      </c>
      <c r="M213" s="3">
        <v>23.19</v>
      </c>
      <c r="N213" s="3">
        <v>46.99</v>
      </c>
      <c r="O213" s="2" t="s">
        <v>203</v>
      </c>
      <c r="P213" s="2" t="s">
        <v>204</v>
      </c>
      <c r="Q213" s="2" t="s">
        <v>205</v>
      </c>
      <c r="R213" s="2" t="s">
        <v>206</v>
      </c>
      <c r="S213" s="2" t="s">
        <v>1739</v>
      </c>
      <c r="T213" s="2" t="s">
        <v>1721</v>
      </c>
      <c r="U213" s="2" t="s">
        <v>900</v>
      </c>
      <c r="V213" s="2" t="s">
        <v>209</v>
      </c>
      <c r="W213" s="2" t="s">
        <v>439</v>
      </c>
      <c r="X213" s="2" t="s">
        <v>1722</v>
      </c>
      <c r="Y213" s="2" t="s">
        <v>1723</v>
      </c>
      <c r="Z213" s="4">
        <v>256</v>
      </c>
      <c r="AA213" s="4">
        <f>=ROUNDDOWN(36.5714285714286,0)</f>
      </c>
      <c r="AB213" s="5">
        <v>7</v>
      </c>
      <c r="AC213" s="2" t="s">
        <v>5</v>
      </c>
      <c r="AD213" s="4">
        <v>100</v>
      </c>
      <c r="AE213" s="4">
        <v>100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206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 t="s">
        <v>206</v>
      </c>
      <c r="BD213" s="8" t="s">
        <v>206</v>
      </c>
      <c r="BE213" s="4" t="s">
        <v>206</v>
      </c>
      <c r="BF213" s="8" t="s">
        <v>206</v>
      </c>
      <c r="BG213" s="7" t="s">
        <v>206</v>
      </c>
      <c r="BH213" s="7" t="s">
        <v>206</v>
      </c>
      <c r="BI213" s="7"/>
      <c r="BJ213" s="4">
        <v>27</v>
      </c>
      <c r="BK213" s="8">
        <v>858.11</v>
      </c>
      <c r="BL213" s="2" t="s">
        <v>1740</v>
      </c>
      <c r="BM213" s="7"/>
      <c r="BN213" s="7"/>
      <c r="BO213" s="4"/>
      <c r="BP213" s="8"/>
      <c r="BQ213" s="4"/>
      <c r="BR213" s="8"/>
      <c r="BS213" s="7"/>
      <c r="BT213" s="7"/>
      <c r="BU213" s="2" t="s">
        <v>1741</v>
      </c>
      <c r="BV213" s="2" t="s">
        <v>206</v>
      </c>
      <c r="BW213" s="2" t="s">
        <v>206</v>
      </c>
      <c r="BX213" s="2" t="s">
        <v>214</v>
      </c>
      <c r="BY213" s="2" t="s">
        <v>215</v>
      </c>
      <c r="BZ213" s="2" t="s">
        <v>203</v>
      </c>
      <c r="CA213" s="2" t="s">
        <v>1726</v>
      </c>
      <c r="CB213" s="2" t="s">
        <v>1742</v>
      </c>
      <c r="CC213" s="2" t="s">
        <v>218</v>
      </c>
      <c r="CD213" s="2" t="s">
        <v>206</v>
      </c>
      <c r="CE213" s="4">
        <v>256</v>
      </c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>
        <v>100</v>
      </c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</row>
    <row r="214">
      <c r="A214" s="2" t="s">
        <v>1743</v>
      </c>
      <c r="B214" s="2" t="s">
        <v>461</v>
      </c>
      <c r="C214" s="2" t="s">
        <v>287</v>
      </c>
      <c r="D214" s="2" t="s">
        <v>975</v>
      </c>
      <c r="E214" s="2" t="s">
        <v>976</v>
      </c>
      <c r="F214" s="2" t="s">
        <v>1744</v>
      </c>
      <c r="G214" s="2" t="s">
        <v>1745</v>
      </c>
      <c r="H214" s="2" t="s">
        <v>533</v>
      </c>
      <c r="I214" s="2" t="s">
        <v>1746</v>
      </c>
      <c r="J214" s="2" t="s">
        <v>434</v>
      </c>
      <c r="K214" s="2" t="s">
        <v>262</v>
      </c>
      <c r="L214" s="3">
        <v>180.5</v>
      </c>
      <c r="M214" s="3">
        <v>189.52</v>
      </c>
      <c r="N214" s="3">
        <v>379</v>
      </c>
      <c r="O214" s="2" t="s">
        <v>203</v>
      </c>
      <c r="P214" s="2" t="s">
        <v>467</v>
      </c>
      <c r="Q214" s="2" t="s">
        <v>205</v>
      </c>
      <c r="R214" s="2" t="s">
        <v>206</v>
      </c>
      <c r="S214" s="2" t="s">
        <v>1747</v>
      </c>
      <c r="T214" s="2" t="s">
        <v>206</v>
      </c>
      <c r="U214" s="2" t="s">
        <v>206</v>
      </c>
      <c r="V214" s="2" t="s">
        <v>209</v>
      </c>
      <c r="W214" s="2" t="s">
        <v>539</v>
      </c>
      <c r="X214" s="2" t="s">
        <v>206</v>
      </c>
      <c r="Y214" s="2" t="s">
        <v>211</v>
      </c>
      <c r="Z214" s="4">
        <v>195</v>
      </c>
      <c r="AA214" s="4">
        <f>=ROUNDDOWN(65,0)</f>
      </c>
      <c r="AB214" s="5">
        <v>3</v>
      </c>
      <c r="AC214" s="2" t="s">
        <v>206</v>
      </c>
      <c r="AD214" s="4"/>
      <c r="AE214" s="4"/>
      <c r="AF214" s="6">
        <v>66</v>
      </c>
      <c r="AG214" s="6">
        <v>49</v>
      </c>
      <c r="AH214" s="7">
        <v>1</v>
      </c>
      <c r="AI214" s="4"/>
      <c r="AJ214" s="4">
        <f>=ROUNDDOWN({0},0)</f>
      </c>
      <c r="AK214" s="5"/>
      <c r="AL214" s="2" t="s">
        <v>206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206</v>
      </c>
      <c r="BD214" s="8" t="s">
        <v>206</v>
      </c>
      <c r="BE214" s="4" t="s">
        <v>206</v>
      </c>
      <c r="BF214" s="8" t="s">
        <v>206</v>
      </c>
      <c r="BG214" s="7" t="s">
        <v>206</v>
      </c>
      <c r="BH214" s="7" t="s">
        <v>206</v>
      </c>
      <c r="BI214" s="7"/>
      <c r="BJ214" s="4">
        <v>5</v>
      </c>
      <c r="BK214" s="8">
        <v>934.62</v>
      </c>
      <c r="BL214" s="2" t="s">
        <v>1748</v>
      </c>
      <c r="BM214" s="7"/>
      <c r="BN214" s="7"/>
      <c r="BO214" s="4"/>
      <c r="BP214" s="8"/>
      <c r="BQ214" s="4"/>
      <c r="BR214" s="8"/>
      <c r="BS214" s="7"/>
      <c r="BT214" s="7"/>
      <c r="BU214" s="2" t="s">
        <v>1749</v>
      </c>
      <c r="BV214" s="2" t="s">
        <v>206</v>
      </c>
      <c r="BW214" s="2" t="s">
        <v>206</v>
      </c>
      <c r="BX214" s="2" t="s">
        <v>214</v>
      </c>
      <c r="BY214" s="2" t="s">
        <v>215</v>
      </c>
      <c r="BZ214" s="2" t="s">
        <v>203</v>
      </c>
      <c r="CA214" s="2" t="s">
        <v>216</v>
      </c>
      <c r="CB214" s="2" t="s">
        <v>1750</v>
      </c>
      <c r="CC214" s="2" t="s">
        <v>218</v>
      </c>
      <c r="CD214" s="2" t="s">
        <v>206</v>
      </c>
      <c r="CE214" s="4"/>
      <c r="CF214" s="4">
        <v>195</v>
      </c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</row>
    <row r="215">
      <c r="A215" s="2" t="s">
        <v>1751</v>
      </c>
      <c r="B215" s="2" t="s">
        <v>461</v>
      </c>
      <c r="C215" s="2" t="s">
        <v>287</v>
      </c>
      <c r="D215" s="2" t="s">
        <v>975</v>
      </c>
      <c r="E215" s="2" t="s">
        <v>976</v>
      </c>
      <c r="F215" s="2" t="s">
        <v>1744</v>
      </c>
      <c r="G215" s="2" t="s">
        <v>1745</v>
      </c>
      <c r="H215" s="2" t="s">
        <v>533</v>
      </c>
      <c r="I215" s="2" t="s">
        <v>1746</v>
      </c>
      <c r="J215" s="2" t="s">
        <v>434</v>
      </c>
      <c r="K215" s="2" t="s">
        <v>336</v>
      </c>
      <c r="L215" s="3">
        <v>180.5</v>
      </c>
      <c r="M215" s="3">
        <v>189.52</v>
      </c>
      <c r="N215" s="3">
        <v>379</v>
      </c>
      <c r="O215" s="2" t="s">
        <v>203</v>
      </c>
      <c r="P215" s="2" t="s">
        <v>204</v>
      </c>
      <c r="Q215" s="2" t="s">
        <v>205</v>
      </c>
      <c r="R215" s="2" t="s">
        <v>206</v>
      </c>
      <c r="S215" s="2" t="s">
        <v>1752</v>
      </c>
      <c r="T215" s="2" t="s">
        <v>206</v>
      </c>
      <c r="U215" s="2" t="s">
        <v>206</v>
      </c>
      <c r="V215" s="2" t="s">
        <v>209</v>
      </c>
      <c r="W215" s="2" t="s">
        <v>539</v>
      </c>
      <c r="X215" s="2" t="s">
        <v>206</v>
      </c>
      <c r="Y215" s="2" t="s">
        <v>211</v>
      </c>
      <c r="Z215" s="4">
        <v>149</v>
      </c>
      <c r="AA215" s="4">
        <f>=ROUNDDOWN(29.8,0)</f>
      </c>
      <c r="AB215" s="5">
        <v>5</v>
      </c>
      <c r="AC215" s="2" t="s">
        <v>1085</v>
      </c>
      <c r="AD215" s="4">
        <v>100</v>
      </c>
      <c r="AE215" s="4">
        <v>100</v>
      </c>
      <c r="AF215" s="6">
        <v>66</v>
      </c>
      <c r="AG215" s="6">
        <v>49</v>
      </c>
      <c r="AH215" s="7">
        <v>1</v>
      </c>
      <c r="AI215" s="4"/>
      <c r="AJ215" s="4">
        <f>=ROUNDDOWN({0},0)</f>
      </c>
      <c r="AK215" s="5"/>
      <c r="AL215" s="2" t="s">
        <v>206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206</v>
      </c>
      <c r="BD215" s="8" t="s">
        <v>206</v>
      </c>
      <c r="BE215" s="4" t="s">
        <v>206</v>
      </c>
      <c r="BF215" s="8" t="s">
        <v>206</v>
      </c>
      <c r="BG215" s="7" t="s">
        <v>206</v>
      </c>
      <c r="BH215" s="7" t="s">
        <v>206</v>
      </c>
      <c r="BI215" s="7"/>
      <c r="BJ215" s="4">
        <v>20</v>
      </c>
      <c r="BK215" s="8">
        <v>2955.93</v>
      </c>
      <c r="BL215" s="2" t="s">
        <v>1753</v>
      </c>
      <c r="BM215" s="7"/>
      <c r="BN215" s="7"/>
      <c r="BO215" s="4"/>
      <c r="BP215" s="8"/>
      <c r="BQ215" s="4"/>
      <c r="BR215" s="8"/>
      <c r="BS215" s="7"/>
      <c r="BT215" s="7"/>
      <c r="BU215" s="2" t="s">
        <v>1754</v>
      </c>
      <c r="BV215" s="2" t="s">
        <v>206</v>
      </c>
      <c r="BW215" s="2" t="s">
        <v>206</v>
      </c>
      <c r="BX215" s="2" t="s">
        <v>214</v>
      </c>
      <c r="BY215" s="2" t="s">
        <v>215</v>
      </c>
      <c r="BZ215" s="2" t="s">
        <v>203</v>
      </c>
      <c r="CA215" s="2" t="s">
        <v>216</v>
      </c>
      <c r="CB215" s="2" t="s">
        <v>1755</v>
      </c>
      <c r="CC215" s="2" t="s">
        <v>218</v>
      </c>
      <c r="CD215" s="2" t="s">
        <v>206</v>
      </c>
      <c r="CE215" s="4"/>
      <c r="CF215" s="4">
        <v>144</v>
      </c>
      <c r="CG215" s="4"/>
      <c r="CH215" s="4">
        <v>5</v>
      </c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>
        <v>100</v>
      </c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</row>
    <row r="216">
      <c r="A216" s="2" t="s">
        <v>1756</v>
      </c>
      <c r="B216" s="2" t="s">
        <v>461</v>
      </c>
      <c r="C216" s="2" t="s">
        <v>287</v>
      </c>
      <c r="D216" s="2" t="s">
        <v>975</v>
      </c>
      <c r="E216" s="2" t="s">
        <v>976</v>
      </c>
      <c r="F216" s="2" t="s">
        <v>1744</v>
      </c>
      <c r="G216" s="2" t="s">
        <v>1745</v>
      </c>
      <c r="H216" s="2" t="s">
        <v>533</v>
      </c>
      <c r="I216" s="2" t="s">
        <v>1746</v>
      </c>
      <c r="J216" s="2" t="s">
        <v>434</v>
      </c>
      <c r="K216" s="2" t="s">
        <v>794</v>
      </c>
      <c r="L216" s="3">
        <v>180.5</v>
      </c>
      <c r="M216" s="3">
        <v>189.52</v>
      </c>
      <c r="N216" s="3">
        <v>379</v>
      </c>
      <c r="O216" s="2" t="s">
        <v>203</v>
      </c>
      <c r="P216" s="2" t="s">
        <v>204</v>
      </c>
      <c r="Q216" s="2" t="s">
        <v>205</v>
      </c>
      <c r="R216" s="2" t="s">
        <v>206</v>
      </c>
      <c r="S216" s="2" t="s">
        <v>1757</v>
      </c>
      <c r="T216" s="2" t="s">
        <v>206</v>
      </c>
      <c r="U216" s="2" t="s">
        <v>206</v>
      </c>
      <c r="V216" s="2" t="s">
        <v>468</v>
      </c>
      <c r="W216" s="2" t="s">
        <v>453</v>
      </c>
      <c r="X216" s="2" t="s">
        <v>206</v>
      </c>
      <c r="Y216" s="2" t="s">
        <v>211</v>
      </c>
      <c r="Z216" s="4">
        <v>170</v>
      </c>
      <c r="AA216" s="4">
        <f>=ROUNDDOWN(28.3333333333333,0)</f>
      </c>
      <c r="AB216" s="5">
        <v>6</v>
      </c>
      <c r="AC216" s="2" t="s">
        <v>1758</v>
      </c>
      <c r="AD216" s="4">
        <v>100</v>
      </c>
      <c r="AE216" s="4">
        <v>100</v>
      </c>
      <c r="AF216" s="6">
        <v>66</v>
      </c>
      <c r="AG216" s="6">
        <v>49</v>
      </c>
      <c r="AH216" s="7">
        <v>1</v>
      </c>
      <c r="AI216" s="4"/>
      <c r="AJ216" s="4">
        <f>=ROUNDDOWN({0},0)</f>
      </c>
      <c r="AK216" s="5"/>
      <c r="AL216" s="2" t="s">
        <v>206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 t="s">
        <v>206</v>
      </c>
      <c r="BD216" s="8" t="s">
        <v>206</v>
      </c>
      <c r="BE216" s="4" t="s">
        <v>206</v>
      </c>
      <c r="BF216" s="8" t="s">
        <v>206</v>
      </c>
      <c r="BG216" s="7" t="s">
        <v>206</v>
      </c>
      <c r="BH216" s="7" t="s">
        <v>206</v>
      </c>
      <c r="BI216" s="7"/>
      <c r="BJ216" s="4">
        <v>21</v>
      </c>
      <c r="BK216" s="8">
        <v>3467.37</v>
      </c>
      <c r="BL216" s="2" t="s">
        <v>1759</v>
      </c>
      <c r="BM216" s="7"/>
      <c r="BN216" s="7"/>
      <c r="BO216" s="4"/>
      <c r="BP216" s="8"/>
      <c r="BQ216" s="4"/>
      <c r="BR216" s="8"/>
      <c r="BS216" s="7"/>
      <c r="BT216" s="7"/>
      <c r="BU216" s="2" t="s">
        <v>1760</v>
      </c>
      <c r="BV216" s="2" t="s">
        <v>206</v>
      </c>
      <c r="BW216" s="2" t="s">
        <v>206</v>
      </c>
      <c r="BX216" s="2" t="s">
        <v>214</v>
      </c>
      <c r="BY216" s="2" t="s">
        <v>215</v>
      </c>
      <c r="BZ216" s="2" t="s">
        <v>203</v>
      </c>
      <c r="CA216" s="2" t="s">
        <v>1761</v>
      </c>
      <c r="CB216" s="2" t="s">
        <v>1762</v>
      </c>
      <c r="CC216" s="2" t="s">
        <v>218</v>
      </c>
      <c r="CD216" s="2" t="s">
        <v>206</v>
      </c>
      <c r="CE216" s="4"/>
      <c r="CF216" s="4">
        <v>145</v>
      </c>
      <c r="CG216" s="4"/>
      <c r="CH216" s="4">
        <v>25</v>
      </c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>
        <v>100</v>
      </c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</row>
    <row r="217">
      <c r="A217" s="2" t="s">
        <v>1763</v>
      </c>
      <c r="B217" s="2" t="s">
        <v>195</v>
      </c>
      <c r="C217" s="2" t="s">
        <v>1316</v>
      </c>
      <c r="D217" s="2" t="s">
        <v>529</v>
      </c>
      <c r="E217" s="2" t="s">
        <v>1764</v>
      </c>
      <c r="F217" s="2" t="s">
        <v>1765</v>
      </c>
      <c r="G217" s="2" t="s">
        <v>1765</v>
      </c>
      <c r="H217" s="2" t="s">
        <v>1765</v>
      </c>
      <c r="I217" s="2" t="s">
        <v>1766</v>
      </c>
      <c r="J217" s="2" t="s">
        <v>821</v>
      </c>
      <c r="K217" s="2" t="s">
        <v>483</v>
      </c>
      <c r="L217" s="3">
        <v>21.42</v>
      </c>
      <c r="M217" s="3">
        <v>22.49</v>
      </c>
      <c r="N217" s="3">
        <v>49.99</v>
      </c>
      <c r="O217" s="2" t="s">
        <v>203</v>
      </c>
      <c r="P217" s="2" t="s">
        <v>204</v>
      </c>
      <c r="Q217" s="2" t="s">
        <v>205</v>
      </c>
      <c r="R217" s="2" t="s">
        <v>206</v>
      </c>
      <c r="S217" s="2" t="s">
        <v>1767</v>
      </c>
      <c r="T217" s="2" t="s">
        <v>1768</v>
      </c>
      <c r="U217" s="2" t="s">
        <v>437</v>
      </c>
      <c r="V217" s="2" t="s">
        <v>209</v>
      </c>
      <c r="W217" s="2" t="s">
        <v>210</v>
      </c>
      <c r="X217" s="2" t="s">
        <v>206</v>
      </c>
      <c r="Y217" s="2" t="s">
        <v>1265</v>
      </c>
      <c r="Z217" s="4">
        <v>271</v>
      </c>
      <c r="AA217" s="4">
        <f>=ROUNDDOWN(30.1111111111111,0)</f>
      </c>
      <c r="AB217" s="5">
        <v>9</v>
      </c>
      <c r="AC217" s="2" t="s">
        <v>119</v>
      </c>
      <c r="AD217" s="4">
        <v>150</v>
      </c>
      <c r="AE217" s="4">
        <v>150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206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 t="s">
        <v>206</v>
      </c>
      <c r="BD217" s="8" t="s">
        <v>206</v>
      </c>
      <c r="BE217" s="4" t="s">
        <v>206</v>
      </c>
      <c r="BF217" s="8" t="s">
        <v>206</v>
      </c>
      <c r="BG217" s="7" t="s">
        <v>206</v>
      </c>
      <c r="BH217" s="7" t="s">
        <v>206</v>
      </c>
      <c r="BI217" s="7"/>
      <c r="BJ217" s="4"/>
      <c r="BK217" s="8"/>
      <c r="BL217" s="2" t="s">
        <v>206</v>
      </c>
      <c r="BM217" s="7"/>
      <c r="BN217" s="7"/>
      <c r="BO217" s="4"/>
      <c r="BP217" s="8"/>
      <c r="BQ217" s="4"/>
      <c r="BR217" s="8"/>
      <c r="BS217" s="7"/>
      <c r="BT217" s="7"/>
      <c r="BU217" s="2" t="s">
        <v>1769</v>
      </c>
      <c r="BV217" s="2" t="s">
        <v>206</v>
      </c>
      <c r="BW217" s="2" t="s">
        <v>206</v>
      </c>
      <c r="BX217" s="2" t="s">
        <v>214</v>
      </c>
      <c r="BY217" s="2" t="s">
        <v>215</v>
      </c>
      <c r="BZ217" s="2" t="s">
        <v>203</v>
      </c>
      <c r="CA217" s="2" t="s">
        <v>1770</v>
      </c>
      <c r="CB217" s="2" t="s">
        <v>1771</v>
      </c>
      <c r="CC217" s="2" t="s">
        <v>218</v>
      </c>
      <c r="CD217" s="2" t="s">
        <v>206</v>
      </c>
      <c r="CE217" s="4">
        <v>271</v>
      </c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>
        <v>150</v>
      </c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</row>
    <row r="218">
      <c r="A218" s="2" t="s">
        <v>1772</v>
      </c>
      <c r="B218" s="2" t="s">
        <v>195</v>
      </c>
      <c r="C218" s="2" t="s">
        <v>1316</v>
      </c>
      <c r="D218" s="2" t="s">
        <v>529</v>
      </c>
      <c r="E218" s="2" t="s">
        <v>1764</v>
      </c>
      <c r="F218" s="2" t="s">
        <v>1765</v>
      </c>
      <c r="G218" s="2" t="s">
        <v>1765</v>
      </c>
      <c r="H218" s="2" t="s">
        <v>1765</v>
      </c>
      <c r="I218" s="2" t="s">
        <v>1766</v>
      </c>
      <c r="J218" s="2" t="s">
        <v>821</v>
      </c>
      <c r="K218" s="2" t="s">
        <v>336</v>
      </c>
      <c r="L218" s="3">
        <v>21.42</v>
      </c>
      <c r="M218" s="3">
        <v>22.49</v>
      </c>
      <c r="N218" s="3">
        <v>49.99</v>
      </c>
      <c r="O218" s="2" t="s">
        <v>203</v>
      </c>
      <c r="P218" s="2" t="s">
        <v>204</v>
      </c>
      <c r="Q218" s="2" t="s">
        <v>205</v>
      </c>
      <c r="R218" s="2" t="s">
        <v>206</v>
      </c>
      <c r="S218" s="2" t="s">
        <v>1773</v>
      </c>
      <c r="T218" s="2" t="s">
        <v>1768</v>
      </c>
      <c r="U218" s="2" t="s">
        <v>437</v>
      </c>
      <c r="V218" s="2" t="s">
        <v>209</v>
      </c>
      <c r="W218" s="2" t="s">
        <v>210</v>
      </c>
      <c r="X218" s="2" t="s">
        <v>206</v>
      </c>
      <c r="Y218" s="2" t="s">
        <v>1770</v>
      </c>
      <c r="Z218" s="4">
        <v>253</v>
      </c>
      <c r="AA218" s="4">
        <f>=ROUNDDOWN(25.3,0)</f>
      </c>
      <c r="AB218" s="5">
        <v>10</v>
      </c>
      <c r="AC218" s="2" t="s">
        <v>119</v>
      </c>
      <c r="AD218" s="4">
        <v>130</v>
      </c>
      <c r="AE218" s="4">
        <v>180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206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206</v>
      </c>
      <c r="AW218" s="8" t="s">
        <v>206</v>
      </c>
      <c r="AX218" s="4" t="s">
        <v>206</v>
      </c>
      <c r="AY218" s="8" t="s">
        <v>206</v>
      </c>
      <c r="AZ218" s="7" t="s">
        <v>206</v>
      </c>
      <c r="BA218" s="7" t="s">
        <v>206</v>
      </c>
      <c r="BB218" s="7"/>
      <c r="BC218" s="4" t="s">
        <v>206</v>
      </c>
      <c r="BD218" s="8" t="s">
        <v>206</v>
      </c>
      <c r="BE218" s="4" t="s">
        <v>206</v>
      </c>
      <c r="BF218" s="8" t="s">
        <v>206</v>
      </c>
      <c r="BG218" s="7" t="s">
        <v>206</v>
      </c>
      <c r="BH218" s="7" t="s">
        <v>206</v>
      </c>
      <c r="BI218" s="7"/>
      <c r="BJ218" s="4">
        <v>16</v>
      </c>
      <c r="BK218" s="8">
        <v>393.53</v>
      </c>
      <c r="BL218" s="2" t="s">
        <v>1774</v>
      </c>
      <c r="BM218" s="7"/>
      <c r="BN218" s="7"/>
      <c r="BO218" s="4"/>
      <c r="BP218" s="8"/>
      <c r="BQ218" s="4"/>
      <c r="BR218" s="8"/>
      <c r="BS218" s="7"/>
      <c r="BT218" s="7"/>
      <c r="BU218" s="2" t="s">
        <v>1775</v>
      </c>
      <c r="BV218" s="2" t="s">
        <v>206</v>
      </c>
      <c r="BW218" s="2" t="s">
        <v>206</v>
      </c>
      <c r="BX218" s="2" t="s">
        <v>214</v>
      </c>
      <c r="BY218" s="2" t="s">
        <v>215</v>
      </c>
      <c r="BZ218" s="2" t="s">
        <v>203</v>
      </c>
      <c r="CA218" s="2" t="s">
        <v>1770</v>
      </c>
      <c r="CB218" s="2" t="s">
        <v>1776</v>
      </c>
      <c r="CC218" s="2" t="s">
        <v>218</v>
      </c>
      <c r="CD218" s="2" t="s">
        <v>206</v>
      </c>
      <c r="CE218" s="4">
        <v>253</v>
      </c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>
        <v>130</v>
      </c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>
        <v>50</v>
      </c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</row>
    <row r="219">
      <c r="A219" s="2" t="s">
        <v>1777</v>
      </c>
      <c r="B219" s="2" t="s">
        <v>195</v>
      </c>
      <c r="C219" s="2" t="s">
        <v>1316</v>
      </c>
      <c r="D219" s="2" t="s">
        <v>529</v>
      </c>
      <c r="E219" s="2" t="s">
        <v>1764</v>
      </c>
      <c r="F219" s="2" t="s">
        <v>1765</v>
      </c>
      <c r="G219" s="2" t="s">
        <v>1765</v>
      </c>
      <c r="H219" s="2" t="s">
        <v>1765</v>
      </c>
      <c r="I219" s="2" t="s">
        <v>1766</v>
      </c>
      <c r="J219" s="2" t="s">
        <v>593</v>
      </c>
      <c r="K219" s="2" t="s">
        <v>336</v>
      </c>
      <c r="L219" s="3">
        <v>25.14</v>
      </c>
      <c r="M219" s="3">
        <v>26.4</v>
      </c>
      <c r="N219" s="3">
        <v>54.99</v>
      </c>
      <c r="O219" s="2" t="s">
        <v>203</v>
      </c>
      <c r="P219" s="2" t="s">
        <v>204</v>
      </c>
      <c r="Q219" s="2" t="s">
        <v>205</v>
      </c>
      <c r="R219" s="2" t="s">
        <v>206</v>
      </c>
      <c r="S219" s="2" t="s">
        <v>1773</v>
      </c>
      <c r="T219" s="2" t="s">
        <v>1768</v>
      </c>
      <c r="U219" s="2" t="s">
        <v>437</v>
      </c>
      <c r="V219" s="2" t="s">
        <v>209</v>
      </c>
      <c r="W219" s="2" t="s">
        <v>210</v>
      </c>
      <c r="X219" s="2" t="s">
        <v>206</v>
      </c>
      <c r="Y219" s="2" t="s">
        <v>1770</v>
      </c>
      <c r="Z219" s="4">
        <v>278</v>
      </c>
      <c r="AA219" s="4">
        <f>=ROUNDDOWN(21.3846153846154,0)</f>
      </c>
      <c r="AB219" s="5">
        <v>13</v>
      </c>
      <c r="AC219" s="2" t="s">
        <v>119</v>
      </c>
      <c r="AD219" s="4">
        <v>190</v>
      </c>
      <c r="AE219" s="4">
        <v>300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206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206</v>
      </c>
      <c r="AW219" s="8" t="s">
        <v>206</v>
      </c>
      <c r="AX219" s="4" t="s">
        <v>206</v>
      </c>
      <c r="AY219" s="8" t="s">
        <v>206</v>
      </c>
      <c r="AZ219" s="7" t="s">
        <v>206</v>
      </c>
      <c r="BA219" s="7" t="s">
        <v>206</v>
      </c>
      <c r="BB219" s="7"/>
      <c r="BC219" s="4" t="s">
        <v>206</v>
      </c>
      <c r="BD219" s="8" t="s">
        <v>206</v>
      </c>
      <c r="BE219" s="4" t="s">
        <v>206</v>
      </c>
      <c r="BF219" s="8" t="s">
        <v>206</v>
      </c>
      <c r="BG219" s="7" t="s">
        <v>206</v>
      </c>
      <c r="BH219" s="7" t="s">
        <v>206</v>
      </c>
      <c r="BI219" s="7"/>
      <c r="BJ219" s="4">
        <v>25</v>
      </c>
      <c r="BK219" s="8">
        <v>705.64</v>
      </c>
      <c r="BL219" s="2" t="s">
        <v>1778</v>
      </c>
      <c r="BM219" s="7"/>
      <c r="BN219" s="7"/>
      <c r="BO219" s="4"/>
      <c r="BP219" s="8"/>
      <c r="BQ219" s="4"/>
      <c r="BR219" s="8"/>
      <c r="BS219" s="7"/>
      <c r="BT219" s="7"/>
      <c r="BU219" s="2" t="s">
        <v>1779</v>
      </c>
      <c r="BV219" s="2" t="s">
        <v>206</v>
      </c>
      <c r="BW219" s="2" t="s">
        <v>206</v>
      </c>
      <c r="BX219" s="2" t="s">
        <v>214</v>
      </c>
      <c r="BY219" s="2" t="s">
        <v>215</v>
      </c>
      <c r="BZ219" s="2" t="s">
        <v>203</v>
      </c>
      <c r="CA219" s="2" t="s">
        <v>1770</v>
      </c>
      <c r="CB219" s="2" t="s">
        <v>1776</v>
      </c>
      <c r="CC219" s="2" t="s">
        <v>218</v>
      </c>
      <c r="CD219" s="2" t="s">
        <v>206</v>
      </c>
      <c r="CE219" s="4">
        <v>278</v>
      </c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>
        <v>190</v>
      </c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>
        <v>110</v>
      </c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</row>
    <row r="220">
      <c r="A220" s="2" t="s">
        <v>1780</v>
      </c>
      <c r="B220" s="2" t="s">
        <v>195</v>
      </c>
      <c r="C220" s="2" t="s">
        <v>1316</v>
      </c>
      <c r="D220" s="2" t="s">
        <v>529</v>
      </c>
      <c r="E220" s="2" t="s">
        <v>1764</v>
      </c>
      <c r="F220" s="2" t="s">
        <v>1765</v>
      </c>
      <c r="G220" s="2" t="s">
        <v>1765</v>
      </c>
      <c r="H220" s="2" t="s">
        <v>1765</v>
      </c>
      <c r="I220" s="2" t="s">
        <v>1766</v>
      </c>
      <c r="J220" s="2" t="s">
        <v>821</v>
      </c>
      <c r="K220" s="2" t="s">
        <v>605</v>
      </c>
      <c r="L220" s="3">
        <v>21.42</v>
      </c>
      <c r="M220" s="3">
        <v>22.49</v>
      </c>
      <c r="N220" s="3">
        <v>49.99</v>
      </c>
      <c r="O220" s="2" t="s">
        <v>203</v>
      </c>
      <c r="P220" s="2" t="s">
        <v>204</v>
      </c>
      <c r="Q220" s="2" t="s">
        <v>205</v>
      </c>
      <c r="R220" s="2" t="s">
        <v>206</v>
      </c>
      <c r="S220" s="2" t="s">
        <v>1781</v>
      </c>
      <c r="T220" s="2" t="s">
        <v>1768</v>
      </c>
      <c r="U220" s="2" t="s">
        <v>437</v>
      </c>
      <c r="V220" s="2" t="s">
        <v>209</v>
      </c>
      <c r="W220" s="2" t="s">
        <v>210</v>
      </c>
      <c r="X220" s="2" t="s">
        <v>206</v>
      </c>
      <c r="Y220" s="2" t="s">
        <v>1770</v>
      </c>
      <c r="Z220" s="4">
        <v>252</v>
      </c>
      <c r="AA220" s="4">
        <f>=ROUNDDOWN(31.5,0)</f>
      </c>
      <c r="AB220" s="5">
        <v>8</v>
      </c>
      <c r="AC220" s="2" t="s">
        <v>119</v>
      </c>
      <c r="AD220" s="4">
        <v>100</v>
      </c>
      <c r="AE220" s="4">
        <v>100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206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 t="s">
        <v>206</v>
      </c>
      <c r="BD220" s="8" t="s">
        <v>206</v>
      </c>
      <c r="BE220" s="4" t="s">
        <v>206</v>
      </c>
      <c r="BF220" s="8" t="s">
        <v>206</v>
      </c>
      <c r="BG220" s="7" t="s">
        <v>206</v>
      </c>
      <c r="BH220" s="7" t="s">
        <v>206</v>
      </c>
      <c r="BI220" s="7"/>
      <c r="BJ220" s="4">
        <v>5</v>
      </c>
      <c r="BK220" s="8">
        <v>121.45</v>
      </c>
      <c r="BL220" s="2" t="s">
        <v>1417</v>
      </c>
      <c r="BM220" s="7"/>
      <c r="BN220" s="7"/>
      <c r="BO220" s="4"/>
      <c r="BP220" s="8"/>
      <c r="BQ220" s="4"/>
      <c r="BR220" s="8"/>
      <c r="BS220" s="7"/>
      <c r="BT220" s="7"/>
      <c r="BU220" s="2" t="s">
        <v>1782</v>
      </c>
      <c r="BV220" s="2" t="s">
        <v>206</v>
      </c>
      <c r="BW220" s="2" t="s">
        <v>206</v>
      </c>
      <c r="BX220" s="2" t="s">
        <v>214</v>
      </c>
      <c r="BY220" s="2" t="s">
        <v>215</v>
      </c>
      <c r="BZ220" s="2" t="s">
        <v>203</v>
      </c>
      <c r="CA220" s="2" t="s">
        <v>1770</v>
      </c>
      <c r="CB220" s="2" t="s">
        <v>1783</v>
      </c>
      <c r="CC220" s="2" t="s">
        <v>218</v>
      </c>
      <c r="CD220" s="2" t="s">
        <v>206</v>
      </c>
      <c r="CE220" s="4">
        <v>252</v>
      </c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>
        <v>100</v>
      </c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</row>
    <row r="221">
      <c r="A221" s="2" t="s">
        <v>1784</v>
      </c>
      <c r="B221" s="2" t="s">
        <v>613</v>
      </c>
      <c r="C221" s="2" t="s">
        <v>1044</v>
      </c>
      <c r="D221" s="2" t="s">
        <v>628</v>
      </c>
      <c r="E221" s="2" t="s">
        <v>840</v>
      </c>
      <c r="F221" s="2" t="s">
        <v>1785</v>
      </c>
      <c r="G221" s="2" t="s">
        <v>1786</v>
      </c>
      <c r="H221" s="2" t="s">
        <v>1787</v>
      </c>
      <c r="I221" s="2" t="s">
        <v>1788</v>
      </c>
      <c r="J221" s="2" t="s">
        <v>1789</v>
      </c>
      <c r="K221" s="2" t="s">
        <v>353</v>
      </c>
      <c r="L221" s="3">
        <v>23.65</v>
      </c>
      <c r="M221" s="3">
        <v>24.83</v>
      </c>
      <c r="N221" s="3">
        <v>54.99</v>
      </c>
      <c r="O221" s="2" t="s">
        <v>203</v>
      </c>
      <c r="P221" s="2" t="s">
        <v>204</v>
      </c>
      <c r="Q221" s="2" t="s">
        <v>205</v>
      </c>
      <c r="R221" s="2" t="s">
        <v>206</v>
      </c>
      <c r="S221" s="2" t="s">
        <v>1790</v>
      </c>
      <c r="T221" s="2" t="s">
        <v>292</v>
      </c>
      <c r="U221" s="2" t="s">
        <v>900</v>
      </c>
      <c r="V221" s="2" t="s">
        <v>209</v>
      </c>
      <c r="W221" s="2" t="s">
        <v>439</v>
      </c>
      <c r="X221" s="2" t="s">
        <v>1722</v>
      </c>
      <c r="Y221" s="2" t="s">
        <v>1791</v>
      </c>
      <c r="Z221" s="4">
        <v>371</v>
      </c>
      <c r="AA221" s="4">
        <f>=ROUNDDOWN(41.2222222222222,0)</f>
      </c>
      <c r="AB221" s="5">
        <v>9</v>
      </c>
      <c r="AC221" s="2" t="s">
        <v>206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206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206</v>
      </c>
      <c r="AW221" s="8" t="s">
        <v>206</v>
      </c>
      <c r="AX221" s="4" t="s">
        <v>206</v>
      </c>
      <c r="AY221" s="8" t="s">
        <v>206</v>
      </c>
      <c r="AZ221" s="7" t="s">
        <v>206</v>
      </c>
      <c r="BA221" s="7" t="s">
        <v>206</v>
      </c>
      <c r="BB221" s="7"/>
      <c r="BC221" s="4" t="s">
        <v>206</v>
      </c>
      <c r="BD221" s="8" t="s">
        <v>206</v>
      </c>
      <c r="BE221" s="4" t="s">
        <v>206</v>
      </c>
      <c r="BF221" s="8" t="s">
        <v>206</v>
      </c>
      <c r="BG221" s="7" t="s">
        <v>206</v>
      </c>
      <c r="BH221" s="7" t="s">
        <v>206</v>
      </c>
      <c r="BI221" s="7"/>
      <c r="BJ221" s="4">
        <v>23</v>
      </c>
      <c r="BK221" s="8">
        <v>594.38</v>
      </c>
      <c r="BL221" s="2" t="s">
        <v>1792</v>
      </c>
      <c r="BM221" s="7"/>
      <c r="BN221" s="7"/>
      <c r="BO221" s="4"/>
      <c r="BP221" s="8"/>
      <c r="BQ221" s="4"/>
      <c r="BR221" s="8"/>
      <c r="BS221" s="7"/>
      <c r="BT221" s="7"/>
      <c r="BU221" s="2" t="s">
        <v>1793</v>
      </c>
      <c r="BV221" s="2" t="s">
        <v>206</v>
      </c>
      <c r="BW221" s="2" t="s">
        <v>206</v>
      </c>
      <c r="BX221" s="2" t="s">
        <v>214</v>
      </c>
      <c r="BY221" s="2" t="s">
        <v>215</v>
      </c>
      <c r="BZ221" s="2" t="s">
        <v>203</v>
      </c>
      <c r="CA221" s="2" t="s">
        <v>1794</v>
      </c>
      <c r="CB221" s="2" t="s">
        <v>1795</v>
      </c>
      <c r="CC221" s="2" t="s">
        <v>218</v>
      </c>
      <c r="CD221" s="2" t="s">
        <v>206</v>
      </c>
      <c r="CE221" s="4">
        <v>72</v>
      </c>
      <c r="CF221" s="4"/>
      <c r="CG221" s="4"/>
      <c r="CH221" s="4">
        <v>299</v>
      </c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</row>
    <row r="222">
      <c r="A222" s="2" t="s">
        <v>1796</v>
      </c>
      <c r="B222" s="2" t="s">
        <v>613</v>
      </c>
      <c r="C222" s="2" t="s">
        <v>1044</v>
      </c>
      <c r="D222" s="2" t="s">
        <v>628</v>
      </c>
      <c r="E222" s="2" t="s">
        <v>840</v>
      </c>
      <c r="F222" s="2" t="s">
        <v>1785</v>
      </c>
      <c r="G222" s="2" t="s">
        <v>1786</v>
      </c>
      <c r="H222" s="2" t="s">
        <v>1787</v>
      </c>
      <c r="I222" s="2" t="s">
        <v>1788</v>
      </c>
      <c r="J222" s="2" t="s">
        <v>1797</v>
      </c>
      <c r="K222" s="2" t="s">
        <v>353</v>
      </c>
      <c r="L222" s="3">
        <v>25.8</v>
      </c>
      <c r="M222" s="3">
        <v>27.09</v>
      </c>
      <c r="N222" s="3">
        <v>59.99</v>
      </c>
      <c r="O222" s="2" t="s">
        <v>203</v>
      </c>
      <c r="P222" s="2" t="s">
        <v>204</v>
      </c>
      <c r="Q222" s="2" t="s">
        <v>205</v>
      </c>
      <c r="R222" s="2" t="s">
        <v>206</v>
      </c>
      <c r="S222" s="2" t="s">
        <v>1790</v>
      </c>
      <c r="T222" s="2" t="s">
        <v>292</v>
      </c>
      <c r="U222" s="2" t="s">
        <v>900</v>
      </c>
      <c r="V222" s="2" t="s">
        <v>209</v>
      </c>
      <c r="W222" s="2" t="s">
        <v>439</v>
      </c>
      <c r="X222" s="2" t="s">
        <v>1722</v>
      </c>
      <c r="Y222" s="2" t="s">
        <v>1791</v>
      </c>
      <c r="Z222" s="4">
        <v>506</v>
      </c>
      <c r="AA222" s="4">
        <f>=ROUNDDOWN(42.1666666666667,0)</f>
      </c>
      <c r="AB222" s="5">
        <v>12</v>
      </c>
      <c r="AC222" s="2" t="s">
        <v>206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206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206</v>
      </c>
      <c r="AW222" s="8" t="s">
        <v>206</v>
      </c>
      <c r="AX222" s="4" t="s">
        <v>206</v>
      </c>
      <c r="AY222" s="8" t="s">
        <v>206</v>
      </c>
      <c r="AZ222" s="7" t="s">
        <v>206</v>
      </c>
      <c r="BA222" s="7" t="s">
        <v>206</v>
      </c>
      <c r="BB222" s="7"/>
      <c r="BC222" s="4" t="s">
        <v>206</v>
      </c>
      <c r="BD222" s="8" t="s">
        <v>206</v>
      </c>
      <c r="BE222" s="4" t="s">
        <v>206</v>
      </c>
      <c r="BF222" s="8" t="s">
        <v>206</v>
      </c>
      <c r="BG222" s="7" t="s">
        <v>206</v>
      </c>
      <c r="BH222" s="7" t="s">
        <v>206</v>
      </c>
      <c r="BI222" s="7"/>
      <c r="BJ222" s="4">
        <v>41</v>
      </c>
      <c r="BK222" s="8">
        <v>1129.34</v>
      </c>
      <c r="BL222" s="2" t="s">
        <v>1798</v>
      </c>
      <c r="BM222" s="7"/>
      <c r="BN222" s="7"/>
      <c r="BO222" s="4"/>
      <c r="BP222" s="8"/>
      <c r="BQ222" s="4"/>
      <c r="BR222" s="8"/>
      <c r="BS222" s="7"/>
      <c r="BT222" s="7"/>
      <c r="BU222" s="2" t="s">
        <v>1799</v>
      </c>
      <c r="BV222" s="2" t="s">
        <v>206</v>
      </c>
      <c r="BW222" s="2" t="s">
        <v>206</v>
      </c>
      <c r="BX222" s="2" t="s">
        <v>214</v>
      </c>
      <c r="BY222" s="2" t="s">
        <v>215</v>
      </c>
      <c r="BZ222" s="2" t="s">
        <v>203</v>
      </c>
      <c r="CA222" s="2" t="s">
        <v>1794</v>
      </c>
      <c r="CB222" s="2" t="s">
        <v>1800</v>
      </c>
      <c r="CC222" s="2" t="s">
        <v>218</v>
      </c>
      <c r="CD222" s="2" t="s">
        <v>206</v>
      </c>
      <c r="CE222" s="4">
        <v>162</v>
      </c>
      <c r="CF222" s="4"/>
      <c r="CG222" s="4"/>
      <c r="CH222" s="4">
        <v>344</v>
      </c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</row>
    <row r="223">
      <c r="A223" s="2" t="s">
        <v>1801</v>
      </c>
      <c r="B223" s="2" t="s">
        <v>613</v>
      </c>
      <c r="C223" s="2" t="s">
        <v>287</v>
      </c>
      <c r="D223" s="2" t="s">
        <v>628</v>
      </c>
      <c r="E223" s="2" t="s">
        <v>1802</v>
      </c>
      <c r="F223" s="2" t="s">
        <v>1785</v>
      </c>
      <c r="G223" s="2" t="s">
        <v>1786</v>
      </c>
      <c r="H223" s="2" t="s">
        <v>1787</v>
      </c>
      <c r="I223" s="2" t="s">
        <v>1803</v>
      </c>
      <c r="J223" s="2" t="s">
        <v>1804</v>
      </c>
      <c r="K223" s="2" t="s">
        <v>353</v>
      </c>
      <c r="L223" s="3">
        <v>27</v>
      </c>
      <c r="M223" s="3">
        <v>28.35</v>
      </c>
      <c r="N223" s="3">
        <v>59.99</v>
      </c>
      <c r="O223" s="2" t="s">
        <v>203</v>
      </c>
      <c r="P223" s="2" t="s">
        <v>204</v>
      </c>
      <c r="Q223" s="2" t="s">
        <v>205</v>
      </c>
      <c r="R223" s="2" t="s">
        <v>206</v>
      </c>
      <c r="S223" s="2" t="s">
        <v>1790</v>
      </c>
      <c r="T223" s="2" t="s">
        <v>292</v>
      </c>
      <c r="U223" s="2" t="s">
        <v>437</v>
      </c>
      <c r="V223" s="2" t="s">
        <v>209</v>
      </c>
      <c r="W223" s="2" t="s">
        <v>439</v>
      </c>
      <c r="X223" s="2" t="s">
        <v>206</v>
      </c>
      <c r="Y223" s="2" t="s">
        <v>1280</v>
      </c>
      <c r="Z223" s="4">
        <v>220</v>
      </c>
      <c r="AA223" s="4">
        <f>=ROUNDDOWN(22,0)</f>
      </c>
      <c r="AB223" s="5">
        <v>10</v>
      </c>
      <c r="AC223" s="2" t="s">
        <v>1098</v>
      </c>
      <c r="AD223" s="4">
        <v>180</v>
      </c>
      <c r="AE223" s="4">
        <v>180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206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206</v>
      </c>
      <c r="AW223" s="8" t="s">
        <v>206</v>
      </c>
      <c r="AX223" s="4" t="s">
        <v>206</v>
      </c>
      <c r="AY223" s="8" t="s">
        <v>206</v>
      </c>
      <c r="AZ223" s="7" t="s">
        <v>206</v>
      </c>
      <c r="BA223" s="7" t="s">
        <v>206</v>
      </c>
      <c r="BB223" s="7"/>
      <c r="BC223" s="4" t="s">
        <v>206</v>
      </c>
      <c r="BD223" s="8" t="s">
        <v>206</v>
      </c>
      <c r="BE223" s="4" t="s">
        <v>206</v>
      </c>
      <c r="BF223" s="8" t="s">
        <v>206</v>
      </c>
      <c r="BG223" s="7" t="s">
        <v>206</v>
      </c>
      <c r="BH223" s="7" t="s">
        <v>206</v>
      </c>
      <c r="BI223" s="7"/>
      <c r="BJ223" s="4">
        <v>26</v>
      </c>
      <c r="BK223" s="8">
        <v>808.47</v>
      </c>
      <c r="BL223" s="2" t="s">
        <v>1805</v>
      </c>
      <c r="BM223" s="7"/>
      <c r="BN223" s="7"/>
      <c r="BO223" s="4"/>
      <c r="BP223" s="8"/>
      <c r="BQ223" s="4"/>
      <c r="BR223" s="8"/>
      <c r="BS223" s="7"/>
      <c r="BT223" s="7"/>
      <c r="BU223" s="2" t="s">
        <v>1806</v>
      </c>
      <c r="BV223" s="2" t="s">
        <v>206</v>
      </c>
      <c r="BW223" s="2" t="s">
        <v>206</v>
      </c>
      <c r="BX223" s="2" t="s">
        <v>214</v>
      </c>
      <c r="BY223" s="2" t="s">
        <v>215</v>
      </c>
      <c r="BZ223" s="2" t="s">
        <v>203</v>
      </c>
      <c r="CA223" s="2" t="s">
        <v>1807</v>
      </c>
      <c r="CB223" s="2" t="s">
        <v>1808</v>
      </c>
      <c r="CC223" s="2" t="s">
        <v>218</v>
      </c>
      <c r="CD223" s="2" t="s">
        <v>206</v>
      </c>
      <c r="CE223" s="4">
        <v>220</v>
      </c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>
        <v>180</v>
      </c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</row>
    <row r="224">
      <c r="A224" s="2" t="s">
        <v>1809</v>
      </c>
      <c r="B224" s="2" t="s">
        <v>613</v>
      </c>
      <c r="C224" s="2" t="s">
        <v>287</v>
      </c>
      <c r="D224" s="2" t="s">
        <v>628</v>
      </c>
      <c r="E224" s="2" t="s">
        <v>1802</v>
      </c>
      <c r="F224" s="2" t="s">
        <v>1785</v>
      </c>
      <c r="G224" s="2" t="s">
        <v>1786</v>
      </c>
      <c r="H224" s="2" t="s">
        <v>1787</v>
      </c>
      <c r="I224" s="2" t="s">
        <v>1803</v>
      </c>
      <c r="J224" s="2" t="s">
        <v>1810</v>
      </c>
      <c r="K224" s="2" t="s">
        <v>353</v>
      </c>
      <c r="L224" s="3">
        <v>29.25</v>
      </c>
      <c r="M224" s="3">
        <v>30.71</v>
      </c>
      <c r="N224" s="3">
        <v>64.99</v>
      </c>
      <c r="O224" s="2" t="s">
        <v>203</v>
      </c>
      <c r="P224" s="2" t="s">
        <v>204</v>
      </c>
      <c r="Q224" s="2" t="s">
        <v>205</v>
      </c>
      <c r="R224" s="2" t="s">
        <v>206</v>
      </c>
      <c r="S224" s="2" t="s">
        <v>1790</v>
      </c>
      <c r="T224" s="2" t="s">
        <v>292</v>
      </c>
      <c r="U224" s="2" t="s">
        <v>437</v>
      </c>
      <c r="V224" s="2" t="s">
        <v>209</v>
      </c>
      <c r="W224" s="2" t="s">
        <v>439</v>
      </c>
      <c r="X224" s="2" t="s">
        <v>206</v>
      </c>
      <c r="Y224" s="2" t="s">
        <v>1280</v>
      </c>
      <c r="Z224" s="4">
        <v>86</v>
      </c>
      <c r="AA224" s="4">
        <f>=ROUNDDOWN(10.75,0)</f>
      </c>
      <c r="AB224" s="5">
        <v>8</v>
      </c>
      <c r="AC224" s="2" t="s">
        <v>113</v>
      </c>
      <c r="AD224" s="4">
        <v>120</v>
      </c>
      <c r="AE224" s="4">
        <v>282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206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206</v>
      </c>
      <c r="AW224" s="8" t="s">
        <v>206</v>
      </c>
      <c r="AX224" s="4" t="s">
        <v>206</v>
      </c>
      <c r="AY224" s="8" t="s">
        <v>206</v>
      </c>
      <c r="AZ224" s="7" t="s">
        <v>206</v>
      </c>
      <c r="BA224" s="7" t="s">
        <v>206</v>
      </c>
      <c r="BB224" s="7"/>
      <c r="BC224" s="4" t="s">
        <v>206</v>
      </c>
      <c r="BD224" s="8" t="s">
        <v>206</v>
      </c>
      <c r="BE224" s="4" t="s">
        <v>206</v>
      </c>
      <c r="BF224" s="8" t="s">
        <v>206</v>
      </c>
      <c r="BG224" s="7" t="s">
        <v>206</v>
      </c>
      <c r="BH224" s="7" t="s">
        <v>206</v>
      </c>
      <c r="BI224" s="7"/>
      <c r="BJ224" s="4">
        <v>16</v>
      </c>
      <c r="BK224" s="8">
        <v>681.64</v>
      </c>
      <c r="BL224" s="2" t="s">
        <v>1811</v>
      </c>
      <c r="BM224" s="7"/>
      <c r="BN224" s="7"/>
      <c r="BO224" s="4"/>
      <c r="BP224" s="8"/>
      <c r="BQ224" s="4"/>
      <c r="BR224" s="8"/>
      <c r="BS224" s="7"/>
      <c r="BT224" s="7"/>
      <c r="BU224" s="2" t="s">
        <v>1812</v>
      </c>
      <c r="BV224" s="2" t="s">
        <v>206</v>
      </c>
      <c r="BW224" s="2" t="s">
        <v>206</v>
      </c>
      <c r="BX224" s="2" t="s">
        <v>214</v>
      </c>
      <c r="BY224" s="2" t="s">
        <v>215</v>
      </c>
      <c r="BZ224" s="2" t="s">
        <v>203</v>
      </c>
      <c r="CA224" s="2" t="s">
        <v>1807</v>
      </c>
      <c r="CB224" s="2" t="s">
        <v>1813</v>
      </c>
      <c r="CC224" s="2" t="s">
        <v>218</v>
      </c>
      <c r="CD224" s="2" t="s">
        <v>206</v>
      </c>
      <c r="CE224" s="4">
        <v>86</v>
      </c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>
        <v>120</v>
      </c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>
        <v>162</v>
      </c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</row>
    <row r="225">
      <c r="A225" s="2" t="s">
        <v>1814</v>
      </c>
      <c r="B225" s="2" t="s">
        <v>613</v>
      </c>
      <c r="C225" s="2" t="s">
        <v>287</v>
      </c>
      <c r="D225" s="2" t="s">
        <v>628</v>
      </c>
      <c r="E225" s="2" t="s">
        <v>1802</v>
      </c>
      <c r="F225" s="2" t="s">
        <v>1785</v>
      </c>
      <c r="G225" s="2" t="s">
        <v>1786</v>
      </c>
      <c r="H225" s="2" t="s">
        <v>1787</v>
      </c>
      <c r="I225" s="2" t="s">
        <v>1803</v>
      </c>
      <c r="J225" s="2" t="s">
        <v>1815</v>
      </c>
      <c r="K225" s="2" t="s">
        <v>353</v>
      </c>
      <c r="L225" s="3">
        <v>32.2</v>
      </c>
      <c r="M225" s="3">
        <v>33.81</v>
      </c>
      <c r="N225" s="3">
        <v>69.99</v>
      </c>
      <c r="O225" s="2" t="s">
        <v>203</v>
      </c>
      <c r="P225" s="2" t="s">
        <v>204</v>
      </c>
      <c r="Q225" s="2" t="s">
        <v>205</v>
      </c>
      <c r="R225" s="2" t="s">
        <v>206</v>
      </c>
      <c r="S225" s="2" t="s">
        <v>1790</v>
      </c>
      <c r="T225" s="2" t="s">
        <v>292</v>
      </c>
      <c r="U225" s="2" t="s">
        <v>437</v>
      </c>
      <c r="V225" s="2" t="s">
        <v>209</v>
      </c>
      <c r="W225" s="2" t="s">
        <v>439</v>
      </c>
      <c r="X225" s="2" t="s">
        <v>206</v>
      </c>
      <c r="Y225" s="2" t="s">
        <v>1280</v>
      </c>
      <c r="Z225" s="4">
        <v>179</v>
      </c>
      <c r="AA225" s="4">
        <f>=ROUNDDOWN(29.8333333333333,0)</f>
      </c>
      <c r="AB225" s="5">
        <v>6</v>
      </c>
      <c r="AC225" s="2" t="s">
        <v>206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206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206</v>
      </c>
      <c r="AW225" s="8" t="s">
        <v>206</v>
      </c>
      <c r="AX225" s="4" t="s">
        <v>206</v>
      </c>
      <c r="AY225" s="8" t="s">
        <v>206</v>
      </c>
      <c r="AZ225" s="7" t="s">
        <v>206</v>
      </c>
      <c r="BA225" s="7" t="s">
        <v>206</v>
      </c>
      <c r="BB225" s="7"/>
      <c r="BC225" s="4" t="s">
        <v>206</v>
      </c>
      <c r="BD225" s="8" t="s">
        <v>206</v>
      </c>
      <c r="BE225" s="4" t="s">
        <v>206</v>
      </c>
      <c r="BF225" s="8" t="s">
        <v>206</v>
      </c>
      <c r="BG225" s="7" t="s">
        <v>206</v>
      </c>
      <c r="BH225" s="7" t="s">
        <v>206</v>
      </c>
      <c r="BI225" s="7"/>
      <c r="BJ225" s="4">
        <v>32</v>
      </c>
      <c r="BK225" s="8">
        <v>1138.18</v>
      </c>
      <c r="BL225" s="2" t="s">
        <v>1816</v>
      </c>
      <c r="BM225" s="7"/>
      <c r="BN225" s="7"/>
      <c r="BO225" s="4"/>
      <c r="BP225" s="8"/>
      <c r="BQ225" s="4"/>
      <c r="BR225" s="8"/>
      <c r="BS225" s="7"/>
      <c r="BT225" s="7"/>
      <c r="BU225" s="2" t="s">
        <v>1817</v>
      </c>
      <c r="BV225" s="2" t="s">
        <v>206</v>
      </c>
      <c r="BW225" s="2" t="s">
        <v>206</v>
      </c>
      <c r="BX225" s="2" t="s">
        <v>214</v>
      </c>
      <c r="BY225" s="2" t="s">
        <v>215</v>
      </c>
      <c r="BZ225" s="2" t="s">
        <v>203</v>
      </c>
      <c r="CA225" s="2" t="s">
        <v>1807</v>
      </c>
      <c r="CB225" s="2" t="s">
        <v>444</v>
      </c>
      <c r="CC225" s="2" t="s">
        <v>218</v>
      </c>
      <c r="CD225" s="2" t="s">
        <v>206</v>
      </c>
      <c r="CE225" s="4">
        <v>179</v>
      </c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</row>
    <row r="226">
      <c r="A226" s="2" t="s">
        <v>1818</v>
      </c>
      <c r="B226" s="2" t="s">
        <v>613</v>
      </c>
      <c r="C226" s="2" t="s">
        <v>287</v>
      </c>
      <c r="D226" s="2" t="s">
        <v>628</v>
      </c>
      <c r="E226" s="2" t="s">
        <v>1802</v>
      </c>
      <c r="F226" s="2" t="s">
        <v>1785</v>
      </c>
      <c r="G226" s="2" t="s">
        <v>1786</v>
      </c>
      <c r="H226" s="2" t="s">
        <v>1787</v>
      </c>
      <c r="I226" s="2" t="s">
        <v>1803</v>
      </c>
      <c r="J226" s="2" t="s">
        <v>1819</v>
      </c>
      <c r="K226" s="2" t="s">
        <v>353</v>
      </c>
      <c r="L226" s="3">
        <v>34.5</v>
      </c>
      <c r="M226" s="3">
        <v>36.23</v>
      </c>
      <c r="N226" s="3">
        <v>74.99</v>
      </c>
      <c r="O226" s="2" t="s">
        <v>203</v>
      </c>
      <c r="P226" s="2" t="s">
        <v>204</v>
      </c>
      <c r="Q226" s="2" t="s">
        <v>205</v>
      </c>
      <c r="R226" s="2" t="s">
        <v>206</v>
      </c>
      <c r="S226" s="2" t="s">
        <v>1790</v>
      </c>
      <c r="T226" s="2" t="s">
        <v>292</v>
      </c>
      <c r="U226" s="2" t="s">
        <v>437</v>
      </c>
      <c r="V226" s="2" t="s">
        <v>209</v>
      </c>
      <c r="W226" s="2" t="s">
        <v>439</v>
      </c>
      <c r="X226" s="2" t="s">
        <v>206</v>
      </c>
      <c r="Y226" s="2" t="s">
        <v>1280</v>
      </c>
      <c r="Z226" s="4">
        <v>155</v>
      </c>
      <c r="AA226" s="4">
        <f>=ROUNDDOWN(11.0714285714286,0)</f>
      </c>
      <c r="AB226" s="5">
        <v>14</v>
      </c>
      <c r="AC226" s="2" t="s">
        <v>113</v>
      </c>
      <c r="AD226" s="4">
        <v>204</v>
      </c>
      <c r="AE226" s="4">
        <v>486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206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206</v>
      </c>
      <c r="AW226" s="8" t="s">
        <v>206</v>
      </c>
      <c r="AX226" s="4" t="s">
        <v>206</v>
      </c>
      <c r="AY226" s="8" t="s">
        <v>206</v>
      </c>
      <c r="AZ226" s="7" t="s">
        <v>206</v>
      </c>
      <c r="BA226" s="7" t="s">
        <v>206</v>
      </c>
      <c r="BB226" s="7"/>
      <c r="BC226" s="4" t="s">
        <v>206</v>
      </c>
      <c r="BD226" s="8" t="s">
        <v>206</v>
      </c>
      <c r="BE226" s="4" t="s">
        <v>206</v>
      </c>
      <c r="BF226" s="8" t="s">
        <v>206</v>
      </c>
      <c r="BG226" s="7" t="s">
        <v>206</v>
      </c>
      <c r="BH226" s="7" t="s">
        <v>206</v>
      </c>
      <c r="BI226" s="7"/>
      <c r="BJ226" s="4">
        <v>50</v>
      </c>
      <c r="BK226" s="8">
        <v>1902.14</v>
      </c>
      <c r="BL226" s="2" t="s">
        <v>1820</v>
      </c>
      <c r="BM226" s="7"/>
      <c r="BN226" s="7"/>
      <c r="BO226" s="4"/>
      <c r="BP226" s="8"/>
      <c r="BQ226" s="4"/>
      <c r="BR226" s="8"/>
      <c r="BS226" s="7"/>
      <c r="BT226" s="7"/>
      <c r="BU226" s="2" t="s">
        <v>1821</v>
      </c>
      <c r="BV226" s="2" t="s">
        <v>206</v>
      </c>
      <c r="BW226" s="2" t="s">
        <v>206</v>
      </c>
      <c r="BX226" s="2" t="s">
        <v>214</v>
      </c>
      <c r="BY226" s="2" t="s">
        <v>215</v>
      </c>
      <c r="BZ226" s="2" t="s">
        <v>203</v>
      </c>
      <c r="CA226" s="2" t="s">
        <v>1807</v>
      </c>
      <c r="CB226" s="2" t="s">
        <v>1822</v>
      </c>
      <c r="CC226" s="2" t="s">
        <v>218</v>
      </c>
      <c r="CD226" s="2" t="s">
        <v>206</v>
      </c>
      <c r="CE226" s="4">
        <v>155</v>
      </c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>
        <v>204</v>
      </c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>
        <v>282</v>
      </c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</row>
    <row r="227">
      <c r="A227" s="2" t="s">
        <v>1823</v>
      </c>
      <c r="B227" s="2" t="s">
        <v>613</v>
      </c>
      <c r="C227" s="2" t="s">
        <v>287</v>
      </c>
      <c r="D227" s="2" t="s">
        <v>628</v>
      </c>
      <c r="E227" s="2" t="s">
        <v>1802</v>
      </c>
      <c r="F227" s="2" t="s">
        <v>1785</v>
      </c>
      <c r="G227" s="2" t="s">
        <v>1786</v>
      </c>
      <c r="H227" s="2" t="s">
        <v>1787</v>
      </c>
      <c r="I227" s="2" t="s">
        <v>1803</v>
      </c>
      <c r="J227" s="2" t="s">
        <v>1824</v>
      </c>
      <c r="K227" s="2" t="s">
        <v>353</v>
      </c>
      <c r="L227" s="3">
        <v>38.4</v>
      </c>
      <c r="M227" s="3">
        <v>40.32</v>
      </c>
      <c r="N227" s="3">
        <v>79.99</v>
      </c>
      <c r="O227" s="2" t="s">
        <v>203</v>
      </c>
      <c r="P227" s="2" t="s">
        <v>204</v>
      </c>
      <c r="Q227" s="2" t="s">
        <v>205</v>
      </c>
      <c r="R227" s="2" t="s">
        <v>206</v>
      </c>
      <c r="S227" s="2" t="s">
        <v>1790</v>
      </c>
      <c r="T227" s="2" t="s">
        <v>292</v>
      </c>
      <c r="U227" s="2" t="s">
        <v>437</v>
      </c>
      <c r="V227" s="2" t="s">
        <v>209</v>
      </c>
      <c r="W227" s="2" t="s">
        <v>439</v>
      </c>
      <c r="X227" s="2" t="s">
        <v>206</v>
      </c>
      <c r="Y227" s="2" t="s">
        <v>1280</v>
      </c>
      <c r="Z227" s="4">
        <v>318</v>
      </c>
      <c r="AA227" s="4">
        <f>=ROUNDDOWN(31.8,0)</f>
      </c>
      <c r="AB227" s="5">
        <v>10</v>
      </c>
      <c r="AC227" s="2" t="s">
        <v>1098</v>
      </c>
      <c r="AD227" s="4">
        <v>84</v>
      </c>
      <c r="AE227" s="4">
        <v>84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206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206</v>
      </c>
      <c r="AW227" s="8" t="s">
        <v>206</v>
      </c>
      <c r="AX227" s="4" t="s">
        <v>206</v>
      </c>
      <c r="AY227" s="8" t="s">
        <v>206</v>
      </c>
      <c r="AZ227" s="7" t="s">
        <v>206</v>
      </c>
      <c r="BA227" s="7" t="s">
        <v>206</v>
      </c>
      <c r="BB227" s="7"/>
      <c r="BC227" s="4" t="s">
        <v>206</v>
      </c>
      <c r="BD227" s="8" t="s">
        <v>206</v>
      </c>
      <c r="BE227" s="4" t="s">
        <v>206</v>
      </c>
      <c r="BF227" s="8" t="s">
        <v>206</v>
      </c>
      <c r="BG227" s="7" t="s">
        <v>206</v>
      </c>
      <c r="BH227" s="7" t="s">
        <v>206</v>
      </c>
      <c r="BI227" s="7"/>
      <c r="BJ227" s="4">
        <v>19</v>
      </c>
      <c r="BK227" s="8">
        <v>779.68</v>
      </c>
      <c r="BL227" s="2" t="s">
        <v>1825</v>
      </c>
      <c r="BM227" s="7"/>
      <c r="BN227" s="7"/>
      <c r="BO227" s="4"/>
      <c r="BP227" s="8"/>
      <c r="BQ227" s="4"/>
      <c r="BR227" s="8"/>
      <c r="BS227" s="7"/>
      <c r="BT227" s="7"/>
      <c r="BU227" s="2" t="s">
        <v>1826</v>
      </c>
      <c r="BV227" s="2" t="s">
        <v>206</v>
      </c>
      <c r="BW227" s="2" t="s">
        <v>206</v>
      </c>
      <c r="BX227" s="2" t="s">
        <v>214</v>
      </c>
      <c r="BY227" s="2" t="s">
        <v>215</v>
      </c>
      <c r="BZ227" s="2" t="s">
        <v>203</v>
      </c>
      <c r="CA227" s="2" t="s">
        <v>1807</v>
      </c>
      <c r="CB227" s="2" t="s">
        <v>1808</v>
      </c>
      <c r="CC227" s="2" t="s">
        <v>218</v>
      </c>
      <c r="CD227" s="2" t="s">
        <v>206</v>
      </c>
      <c r="CE227" s="4">
        <v>318</v>
      </c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>
        <v>84</v>
      </c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</row>
    <row r="228">
      <c r="A228" s="2" t="s">
        <v>1827</v>
      </c>
      <c r="B228" s="2" t="s">
        <v>613</v>
      </c>
      <c r="C228" s="2" t="s">
        <v>1044</v>
      </c>
      <c r="D228" s="2" t="s">
        <v>628</v>
      </c>
      <c r="E228" s="2" t="s">
        <v>840</v>
      </c>
      <c r="F228" s="2" t="s">
        <v>1785</v>
      </c>
      <c r="G228" s="2" t="s">
        <v>1786</v>
      </c>
      <c r="H228" s="2" t="s">
        <v>1787</v>
      </c>
      <c r="I228" s="2" t="s">
        <v>1788</v>
      </c>
      <c r="J228" s="2" t="s">
        <v>1789</v>
      </c>
      <c r="K228" s="2" t="s">
        <v>1060</v>
      </c>
      <c r="L228" s="3">
        <v>23.65</v>
      </c>
      <c r="M228" s="3">
        <v>24.83</v>
      </c>
      <c r="N228" s="3">
        <v>54.99</v>
      </c>
      <c r="O228" s="2" t="s">
        <v>203</v>
      </c>
      <c r="P228" s="2" t="s">
        <v>204</v>
      </c>
      <c r="Q228" s="2" t="s">
        <v>205</v>
      </c>
      <c r="R228" s="2" t="s">
        <v>206</v>
      </c>
      <c r="S228" s="2" t="s">
        <v>1828</v>
      </c>
      <c r="T228" s="2" t="s">
        <v>292</v>
      </c>
      <c r="U228" s="2" t="s">
        <v>900</v>
      </c>
      <c r="V228" s="2" t="s">
        <v>209</v>
      </c>
      <c r="W228" s="2" t="s">
        <v>439</v>
      </c>
      <c r="X228" s="2" t="s">
        <v>1722</v>
      </c>
      <c r="Y228" s="2" t="s">
        <v>1791</v>
      </c>
      <c r="Z228" s="4">
        <v>307</v>
      </c>
      <c r="AA228" s="4">
        <f>=ROUNDDOWN(61.4,0)</f>
      </c>
      <c r="AB228" s="5">
        <v>5</v>
      </c>
      <c r="AC228" s="2" t="s">
        <v>206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206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206</v>
      </c>
      <c r="AW228" s="8" t="s">
        <v>206</v>
      </c>
      <c r="AX228" s="4" t="s">
        <v>206</v>
      </c>
      <c r="AY228" s="8" t="s">
        <v>206</v>
      </c>
      <c r="AZ228" s="7" t="s">
        <v>206</v>
      </c>
      <c r="BA228" s="7" t="s">
        <v>206</v>
      </c>
      <c r="BB228" s="7"/>
      <c r="BC228" s="4" t="s">
        <v>206</v>
      </c>
      <c r="BD228" s="8" t="s">
        <v>206</v>
      </c>
      <c r="BE228" s="4" t="s">
        <v>206</v>
      </c>
      <c r="BF228" s="8" t="s">
        <v>206</v>
      </c>
      <c r="BG228" s="7" t="s">
        <v>206</v>
      </c>
      <c r="BH228" s="7" t="s">
        <v>206</v>
      </c>
      <c r="BI228" s="7"/>
      <c r="BJ228" s="4">
        <v>10</v>
      </c>
      <c r="BK228" s="8">
        <v>268.39</v>
      </c>
      <c r="BL228" s="2" t="s">
        <v>1829</v>
      </c>
      <c r="BM228" s="7"/>
      <c r="BN228" s="7"/>
      <c r="BO228" s="4"/>
      <c r="BP228" s="8"/>
      <c r="BQ228" s="4"/>
      <c r="BR228" s="8"/>
      <c r="BS228" s="7"/>
      <c r="BT228" s="7"/>
      <c r="BU228" s="2" t="s">
        <v>1830</v>
      </c>
      <c r="BV228" s="2" t="s">
        <v>206</v>
      </c>
      <c r="BW228" s="2" t="s">
        <v>206</v>
      </c>
      <c r="BX228" s="2" t="s">
        <v>214</v>
      </c>
      <c r="BY228" s="2" t="s">
        <v>215</v>
      </c>
      <c r="BZ228" s="2" t="s">
        <v>203</v>
      </c>
      <c r="CA228" s="2" t="s">
        <v>1794</v>
      </c>
      <c r="CB228" s="2" t="s">
        <v>1831</v>
      </c>
      <c r="CC228" s="2" t="s">
        <v>218</v>
      </c>
      <c r="CD228" s="2" t="s">
        <v>206</v>
      </c>
      <c r="CE228" s="4">
        <v>83</v>
      </c>
      <c r="CF228" s="4"/>
      <c r="CG228" s="4"/>
      <c r="CH228" s="4">
        <v>224</v>
      </c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</row>
    <row r="229">
      <c r="A229" s="2" t="s">
        <v>1832</v>
      </c>
      <c r="B229" s="2" t="s">
        <v>613</v>
      </c>
      <c r="C229" s="2" t="s">
        <v>1044</v>
      </c>
      <c r="D229" s="2" t="s">
        <v>628</v>
      </c>
      <c r="E229" s="2" t="s">
        <v>840</v>
      </c>
      <c r="F229" s="2" t="s">
        <v>1785</v>
      </c>
      <c r="G229" s="2" t="s">
        <v>1786</v>
      </c>
      <c r="H229" s="2" t="s">
        <v>1787</v>
      </c>
      <c r="I229" s="2" t="s">
        <v>1788</v>
      </c>
      <c r="J229" s="2" t="s">
        <v>1797</v>
      </c>
      <c r="K229" s="2" t="s">
        <v>1060</v>
      </c>
      <c r="L229" s="3">
        <v>25.8</v>
      </c>
      <c r="M229" s="3">
        <v>27.09</v>
      </c>
      <c r="N229" s="3">
        <v>59.99</v>
      </c>
      <c r="O229" s="2" t="s">
        <v>203</v>
      </c>
      <c r="P229" s="2" t="s">
        <v>204</v>
      </c>
      <c r="Q229" s="2" t="s">
        <v>205</v>
      </c>
      <c r="R229" s="2" t="s">
        <v>206</v>
      </c>
      <c r="S229" s="2" t="s">
        <v>1828</v>
      </c>
      <c r="T229" s="2" t="s">
        <v>292</v>
      </c>
      <c r="U229" s="2" t="s">
        <v>900</v>
      </c>
      <c r="V229" s="2" t="s">
        <v>209</v>
      </c>
      <c r="W229" s="2" t="s">
        <v>439</v>
      </c>
      <c r="X229" s="2" t="s">
        <v>1722</v>
      </c>
      <c r="Y229" s="2" t="s">
        <v>1791</v>
      </c>
      <c r="Z229" s="4">
        <v>312</v>
      </c>
      <c r="AA229" s="4">
        <f>=ROUNDDOWN(44.5714285714286,0)</f>
      </c>
      <c r="AB229" s="5">
        <v>7</v>
      </c>
      <c r="AC229" s="2" t="s">
        <v>206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206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206</v>
      </c>
      <c r="AW229" s="8" t="s">
        <v>206</v>
      </c>
      <c r="AX229" s="4" t="s">
        <v>206</v>
      </c>
      <c r="AY229" s="8" t="s">
        <v>206</v>
      </c>
      <c r="AZ229" s="7" t="s">
        <v>206</v>
      </c>
      <c r="BA229" s="7" t="s">
        <v>206</v>
      </c>
      <c r="BB229" s="7"/>
      <c r="BC229" s="4" t="s">
        <v>206</v>
      </c>
      <c r="BD229" s="8" t="s">
        <v>206</v>
      </c>
      <c r="BE229" s="4" t="s">
        <v>206</v>
      </c>
      <c r="BF229" s="8" t="s">
        <v>206</v>
      </c>
      <c r="BG229" s="7" t="s">
        <v>206</v>
      </c>
      <c r="BH229" s="7" t="s">
        <v>206</v>
      </c>
      <c r="BI229" s="7"/>
      <c r="BJ229" s="4">
        <v>17</v>
      </c>
      <c r="BK229" s="8">
        <v>595.89</v>
      </c>
      <c r="BL229" s="2" t="s">
        <v>1833</v>
      </c>
      <c r="BM229" s="7"/>
      <c r="BN229" s="7"/>
      <c r="BO229" s="4"/>
      <c r="BP229" s="8"/>
      <c r="BQ229" s="4"/>
      <c r="BR229" s="8"/>
      <c r="BS229" s="7"/>
      <c r="BT229" s="7"/>
      <c r="BU229" s="2" t="s">
        <v>1834</v>
      </c>
      <c r="BV229" s="2" t="s">
        <v>206</v>
      </c>
      <c r="BW229" s="2" t="s">
        <v>206</v>
      </c>
      <c r="BX229" s="2" t="s">
        <v>214</v>
      </c>
      <c r="BY229" s="2" t="s">
        <v>215</v>
      </c>
      <c r="BZ229" s="2" t="s">
        <v>203</v>
      </c>
      <c r="CA229" s="2" t="s">
        <v>1794</v>
      </c>
      <c r="CB229" s="2" t="s">
        <v>1835</v>
      </c>
      <c r="CC229" s="2" t="s">
        <v>218</v>
      </c>
      <c r="CD229" s="2" t="s">
        <v>206</v>
      </c>
      <c r="CE229" s="4">
        <v>312</v>
      </c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</row>
    <row r="230">
      <c r="A230" s="2" t="s">
        <v>1836</v>
      </c>
      <c r="B230" s="2" t="s">
        <v>613</v>
      </c>
      <c r="C230" s="2" t="s">
        <v>287</v>
      </c>
      <c r="D230" s="2" t="s">
        <v>628</v>
      </c>
      <c r="E230" s="2" t="s">
        <v>1802</v>
      </c>
      <c r="F230" s="2" t="s">
        <v>1785</v>
      </c>
      <c r="G230" s="2" t="s">
        <v>1786</v>
      </c>
      <c r="H230" s="2" t="s">
        <v>1787</v>
      </c>
      <c r="I230" s="2" t="s">
        <v>1803</v>
      </c>
      <c r="J230" s="2" t="s">
        <v>1804</v>
      </c>
      <c r="K230" s="2" t="s">
        <v>1060</v>
      </c>
      <c r="L230" s="3">
        <v>27</v>
      </c>
      <c r="M230" s="3">
        <v>28.35</v>
      </c>
      <c r="N230" s="3">
        <v>59.99</v>
      </c>
      <c r="O230" s="2" t="s">
        <v>203</v>
      </c>
      <c r="P230" s="2" t="s">
        <v>204</v>
      </c>
      <c r="Q230" s="2" t="s">
        <v>205</v>
      </c>
      <c r="R230" s="2" t="s">
        <v>206</v>
      </c>
      <c r="S230" s="2" t="s">
        <v>1828</v>
      </c>
      <c r="T230" s="2" t="s">
        <v>292</v>
      </c>
      <c r="U230" s="2" t="s">
        <v>437</v>
      </c>
      <c r="V230" s="2" t="s">
        <v>209</v>
      </c>
      <c r="W230" s="2" t="s">
        <v>439</v>
      </c>
      <c r="X230" s="2" t="s">
        <v>206</v>
      </c>
      <c r="Y230" s="2" t="s">
        <v>1280</v>
      </c>
      <c r="Z230" s="4">
        <v>109</v>
      </c>
      <c r="AA230" s="4">
        <f>=ROUNDDOWN(18.1666666666667,0)</f>
      </c>
      <c r="AB230" s="5">
        <v>6</v>
      </c>
      <c r="AC230" s="2" t="s">
        <v>1098</v>
      </c>
      <c r="AD230" s="4">
        <v>84</v>
      </c>
      <c r="AE230" s="4">
        <v>84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206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206</v>
      </c>
      <c r="AW230" s="8" t="s">
        <v>206</v>
      </c>
      <c r="AX230" s="4" t="s">
        <v>206</v>
      </c>
      <c r="AY230" s="8" t="s">
        <v>206</v>
      </c>
      <c r="AZ230" s="7" t="s">
        <v>206</v>
      </c>
      <c r="BA230" s="7" t="s">
        <v>206</v>
      </c>
      <c r="BB230" s="7"/>
      <c r="BC230" s="4" t="s">
        <v>206</v>
      </c>
      <c r="BD230" s="8" t="s">
        <v>206</v>
      </c>
      <c r="BE230" s="4" t="s">
        <v>206</v>
      </c>
      <c r="BF230" s="8" t="s">
        <v>206</v>
      </c>
      <c r="BG230" s="7" t="s">
        <v>206</v>
      </c>
      <c r="BH230" s="7" t="s">
        <v>206</v>
      </c>
      <c r="BI230" s="7"/>
      <c r="BJ230" s="4">
        <v>11</v>
      </c>
      <c r="BK230" s="8">
        <v>340.85</v>
      </c>
      <c r="BL230" s="2" t="s">
        <v>1837</v>
      </c>
      <c r="BM230" s="7"/>
      <c r="BN230" s="7"/>
      <c r="BO230" s="4"/>
      <c r="BP230" s="8"/>
      <c r="BQ230" s="4"/>
      <c r="BR230" s="8"/>
      <c r="BS230" s="7"/>
      <c r="BT230" s="7"/>
      <c r="BU230" s="2" t="s">
        <v>1838</v>
      </c>
      <c r="BV230" s="2" t="s">
        <v>206</v>
      </c>
      <c r="BW230" s="2" t="s">
        <v>206</v>
      </c>
      <c r="BX230" s="2" t="s">
        <v>214</v>
      </c>
      <c r="BY230" s="2" t="s">
        <v>215</v>
      </c>
      <c r="BZ230" s="2" t="s">
        <v>203</v>
      </c>
      <c r="CA230" s="2" t="s">
        <v>1807</v>
      </c>
      <c r="CB230" s="2" t="s">
        <v>1839</v>
      </c>
      <c r="CC230" s="2" t="s">
        <v>218</v>
      </c>
      <c r="CD230" s="2" t="s">
        <v>206</v>
      </c>
      <c r="CE230" s="4">
        <v>109</v>
      </c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>
        <v>84</v>
      </c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</row>
    <row r="231">
      <c r="A231" s="2" t="s">
        <v>1840</v>
      </c>
      <c r="B231" s="2" t="s">
        <v>613</v>
      </c>
      <c r="C231" s="2" t="s">
        <v>287</v>
      </c>
      <c r="D231" s="2" t="s">
        <v>628</v>
      </c>
      <c r="E231" s="2" t="s">
        <v>1802</v>
      </c>
      <c r="F231" s="2" t="s">
        <v>1785</v>
      </c>
      <c r="G231" s="2" t="s">
        <v>1786</v>
      </c>
      <c r="H231" s="2" t="s">
        <v>1787</v>
      </c>
      <c r="I231" s="2" t="s">
        <v>1803</v>
      </c>
      <c r="J231" s="2" t="s">
        <v>1815</v>
      </c>
      <c r="K231" s="2" t="s">
        <v>1060</v>
      </c>
      <c r="L231" s="3">
        <v>32.2</v>
      </c>
      <c r="M231" s="3">
        <v>33.81</v>
      </c>
      <c r="N231" s="3">
        <v>69.99</v>
      </c>
      <c r="O231" s="2" t="s">
        <v>203</v>
      </c>
      <c r="P231" s="2" t="s">
        <v>204</v>
      </c>
      <c r="Q231" s="2" t="s">
        <v>205</v>
      </c>
      <c r="R231" s="2" t="s">
        <v>206</v>
      </c>
      <c r="S231" s="2" t="s">
        <v>1828</v>
      </c>
      <c r="T231" s="2" t="s">
        <v>292</v>
      </c>
      <c r="U231" s="2" t="s">
        <v>437</v>
      </c>
      <c r="V231" s="2" t="s">
        <v>209</v>
      </c>
      <c r="W231" s="2" t="s">
        <v>439</v>
      </c>
      <c r="X231" s="2" t="s">
        <v>206</v>
      </c>
      <c r="Y231" s="2" t="s">
        <v>1280</v>
      </c>
      <c r="Z231" s="4">
        <v>70</v>
      </c>
      <c r="AA231" s="4">
        <f>=ROUNDDOWN(11.6666666666667,0)</f>
      </c>
      <c r="AB231" s="5">
        <v>6</v>
      </c>
      <c r="AC231" s="2" t="s">
        <v>113</v>
      </c>
      <c r="AD231" s="4">
        <v>210</v>
      </c>
      <c r="AE231" s="4">
        <v>342</v>
      </c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206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206</v>
      </c>
      <c r="AW231" s="8" t="s">
        <v>206</v>
      </c>
      <c r="AX231" s="4" t="s">
        <v>206</v>
      </c>
      <c r="AY231" s="8" t="s">
        <v>206</v>
      </c>
      <c r="AZ231" s="7" t="s">
        <v>206</v>
      </c>
      <c r="BA231" s="7" t="s">
        <v>206</v>
      </c>
      <c r="BB231" s="7"/>
      <c r="BC231" s="4" t="s">
        <v>206</v>
      </c>
      <c r="BD231" s="8" t="s">
        <v>206</v>
      </c>
      <c r="BE231" s="4" t="s">
        <v>206</v>
      </c>
      <c r="BF231" s="8" t="s">
        <v>206</v>
      </c>
      <c r="BG231" s="7" t="s">
        <v>206</v>
      </c>
      <c r="BH231" s="7" t="s">
        <v>206</v>
      </c>
      <c r="BI231" s="7"/>
      <c r="BJ231" s="4">
        <v>10</v>
      </c>
      <c r="BK231" s="8">
        <v>368.14</v>
      </c>
      <c r="BL231" s="2" t="s">
        <v>1841</v>
      </c>
      <c r="BM231" s="7"/>
      <c r="BN231" s="7"/>
      <c r="BO231" s="4"/>
      <c r="BP231" s="8"/>
      <c r="BQ231" s="4"/>
      <c r="BR231" s="8"/>
      <c r="BS231" s="7"/>
      <c r="BT231" s="7"/>
      <c r="BU231" s="2" t="s">
        <v>1842</v>
      </c>
      <c r="BV231" s="2" t="s">
        <v>206</v>
      </c>
      <c r="BW231" s="2" t="s">
        <v>206</v>
      </c>
      <c r="BX231" s="2" t="s">
        <v>214</v>
      </c>
      <c r="BY231" s="2" t="s">
        <v>215</v>
      </c>
      <c r="BZ231" s="2" t="s">
        <v>203</v>
      </c>
      <c r="CA231" s="2" t="s">
        <v>1807</v>
      </c>
      <c r="CB231" s="2" t="s">
        <v>1822</v>
      </c>
      <c r="CC231" s="2" t="s">
        <v>218</v>
      </c>
      <c r="CD231" s="2" t="s">
        <v>206</v>
      </c>
      <c r="CE231" s="4">
        <v>70</v>
      </c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>
        <v>210</v>
      </c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>
        <v>132</v>
      </c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</row>
    <row r="232">
      <c r="A232" s="2" t="s">
        <v>1843</v>
      </c>
      <c r="B232" s="2" t="s">
        <v>613</v>
      </c>
      <c r="C232" s="2" t="s">
        <v>287</v>
      </c>
      <c r="D232" s="2" t="s">
        <v>628</v>
      </c>
      <c r="E232" s="2" t="s">
        <v>1802</v>
      </c>
      <c r="F232" s="2" t="s">
        <v>1785</v>
      </c>
      <c r="G232" s="2" t="s">
        <v>1786</v>
      </c>
      <c r="H232" s="2" t="s">
        <v>1787</v>
      </c>
      <c r="I232" s="2" t="s">
        <v>1803</v>
      </c>
      <c r="J232" s="2" t="s">
        <v>1819</v>
      </c>
      <c r="K232" s="2" t="s">
        <v>1060</v>
      </c>
      <c r="L232" s="3">
        <v>34.5</v>
      </c>
      <c r="M232" s="3">
        <v>36.23</v>
      </c>
      <c r="N232" s="3">
        <v>74.99</v>
      </c>
      <c r="O232" s="2" t="s">
        <v>203</v>
      </c>
      <c r="P232" s="2" t="s">
        <v>204</v>
      </c>
      <c r="Q232" s="2" t="s">
        <v>205</v>
      </c>
      <c r="R232" s="2" t="s">
        <v>206</v>
      </c>
      <c r="S232" s="2" t="s">
        <v>1828</v>
      </c>
      <c r="T232" s="2" t="s">
        <v>292</v>
      </c>
      <c r="U232" s="2" t="s">
        <v>437</v>
      </c>
      <c r="V232" s="2" t="s">
        <v>209</v>
      </c>
      <c r="W232" s="2" t="s">
        <v>439</v>
      </c>
      <c r="X232" s="2" t="s">
        <v>206</v>
      </c>
      <c r="Y232" s="2" t="s">
        <v>1280</v>
      </c>
      <c r="Z232" s="4">
        <v>130</v>
      </c>
      <c r="AA232" s="4">
        <f>=ROUNDDOWN(18.5714285714286,0)</f>
      </c>
      <c r="AB232" s="5">
        <v>7</v>
      </c>
      <c r="AC232" s="2" t="s">
        <v>113</v>
      </c>
      <c r="AD232" s="4">
        <v>162</v>
      </c>
      <c r="AE232" s="4">
        <v>282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206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206</v>
      </c>
      <c r="AW232" s="8" t="s">
        <v>206</v>
      </c>
      <c r="AX232" s="4" t="s">
        <v>206</v>
      </c>
      <c r="AY232" s="8" t="s">
        <v>206</v>
      </c>
      <c r="AZ232" s="7" t="s">
        <v>206</v>
      </c>
      <c r="BA232" s="7" t="s">
        <v>206</v>
      </c>
      <c r="BB232" s="7"/>
      <c r="BC232" s="4" t="s">
        <v>206</v>
      </c>
      <c r="BD232" s="8" t="s">
        <v>206</v>
      </c>
      <c r="BE232" s="4" t="s">
        <v>206</v>
      </c>
      <c r="BF232" s="8" t="s">
        <v>206</v>
      </c>
      <c r="BG232" s="7" t="s">
        <v>206</v>
      </c>
      <c r="BH232" s="7" t="s">
        <v>206</v>
      </c>
      <c r="BI232" s="7"/>
      <c r="BJ232" s="4">
        <v>1</v>
      </c>
      <c r="BK232" s="8">
        <v>36.58</v>
      </c>
      <c r="BL232" s="2" t="s">
        <v>1844</v>
      </c>
      <c r="BM232" s="7"/>
      <c r="BN232" s="7"/>
      <c r="BO232" s="4"/>
      <c r="BP232" s="8"/>
      <c r="BQ232" s="4"/>
      <c r="BR232" s="8"/>
      <c r="BS232" s="7"/>
      <c r="BT232" s="7"/>
      <c r="BU232" s="2" t="s">
        <v>1845</v>
      </c>
      <c r="BV232" s="2" t="s">
        <v>206</v>
      </c>
      <c r="BW232" s="2" t="s">
        <v>206</v>
      </c>
      <c r="BX232" s="2" t="s">
        <v>214</v>
      </c>
      <c r="BY232" s="2" t="s">
        <v>215</v>
      </c>
      <c r="BZ232" s="2" t="s">
        <v>203</v>
      </c>
      <c r="CA232" s="2" t="s">
        <v>1807</v>
      </c>
      <c r="CB232" s="2" t="s">
        <v>1846</v>
      </c>
      <c r="CC232" s="2" t="s">
        <v>218</v>
      </c>
      <c r="CD232" s="2" t="s">
        <v>206</v>
      </c>
      <c r="CE232" s="4">
        <v>130</v>
      </c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>
        <v>162</v>
      </c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>
        <v>120</v>
      </c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</row>
    <row r="233">
      <c r="A233" s="2" t="s">
        <v>1847</v>
      </c>
      <c r="B233" s="2" t="s">
        <v>613</v>
      </c>
      <c r="C233" s="2" t="s">
        <v>287</v>
      </c>
      <c r="D233" s="2" t="s">
        <v>628</v>
      </c>
      <c r="E233" s="2" t="s">
        <v>1802</v>
      </c>
      <c r="F233" s="2" t="s">
        <v>1785</v>
      </c>
      <c r="G233" s="2" t="s">
        <v>1786</v>
      </c>
      <c r="H233" s="2" t="s">
        <v>1787</v>
      </c>
      <c r="I233" s="2" t="s">
        <v>1803</v>
      </c>
      <c r="J233" s="2" t="s">
        <v>1824</v>
      </c>
      <c r="K233" s="2" t="s">
        <v>1060</v>
      </c>
      <c r="L233" s="3">
        <v>38.4</v>
      </c>
      <c r="M233" s="3">
        <v>40.32</v>
      </c>
      <c r="N233" s="3">
        <v>79.99</v>
      </c>
      <c r="O233" s="2" t="s">
        <v>203</v>
      </c>
      <c r="P233" s="2" t="s">
        <v>204</v>
      </c>
      <c r="Q233" s="2" t="s">
        <v>205</v>
      </c>
      <c r="R233" s="2" t="s">
        <v>206</v>
      </c>
      <c r="S233" s="2" t="s">
        <v>1828</v>
      </c>
      <c r="T233" s="2" t="s">
        <v>292</v>
      </c>
      <c r="U233" s="2" t="s">
        <v>437</v>
      </c>
      <c r="V233" s="2" t="s">
        <v>209</v>
      </c>
      <c r="W233" s="2" t="s">
        <v>439</v>
      </c>
      <c r="X233" s="2" t="s">
        <v>206</v>
      </c>
      <c r="Y233" s="2" t="s">
        <v>1280</v>
      </c>
      <c r="Z233" s="4">
        <v>26</v>
      </c>
      <c r="AA233" s="4">
        <f>=ROUNDDOWN(5.2,0)</f>
      </c>
      <c r="AB233" s="5">
        <v>5</v>
      </c>
      <c r="AC233" s="2" t="s">
        <v>113</v>
      </c>
      <c r="AD233" s="4">
        <v>84</v>
      </c>
      <c r="AE233" s="4">
        <v>144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206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206</v>
      </c>
      <c r="AW233" s="8" t="s">
        <v>206</v>
      </c>
      <c r="AX233" s="4" t="s">
        <v>206</v>
      </c>
      <c r="AY233" s="8" t="s">
        <v>206</v>
      </c>
      <c r="AZ233" s="7" t="s">
        <v>206</v>
      </c>
      <c r="BA233" s="7" t="s">
        <v>206</v>
      </c>
      <c r="BB233" s="7"/>
      <c r="BC233" s="4" t="s">
        <v>206</v>
      </c>
      <c r="BD233" s="8" t="s">
        <v>206</v>
      </c>
      <c r="BE233" s="4" t="s">
        <v>206</v>
      </c>
      <c r="BF233" s="8" t="s">
        <v>206</v>
      </c>
      <c r="BG233" s="7" t="s">
        <v>206</v>
      </c>
      <c r="BH233" s="7" t="s">
        <v>206</v>
      </c>
      <c r="BI233" s="7"/>
      <c r="BJ233" s="4">
        <v>12</v>
      </c>
      <c r="BK233" s="8">
        <v>534.3</v>
      </c>
      <c r="BL233" s="2" t="s">
        <v>1848</v>
      </c>
      <c r="BM233" s="7"/>
      <c r="BN233" s="7"/>
      <c r="BO233" s="4"/>
      <c r="BP233" s="8"/>
      <c r="BQ233" s="4"/>
      <c r="BR233" s="8"/>
      <c r="BS233" s="7"/>
      <c r="BT233" s="7"/>
      <c r="BU233" s="2" t="s">
        <v>1849</v>
      </c>
      <c r="BV233" s="2" t="s">
        <v>206</v>
      </c>
      <c r="BW233" s="2" t="s">
        <v>206</v>
      </c>
      <c r="BX233" s="2" t="s">
        <v>214</v>
      </c>
      <c r="BY233" s="2" t="s">
        <v>215</v>
      </c>
      <c r="BZ233" s="2" t="s">
        <v>203</v>
      </c>
      <c r="CA233" s="2" t="s">
        <v>1807</v>
      </c>
      <c r="CB233" s="2" t="s">
        <v>1850</v>
      </c>
      <c r="CC233" s="2" t="s">
        <v>218</v>
      </c>
      <c r="CD233" s="2" t="s">
        <v>206</v>
      </c>
      <c r="CE233" s="4">
        <v>26</v>
      </c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>
        <v>84</v>
      </c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>
        <v>60</v>
      </c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</row>
    <row r="234">
      <c r="A234" s="2" t="s">
        <v>1851</v>
      </c>
      <c r="B234" s="2" t="s">
        <v>561</v>
      </c>
      <c r="C234" s="2" t="s">
        <v>562</v>
      </c>
      <c r="D234" s="2" t="s">
        <v>563</v>
      </c>
      <c r="E234" s="2" t="s">
        <v>564</v>
      </c>
      <c r="F234" s="2" t="s">
        <v>1852</v>
      </c>
      <c r="G234" s="2" t="s">
        <v>1852</v>
      </c>
      <c r="H234" s="2" t="s">
        <v>1852</v>
      </c>
      <c r="I234" s="2" t="s">
        <v>1853</v>
      </c>
      <c r="J234" s="2" t="s">
        <v>434</v>
      </c>
      <c r="K234" s="2" t="s">
        <v>763</v>
      </c>
      <c r="L234" s="3">
        <v>22.43</v>
      </c>
      <c r="M234" s="3">
        <v>23.55</v>
      </c>
      <c r="N234" s="3">
        <v>39.99</v>
      </c>
      <c r="O234" s="2" t="s">
        <v>203</v>
      </c>
      <c r="P234" s="2" t="s">
        <v>204</v>
      </c>
      <c r="Q234" s="2" t="s">
        <v>205</v>
      </c>
      <c r="R234" s="2" t="s">
        <v>206</v>
      </c>
      <c r="S234" s="2" t="s">
        <v>206</v>
      </c>
      <c r="T234" s="2" t="s">
        <v>206</v>
      </c>
      <c r="U234" s="2" t="s">
        <v>437</v>
      </c>
      <c r="V234" s="2" t="s">
        <v>468</v>
      </c>
      <c r="W234" s="2" t="s">
        <v>210</v>
      </c>
      <c r="X234" s="2" t="s">
        <v>206</v>
      </c>
      <c r="Y234" s="2" t="s">
        <v>1444</v>
      </c>
      <c r="Z234" s="4">
        <v>464</v>
      </c>
      <c r="AA234" s="4">
        <f>=ROUNDDOWN(77.3333333333333,0)</f>
      </c>
      <c r="AB234" s="5">
        <v>6</v>
      </c>
      <c r="AC234" s="2" t="s">
        <v>206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206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>
        <v>13</v>
      </c>
      <c r="BK234" s="8">
        <v>328.45</v>
      </c>
      <c r="BL234" s="2" t="s">
        <v>1854</v>
      </c>
      <c r="BM234" s="7"/>
      <c r="BN234" s="7"/>
      <c r="BO234" s="4"/>
      <c r="BP234" s="8"/>
      <c r="BQ234" s="4"/>
      <c r="BR234" s="8"/>
      <c r="BS234" s="7"/>
      <c r="BT234" s="7"/>
      <c r="BU234" s="2" t="s">
        <v>1855</v>
      </c>
      <c r="BV234" s="2" t="s">
        <v>206</v>
      </c>
      <c r="BW234" s="2" t="s">
        <v>206</v>
      </c>
      <c r="BX234" s="2" t="s">
        <v>214</v>
      </c>
      <c r="BY234" s="2" t="s">
        <v>215</v>
      </c>
      <c r="BZ234" s="2" t="s">
        <v>203</v>
      </c>
      <c r="CA234" s="2" t="s">
        <v>1856</v>
      </c>
      <c r="CB234" s="2" t="s">
        <v>206</v>
      </c>
      <c r="CC234" s="2" t="s">
        <v>218</v>
      </c>
      <c r="CD234" s="2" t="s">
        <v>206</v>
      </c>
      <c r="CE234" s="4"/>
      <c r="CF234" s="4">
        <v>220</v>
      </c>
      <c r="CG234" s="4"/>
      <c r="CH234" s="4">
        <v>244</v>
      </c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</row>
    <row r="235">
      <c r="A235" s="2" t="s">
        <v>1857</v>
      </c>
      <c r="B235" s="2" t="s">
        <v>800</v>
      </c>
      <c r="C235" s="2" t="s">
        <v>1858</v>
      </c>
      <c r="D235" s="2" t="s">
        <v>1859</v>
      </c>
      <c r="E235" s="2" t="s">
        <v>1860</v>
      </c>
      <c r="F235" s="2" t="s">
        <v>1861</v>
      </c>
      <c r="G235" s="2" t="s">
        <v>1861</v>
      </c>
      <c r="H235" s="2" t="s">
        <v>1861</v>
      </c>
      <c r="I235" s="2" t="s">
        <v>1862</v>
      </c>
      <c r="J235" s="2" t="s">
        <v>201</v>
      </c>
      <c r="K235" s="2" t="s">
        <v>262</v>
      </c>
      <c r="L235" s="3">
        <v>45.23</v>
      </c>
      <c r="M235" s="3">
        <v>47.49</v>
      </c>
      <c r="N235" s="3">
        <v>94.99</v>
      </c>
      <c r="O235" s="2" t="s">
        <v>203</v>
      </c>
      <c r="P235" s="2" t="s">
        <v>204</v>
      </c>
      <c r="Q235" s="2" t="s">
        <v>205</v>
      </c>
      <c r="R235" s="2" t="s">
        <v>206</v>
      </c>
      <c r="S235" s="2" t="s">
        <v>1863</v>
      </c>
      <c r="T235" s="2" t="s">
        <v>1523</v>
      </c>
      <c r="U235" s="2" t="s">
        <v>437</v>
      </c>
      <c r="V235" s="2" t="s">
        <v>209</v>
      </c>
      <c r="W235" s="2" t="s">
        <v>210</v>
      </c>
      <c r="X235" s="2" t="s">
        <v>206</v>
      </c>
      <c r="Y235" s="2" t="s">
        <v>950</v>
      </c>
      <c r="Z235" s="4">
        <v>224</v>
      </c>
      <c r="AA235" s="4">
        <f>=ROUNDDOWN(112,0)</f>
      </c>
      <c r="AB235" s="5">
        <v>2</v>
      </c>
      <c r="AC235" s="2" t="s">
        <v>206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206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 t="s">
        <v>206</v>
      </c>
      <c r="AW235" s="8" t="s">
        <v>206</v>
      </c>
      <c r="AX235" s="4" t="s">
        <v>206</v>
      </c>
      <c r="AY235" s="8" t="s">
        <v>206</v>
      </c>
      <c r="AZ235" s="7" t="s">
        <v>206</v>
      </c>
      <c r="BA235" s="7" t="s">
        <v>206</v>
      </c>
      <c r="BB235" s="7"/>
      <c r="BC235" s="4" t="s">
        <v>206</v>
      </c>
      <c r="BD235" s="8" t="s">
        <v>206</v>
      </c>
      <c r="BE235" s="4" t="s">
        <v>206</v>
      </c>
      <c r="BF235" s="8" t="s">
        <v>206</v>
      </c>
      <c r="BG235" s="7" t="s">
        <v>206</v>
      </c>
      <c r="BH235" s="7" t="s">
        <v>206</v>
      </c>
      <c r="BI235" s="7"/>
      <c r="BJ235" s="4">
        <v>15</v>
      </c>
      <c r="BK235" s="8">
        <v>756.53</v>
      </c>
      <c r="BL235" s="2" t="s">
        <v>1864</v>
      </c>
      <c r="BM235" s="7"/>
      <c r="BN235" s="7"/>
      <c r="BO235" s="4"/>
      <c r="BP235" s="8"/>
      <c r="BQ235" s="4"/>
      <c r="BR235" s="8"/>
      <c r="BS235" s="7"/>
      <c r="BT235" s="7"/>
      <c r="BU235" s="2" t="s">
        <v>1865</v>
      </c>
      <c r="BV235" s="2" t="s">
        <v>206</v>
      </c>
      <c r="BW235" s="2" t="s">
        <v>206</v>
      </c>
      <c r="BX235" s="2" t="s">
        <v>214</v>
      </c>
      <c r="BY235" s="2" t="s">
        <v>215</v>
      </c>
      <c r="BZ235" s="2" t="s">
        <v>203</v>
      </c>
      <c r="CA235" s="2" t="s">
        <v>1866</v>
      </c>
      <c r="CB235" s="2" t="s">
        <v>1431</v>
      </c>
      <c r="CC235" s="2" t="s">
        <v>218</v>
      </c>
      <c r="CD235" s="2" t="s">
        <v>206</v>
      </c>
      <c r="CE235" s="4">
        <v>224</v>
      </c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</row>
    <row r="236">
      <c r="A236" s="2" t="s">
        <v>1867</v>
      </c>
      <c r="B236" s="2" t="s">
        <v>800</v>
      </c>
      <c r="C236" s="2" t="s">
        <v>1858</v>
      </c>
      <c r="D236" s="2" t="s">
        <v>1859</v>
      </c>
      <c r="E236" s="2" t="s">
        <v>1860</v>
      </c>
      <c r="F236" s="2" t="s">
        <v>1861</v>
      </c>
      <c r="G236" s="2" t="s">
        <v>1861</v>
      </c>
      <c r="H236" s="2" t="s">
        <v>1861</v>
      </c>
      <c r="I236" s="2" t="s">
        <v>1862</v>
      </c>
      <c r="J236" s="2" t="s">
        <v>231</v>
      </c>
      <c r="K236" s="2" t="s">
        <v>262</v>
      </c>
      <c r="L236" s="3">
        <v>78.57</v>
      </c>
      <c r="M236" s="3">
        <v>82.5</v>
      </c>
      <c r="N236" s="3">
        <v>164.99</v>
      </c>
      <c r="O236" s="2" t="s">
        <v>203</v>
      </c>
      <c r="P236" s="2" t="s">
        <v>204</v>
      </c>
      <c r="Q236" s="2" t="s">
        <v>205</v>
      </c>
      <c r="R236" s="2" t="s">
        <v>206</v>
      </c>
      <c r="S236" s="2" t="s">
        <v>1863</v>
      </c>
      <c r="T236" s="2" t="s">
        <v>1523</v>
      </c>
      <c r="U236" s="2" t="s">
        <v>437</v>
      </c>
      <c r="V236" s="2" t="s">
        <v>209</v>
      </c>
      <c r="W236" s="2" t="s">
        <v>210</v>
      </c>
      <c r="X236" s="2" t="s">
        <v>206</v>
      </c>
      <c r="Y236" s="2" t="s">
        <v>1868</v>
      </c>
      <c r="Z236" s="4">
        <v>188</v>
      </c>
      <c r="AA236" s="4">
        <f>=ROUNDDOWN(62.6666666666667,0)</f>
      </c>
      <c r="AB236" s="5">
        <v>3</v>
      </c>
      <c r="AC236" s="2" t="s">
        <v>206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206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206</v>
      </c>
      <c r="AW236" s="8" t="s">
        <v>206</v>
      </c>
      <c r="AX236" s="4" t="s">
        <v>206</v>
      </c>
      <c r="AY236" s="8" t="s">
        <v>206</v>
      </c>
      <c r="AZ236" s="7" t="s">
        <v>206</v>
      </c>
      <c r="BA236" s="7" t="s">
        <v>206</v>
      </c>
      <c r="BB236" s="7"/>
      <c r="BC236" s="4" t="s">
        <v>206</v>
      </c>
      <c r="BD236" s="8" t="s">
        <v>206</v>
      </c>
      <c r="BE236" s="4" t="s">
        <v>206</v>
      </c>
      <c r="BF236" s="8" t="s">
        <v>206</v>
      </c>
      <c r="BG236" s="7" t="s">
        <v>206</v>
      </c>
      <c r="BH236" s="7" t="s">
        <v>206</v>
      </c>
      <c r="BI236" s="7"/>
      <c r="BJ236" s="4">
        <v>25</v>
      </c>
      <c r="BK236" s="8">
        <v>2196.94</v>
      </c>
      <c r="BL236" s="2" t="s">
        <v>1869</v>
      </c>
      <c r="BM236" s="7"/>
      <c r="BN236" s="7"/>
      <c r="BO236" s="4"/>
      <c r="BP236" s="8"/>
      <c r="BQ236" s="4"/>
      <c r="BR236" s="8"/>
      <c r="BS236" s="7"/>
      <c r="BT236" s="7"/>
      <c r="BU236" s="2" t="s">
        <v>1870</v>
      </c>
      <c r="BV236" s="2" t="s">
        <v>206</v>
      </c>
      <c r="BW236" s="2" t="s">
        <v>206</v>
      </c>
      <c r="BX236" s="2" t="s">
        <v>214</v>
      </c>
      <c r="BY236" s="2" t="s">
        <v>215</v>
      </c>
      <c r="BZ236" s="2" t="s">
        <v>203</v>
      </c>
      <c r="CA236" s="2" t="s">
        <v>1871</v>
      </c>
      <c r="CB236" s="2" t="s">
        <v>248</v>
      </c>
      <c r="CC236" s="2" t="s">
        <v>218</v>
      </c>
      <c r="CD236" s="2" t="s">
        <v>206</v>
      </c>
      <c r="CE236" s="4">
        <v>188</v>
      </c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</row>
    <row r="237">
      <c r="A237" s="2" t="s">
        <v>1872</v>
      </c>
      <c r="B237" s="2" t="s">
        <v>800</v>
      </c>
      <c r="C237" s="2" t="s">
        <v>1858</v>
      </c>
      <c r="D237" s="2" t="s">
        <v>1859</v>
      </c>
      <c r="E237" s="2" t="s">
        <v>1860</v>
      </c>
      <c r="F237" s="2" t="s">
        <v>1861</v>
      </c>
      <c r="G237" s="2" t="s">
        <v>1861</v>
      </c>
      <c r="H237" s="2" t="s">
        <v>1861</v>
      </c>
      <c r="I237" s="2" t="s">
        <v>1862</v>
      </c>
      <c r="J237" s="2" t="s">
        <v>201</v>
      </c>
      <c r="K237" s="2" t="s">
        <v>696</v>
      </c>
      <c r="L237" s="3">
        <v>45.23</v>
      </c>
      <c r="M237" s="3">
        <v>47.49</v>
      </c>
      <c r="N237" s="3">
        <v>94.99</v>
      </c>
      <c r="O237" s="2" t="s">
        <v>203</v>
      </c>
      <c r="P237" s="2" t="s">
        <v>204</v>
      </c>
      <c r="Q237" s="2" t="s">
        <v>205</v>
      </c>
      <c r="R237" s="2" t="s">
        <v>206</v>
      </c>
      <c r="S237" s="2" t="s">
        <v>1873</v>
      </c>
      <c r="T237" s="2" t="s">
        <v>1523</v>
      </c>
      <c r="U237" s="2" t="s">
        <v>437</v>
      </c>
      <c r="V237" s="2" t="s">
        <v>209</v>
      </c>
      <c r="W237" s="2" t="s">
        <v>210</v>
      </c>
      <c r="X237" s="2" t="s">
        <v>206</v>
      </c>
      <c r="Y237" s="2" t="s">
        <v>1868</v>
      </c>
      <c r="Z237" s="4">
        <v>236</v>
      </c>
      <c r="AA237" s="4">
        <f>=ROUNDDOWN(118,0)</f>
      </c>
      <c r="AB237" s="5">
        <v>2</v>
      </c>
      <c r="AC237" s="2" t="s">
        <v>206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206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206</v>
      </c>
      <c r="AW237" s="8" t="s">
        <v>206</v>
      </c>
      <c r="AX237" s="4" t="s">
        <v>206</v>
      </c>
      <c r="AY237" s="8" t="s">
        <v>206</v>
      </c>
      <c r="AZ237" s="7" t="s">
        <v>206</v>
      </c>
      <c r="BA237" s="7" t="s">
        <v>206</v>
      </c>
      <c r="BB237" s="7"/>
      <c r="BC237" s="4" t="s">
        <v>206</v>
      </c>
      <c r="BD237" s="8" t="s">
        <v>206</v>
      </c>
      <c r="BE237" s="4" t="s">
        <v>206</v>
      </c>
      <c r="BF237" s="8" t="s">
        <v>206</v>
      </c>
      <c r="BG237" s="7" t="s">
        <v>206</v>
      </c>
      <c r="BH237" s="7" t="s">
        <v>206</v>
      </c>
      <c r="BI237" s="7"/>
      <c r="BJ237" s="4">
        <v>12</v>
      </c>
      <c r="BK237" s="8">
        <v>645.66</v>
      </c>
      <c r="BL237" s="2" t="s">
        <v>1874</v>
      </c>
      <c r="BM237" s="7"/>
      <c r="BN237" s="7"/>
      <c r="BO237" s="4"/>
      <c r="BP237" s="8"/>
      <c r="BQ237" s="4"/>
      <c r="BR237" s="8"/>
      <c r="BS237" s="7"/>
      <c r="BT237" s="7"/>
      <c r="BU237" s="2" t="s">
        <v>1875</v>
      </c>
      <c r="BV237" s="2" t="s">
        <v>206</v>
      </c>
      <c r="BW237" s="2" t="s">
        <v>206</v>
      </c>
      <c r="BX237" s="2" t="s">
        <v>214</v>
      </c>
      <c r="BY237" s="2" t="s">
        <v>215</v>
      </c>
      <c r="BZ237" s="2" t="s">
        <v>203</v>
      </c>
      <c r="CA237" s="2" t="s">
        <v>1871</v>
      </c>
      <c r="CB237" s="2" t="s">
        <v>206</v>
      </c>
      <c r="CC237" s="2" t="s">
        <v>218</v>
      </c>
      <c r="CD237" s="2" t="s">
        <v>206</v>
      </c>
      <c r="CE237" s="4">
        <v>236</v>
      </c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</row>
    <row r="238">
      <c r="A238" s="2" t="s">
        <v>1876</v>
      </c>
      <c r="B238" s="2" t="s">
        <v>800</v>
      </c>
      <c r="C238" s="2" t="s">
        <v>1858</v>
      </c>
      <c r="D238" s="2" t="s">
        <v>1859</v>
      </c>
      <c r="E238" s="2" t="s">
        <v>1860</v>
      </c>
      <c r="F238" s="2" t="s">
        <v>1861</v>
      </c>
      <c r="G238" s="2" t="s">
        <v>1861</v>
      </c>
      <c r="H238" s="2" t="s">
        <v>1861</v>
      </c>
      <c r="I238" s="2" t="s">
        <v>1862</v>
      </c>
      <c r="J238" s="2" t="s">
        <v>220</v>
      </c>
      <c r="K238" s="2" t="s">
        <v>696</v>
      </c>
      <c r="L238" s="3">
        <v>50</v>
      </c>
      <c r="M238" s="3">
        <v>52.5</v>
      </c>
      <c r="N238" s="3">
        <v>104.99</v>
      </c>
      <c r="O238" s="2" t="s">
        <v>203</v>
      </c>
      <c r="P238" s="2" t="s">
        <v>204</v>
      </c>
      <c r="Q238" s="2" t="s">
        <v>205</v>
      </c>
      <c r="R238" s="2" t="s">
        <v>206</v>
      </c>
      <c r="S238" s="2" t="s">
        <v>1873</v>
      </c>
      <c r="T238" s="2" t="s">
        <v>1523</v>
      </c>
      <c r="U238" s="2" t="s">
        <v>437</v>
      </c>
      <c r="V238" s="2" t="s">
        <v>209</v>
      </c>
      <c r="W238" s="2" t="s">
        <v>210</v>
      </c>
      <c r="X238" s="2" t="s">
        <v>206</v>
      </c>
      <c r="Y238" s="2" t="s">
        <v>1868</v>
      </c>
      <c r="Z238" s="4">
        <v>215</v>
      </c>
      <c r="AA238" s="4">
        <f>=ROUNDDOWN(107.5,0)</f>
      </c>
      <c r="AB238" s="5">
        <v>2</v>
      </c>
      <c r="AC238" s="2" t="s">
        <v>206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206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206</v>
      </c>
      <c r="AW238" s="8" t="s">
        <v>206</v>
      </c>
      <c r="AX238" s="4" t="s">
        <v>206</v>
      </c>
      <c r="AY238" s="8" t="s">
        <v>206</v>
      </c>
      <c r="AZ238" s="7" t="s">
        <v>206</v>
      </c>
      <c r="BA238" s="7" t="s">
        <v>206</v>
      </c>
      <c r="BB238" s="7"/>
      <c r="BC238" s="4" t="s">
        <v>206</v>
      </c>
      <c r="BD238" s="8" t="s">
        <v>206</v>
      </c>
      <c r="BE238" s="4" t="s">
        <v>206</v>
      </c>
      <c r="BF238" s="8" t="s">
        <v>206</v>
      </c>
      <c r="BG238" s="7" t="s">
        <v>206</v>
      </c>
      <c r="BH238" s="7" t="s">
        <v>206</v>
      </c>
      <c r="BI238" s="7"/>
      <c r="BJ238" s="4">
        <v>26</v>
      </c>
      <c r="BK238" s="8">
        <v>1508.6</v>
      </c>
      <c r="BL238" s="2" t="s">
        <v>1877</v>
      </c>
      <c r="BM238" s="7"/>
      <c r="BN238" s="7"/>
      <c r="BO238" s="4"/>
      <c r="BP238" s="8"/>
      <c r="BQ238" s="4"/>
      <c r="BR238" s="8"/>
      <c r="BS238" s="7"/>
      <c r="BT238" s="7"/>
      <c r="BU238" s="2" t="s">
        <v>1878</v>
      </c>
      <c r="BV238" s="2" t="s">
        <v>206</v>
      </c>
      <c r="BW238" s="2" t="s">
        <v>206</v>
      </c>
      <c r="BX238" s="2" t="s">
        <v>214</v>
      </c>
      <c r="BY238" s="2" t="s">
        <v>215</v>
      </c>
      <c r="BZ238" s="2" t="s">
        <v>203</v>
      </c>
      <c r="CA238" s="2" t="s">
        <v>1871</v>
      </c>
      <c r="CB238" s="2" t="s">
        <v>1879</v>
      </c>
      <c r="CC238" s="2" t="s">
        <v>218</v>
      </c>
      <c r="CD238" s="2" t="s">
        <v>206</v>
      </c>
      <c r="CE238" s="4">
        <v>215</v>
      </c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</row>
    <row r="239">
      <c r="A239" s="2" t="s">
        <v>1880</v>
      </c>
      <c r="B239" s="2" t="s">
        <v>800</v>
      </c>
      <c r="C239" s="2" t="s">
        <v>1858</v>
      </c>
      <c r="D239" s="2" t="s">
        <v>1859</v>
      </c>
      <c r="E239" s="2" t="s">
        <v>1860</v>
      </c>
      <c r="F239" s="2" t="s">
        <v>1861</v>
      </c>
      <c r="G239" s="2" t="s">
        <v>1861</v>
      </c>
      <c r="H239" s="2" t="s">
        <v>1861</v>
      </c>
      <c r="I239" s="2" t="s">
        <v>1862</v>
      </c>
      <c r="J239" s="2" t="s">
        <v>282</v>
      </c>
      <c r="K239" s="2" t="s">
        <v>696</v>
      </c>
      <c r="L239" s="3">
        <v>71.42</v>
      </c>
      <c r="M239" s="3">
        <v>74.99</v>
      </c>
      <c r="N239" s="3">
        <v>149.99</v>
      </c>
      <c r="O239" s="2" t="s">
        <v>203</v>
      </c>
      <c r="P239" s="2" t="s">
        <v>204</v>
      </c>
      <c r="Q239" s="2" t="s">
        <v>205</v>
      </c>
      <c r="R239" s="2" t="s">
        <v>206</v>
      </c>
      <c r="S239" s="2" t="s">
        <v>1873</v>
      </c>
      <c r="T239" s="2" t="s">
        <v>1523</v>
      </c>
      <c r="U239" s="2" t="s">
        <v>437</v>
      </c>
      <c r="V239" s="2" t="s">
        <v>209</v>
      </c>
      <c r="W239" s="2" t="s">
        <v>210</v>
      </c>
      <c r="X239" s="2" t="s">
        <v>206</v>
      </c>
      <c r="Y239" s="2" t="s">
        <v>1868</v>
      </c>
      <c r="Z239" s="4">
        <v>387</v>
      </c>
      <c r="AA239" s="4">
        <f>=ROUNDDOWN(129,0)</f>
      </c>
      <c r="AB239" s="5">
        <v>3</v>
      </c>
      <c r="AC239" s="2" t="s">
        <v>206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206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206</v>
      </c>
      <c r="AW239" s="8" t="s">
        <v>206</v>
      </c>
      <c r="AX239" s="4" t="s">
        <v>206</v>
      </c>
      <c r="AY239" s="8" t="s">
        <v>206</v>
      </c>
      <c r="AZ239" s="7" t="s">
        <v>206</v>
      </c>
      <c r="BA239" s="7" t="s">
        <v>206</v>
      </c>
      <c r="BB239" s="7"/>
      <c r="BC239" s="4" t="s">
        <v>206</v>
      </c>
      <c r="BD239" s="8" t="s">
        <v>206</v>
      </c>
      <c r="BE239" s="4" t="s">
        <v>206</v>
      </c>
      <c r="BF239" s="8" t="s">
        <v>206</v>
      </c>
      <c r="BG239" s="7" t="s">
        <v>206</v>
      </c>
      <c r="BH239" s="7" t="s">
        <v>206</v>
      </c>
      <c r="BI239" s="7"/>
      <c r="BJ239" s="4">
        <v>22</v>
      </c>
      <c r="BK239" s="8">
        <v>1756.28</v>
      </c>
      <c r="BL239" s="2" t="s">
        <v>1881</v>
      </c>
      <c r="BM239" s="7"/>
      <c r="BN239" s="7"/>
      <c r="BO239" s="4"/>
      <c r="BP239" s="8"/>
      <c r="BQ239" s="4"/>
      <c r="BR239" s="8"/>
      <c r="BS239" s="7"/>
      <c r="BT239" s="7"/>
      <c r="BU239" s="2" t="s">
        <v>1882</v>
      </c>
      <c r="BV239" s="2" t="s">
        <v>206</v>
      </c>
      <c r="BW239" s="2" t="s">
        <v>206</v>
      </c>
      <c r="BX239" s="2" t="s">
        <v>214</v>
      </c>
      <c r="BY239" s="2" t="s">
        <v>215</v>
      </c>
      <c r="BZ239" s="2" t="s">
        <v>203</v>
      </c>
      <c r="CA239" s="2" t="s">
        <v>1871</v>
      </c>
      <c r="CB239" s="2" t="s">
        <v>1883</v>
      </c>
      <c r="CC239" s="2" t="s">
        <v>218</v>
      </c>
      <c r="CD239" s="2" t="s">
        <v>206</v>
      </c>
      <c r="CE239" s="4">
        <v>387</v>
      </c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</row>
    <row r="240">
      <c r="A240" s="2" t="s">
        <v>1884</v>
      </c>
      <c r="B240" s="2" t="s">
        <v>800</v>
      </c>
      <c r="C240" s="2" t="s">
        <v>1858</v>
      </c>
      <c r="D240" s="2" t="s">
        <v>1859</v>
      </c>
      <c r="E240" s="2" t="s">
        <v>1860</v>
      </c>
      <c r="F240" s="2" t="s">
        <v>1861</v>
      </c>
      <c r="G240" s="2" t="s">
        <v>1861</v>
      </c>
      <c r="H240" s="2" t="s">
        <v>1861</v>
      </c>
      <c r="I240" s="2" t="s">
        <v>1862</v>
      </c>
      <c r="J240" s="2" t="s">
        <v>201</v>
      </c>
      <c r="K240" s="2" t="s">
        <v>336</v>
      </c>
      <c r="L240" s="3">
        <v>45.23</v>
      </c>
      <c r="M240" s="3">
        <v>47.49</v>
      </c>
      <c r="N240" s="3">
        <v>94.99</v>
      </c>
      <c r="O240" s="2" t="s">
        <v>203</v>
      </c>
      <c r="P240" s="2" t="s">
        <v>204</v>
      </c>
      <c r="Q240" s="2" t="s">
        <v>205</v>
      </c>
      <c r="R240" s="2" t="s">
        <v>206</v>
      </c>
      <c r="S240" s="2" t="s">
        <v>1885</v>
      </c>
      <c r="T240" s="2" t="s">
        <v>1523</v>
      </c>
      <c r="U240" s="2" t="s">
        <v>437</v>
      </c>
      <c r="V240" s="2" t="s">
        <v>209</v>
      </c>
      <c r="W240" s="2" t="s">
        <v>210</v>
      </c>
      <c r="X240" s="2" t="s">
        <v>206</v>
      </c>
      <c r="Y240" s="2" t="s">
        <v>1868</v>
      </c>
      <c r="Z240" s="4">
        <v>191</v>
      </c>
      <c r="AA240" s="4">
        <f>=ROUNDDOWN(63.6666666666667,0)</f>
      </c>
      <c r="AB240" s="5">
        <v>3</v>
      </c>
      <c r="AC240" s="2" t="s">
        <v>206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206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 t="s">
        <v>206</v>
      </c>
      <c r="BD240" s="8" t="s">
        <v>206</v>
      </c>
      <c r="BE240" s="4" t="s">
        <v>206</v>
      </c>
      <c r="BF240" s="8" t="s">
        <v>206</v>
      </c>
      <c r="BG240" s="7" t="s">
        <v>206</v>
      </c>
      <c r="BH240" s="7" t="s">
        <v>206</v>
      </c>
      <c r="BI240" s="7"/>
      <c r="BJ240" s="4">
        <v>26</v>
      </c>
      <c r="BK240" s="8">
        <v>1370.82</v>
      </c>
      <c r="BL240" s="2" t="s">
        <v>1874</v>
      </c>
      <c r="BM240" s="7"/>
      <c r="BN240" s="7"/>
      <c r="BO240" s="4"/>
      <c r="BP240" s="8"/>
      <c r="BQ240" s="4"/>
      <c r="BR240" s="8"/>
      <c r="BS240" s="7"/>
      <c r="BT240" s="7"/>
      <c r="BU240" s="2" t="s">
        <v>1886</v>
      </c>
      <c r="BV240" s="2" t="s">
        <v>206</v>
      </c>
      <c r="BW240" s="2" t="s">
        <v>206</v>
      </c>
      <c r="BX240" s="2" t="s">
        <v>214</v>
      </c>
      <c r="BY240" s="2" t="s">
        <v>215</v>
      </c>
      <c r="BZ240" s="2" t="s">
        <v>203</v>
      </c>
      <c r="CA240" s="2" t="s">
        <v>1871</v>
      </c>
      <c r="CB240" s="2" t="s">
        <v>1770</v>
      </c>
      <c r="CC240" s="2" t="s">
        <v>218</v>
      </c>
      <c r="CD240" s="2" t="s">
        <v>206</v>
      </c>
      <c r="CE240" s="4">
        <v>191</v>
      </c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</row>
    <row r="241">
      <c r="A241" s="2" t="s">
        <v>1887</v>
      </c>
      <c r="B241" s="2" t="s">
        <v>800</v>
      </c>
      <c r="C241" s="2" t="s">
        <v>1858</v>
      </c>
      <c r="D241" s="2" t="s">
        <v>1859</v>
      </c>
      <c r="E241" s="2" t="s">
        <v>1860</v>
      </c>
      <c r="F241" s="2" t="s">
        <v>1861</v>
      </c>
      <c r="G241" s="2" t="s">
        <v>1861</v>
      </c>
      <c r="H241" s="2" t="s">
        <v>1861</v>
      </c>
      <c r="I241" s="2" t="s">
        <v>1862</v>
      </c>
      <c r="J241" s="2" t="s">
        <v>201</v>
      </c>
      <c r="K241" s="2" t="s">
        <v>353</v>
      </c>
      <c r="L241" s="3">
        <v>45.23</v>
      </c>
      <c r="M241" s="3">
        <v>47.49</v>
      </c>
      <c r="N241" s="3">
        <v>94.99</v>
      </c>
      <c r="O241" s="2" t="s">
        <v>203</v>
      </c>
      <c r="P241" s="2" t="s">
        <v>204</v>
      </c>
      <c r="Q241" s="2" t="s">
        <v>205</v>
      </c>
      <c r="R241" s="2" t="s">
        <v>206</v>
      </c>
      <c r="S241" s="2" t="s">
        <v>1888</v>
      </c>
      <c r="T241" s="2" t="s">
        <v>1523</v>
      </c>
      <c r="U241" s="2" t="s">
        <v>437</v>
      </c>
      <c r="V241" s="2" t="s">
        <v>209</v>
      </c>
      <c r="W241" s="2" t="s">
        <v>210</v>
      </c>
      <c r="X241" s="2" t="s">
        <v>206</v>
      </c>
      <c r="Y241" s="2" t="s">
        <v>1868</v>
      </c>
      <c r="Z241" s="4">
        <v>204</v>
      </c>
      <c r="AA241" s="4">
        <f>=ROUNDDOWN(102,0)</f>
      </c>
      <c r="AB241" s="5">
        <v>2</v>
      </c>
      <c r="AC241" s="2" t="s">
        <v>206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206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206</v>
      </c>
      <c r="BD241" s="8" t="s">
        <v>206</v>
      </c>
      <c r="BE241" s="4" t="s">
        <v>206</v>
      </c>
      <c r="BF241" s="8" t="s">
        <v>206</v>
      </c>
      <c r="BG241" s="7" t="s">
        <v>206</v>
      </c>
      <c r="BH241" s="7" t="s">
        <v>206</v>
      </c>
      <c r="BI241" s="7"/>
      <c r="BJ241" s="4">
        <v>25</v>
      </c>
      <c r="BK241" s="8">
        <v>1311.47</v>
      </c>
      <c r="BL241" s="2" t="s">
        <v>1889</v>
      </c>
      <c r="BM241" s="7"/>
      <c r="BN241" s="7"/>
      <c r="BO241" s="4"/>
      <c r="BP241" s="8"/>
      <c r="BQ241" s="4"/>
      <c r="BR241" s="8"/>
      <c r="BS241" s="7"/>
      <c r="BT241" s="7"/>
      <c r="BU241" s="2" t="s">
        <v>1890</v>
      </c>
      <c r="BV241" s="2" t="s">
        <v>206</v>
      </c>
      <c r="BW241" s="2" t="s">
        <v>206</v>
      </c>
      <c r="BX241" s="2" t="s">
        <v>214</v>
      </c>
      <c r="BY241" s="2" t="s">
        <v>215</v>
      </c>
      <c r="BZ241" s="2" t="s">
        <v>203</v>
      </c>
      <c r="CA241" s="2" t="s">
        <v>1871</v>
      </c>
      <c r="CB241" s="2" t="s">
        <v>1431</v>
      </c>
      <c r="CC241" s="2" t="s">
        <v>218</v>
      </c>
      <c r="CD241" s="2" t="s">
        <v>206</v>
      </c>
      <c r="CE241" s="4">
        <v>204</v>
      </c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</row>
    <row r="242">
      <c r="A242" s="2" t="s">
        <v>1891</v>
      </c>
      <c r="B242" s="2" t="s">
        <v>429</v>
      </c>
      <c r="C242" s="2" t="s">
        <v>1316</v>
      </c>
      <c r="D242" s="2" t="s">
        <v>909</v>
      </c>
      <c r="E242" s="2" t="s">
        <v>431</v>
      </c>
      <c r="F242" s="2" t="s">
        <v>1892</v>
      </c>
      <c r="G242" s="2" t="s">
        <v>1892</v>
      </c>
      <c r="H242" s="2" t="s">
        <v>1892</v>
      </c>
      <c r="I242" s="2" t="s">
        <v>1893</v>
      </c>
      <c r="J242" s="2" t="s">
        <v>434</v>
      </c>
      <c r="K242" s="2" t="s">
        <v>1894</v>
      </c>
      <c r="L242" s="3">
        <v>37.27</v>
      </c>
      <c r="M242" s="3">
        <v>39.13</v>
      </c>
      <c r="N242" s="3">
        <v>76.49</v>
      </c>
      <c r="O242" s="2" t="s">
        <v>203</v>
      </c>
      <c r="P242" s="2" t="s">
        <v>467</v>
      </c>
      <c r="Q242" s="2" t="s">
        <v>205</v>
      </c>
      <c r="R242" s="2" t="s">
        <v>206</v>
      </c>
      <c r="S242" s="2" t="s">
        <v>1895</v>
      </c>
      <c r="T242" s="2" t="s">
        <v>206</v>
      </c>
      <c r="U242" s="2" t="s">
        <v>556</v>
      </c>
      <c r="V242" s="2" t="s">
        <v>809</v>
      </c>
      <c r="W242" s="2" t="s">
        <v>439</v>
      </c>
      <c r="X242" s="2" t="s">
        <v>586</v>
      </c>
      <c r="Y242" s="2" t="s">
        <v>1896</v>
      </c>
      <c r="Z242" s="4">
        <v>86</v>
      </c>
      <c r="AA242" s="4">
        <f>=ROUNDDOWN(35.8333333333333,0)</f>
      </c>
      <c r="AB242" s="5">
        <v>2.4</v>
      </c>
      <c r="AC242" s="2" t="s">
        <v>206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206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>
        <v>8</v>
      </c>
      <c r="BK242" s="8">
        <v>356.88</v>
      </c>
      <c r="BL242" s="2" t="s">
        <v>1897</v>
      </c>
      <c r="BM242" s="7"/>
      <c r="BN242" s="7"/>
      <c r="BO242" s="4"/>
      <c r="BP242" s="8"/>
      <c r="BQ242" s="4"/>
      <c r="BR242" s="8"/>
      <c r="BS242" s="7"/>
      <c r="BT242" s="7"/>
      <c r="BU242" s="2" t="s">
        <v>1898</v>
      </c>
      <c r="BV242" s="2" t="s">
        <v>206</v>
      </c>
      <c r="BW242" s="2" t="s">
        <v>206</v>
      </c>
      <c r="BX242" s="2" t="s">
        <v>214</v>
      </c>
      <c r="BY242" s="2" t="s">
        <v>215</v>
      </c>
      <c r="BZ242" s="2" t="s">
        <v>203</v>
      </c>
      <c r="CA242" s="2" t="s">
        <v>1899</v>
      </c>
      <c r="CB242" s="2" t="s">
        <v>1900</v>
      </c>
      <c r="CC242" s="2" t="s">
        <v>218</v>
      </c>
      <c r="CD242" s="2" t="s">
        <v>206</v>
      </c>
      <c r="CE242" s="4"/>
      <c r="CF242" s="4">
        <v>86</v>
      </c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</row>
    <row r="243">
      <c r="A243" s="2" t="s">
        <v>1901</v>
      </c>
      <c r="B243" s="2" t="s">
        <v>225</v>
      </c>
      <c r="C243" s="2" t="s">
        <v>1145</v>
      </c>
      <c r="D243" s="2" t="s">
        <v>227</v>
      </c>
      <c r="E243" s="2" t="s">
        <v>228</v>
      </c>
      <c r="F243" s="2" t="s">
        <v>1902</v>
      </c>
      <c r="G243" s="2" t="s">
        <v>1902</v>
      </c>
      <c r="H243" s="2" t="s">
        <v>1902</v>
      </c>
      <c r="I243" s="2" t="s">
        <v>1903</v>
      </c>
      <c r="J243" s="2" t="s">
        <v>290</v>
      </c>
      <c r="K243" s="2" t="s">
        <v>583</v>
      </c>
      <c r="L243" s="3">
        <v>20.16</v>
      </c>
      <c r="M243" s="3">
        <v>21.17</v>
      </c>
      <c r="N243" s="3">
        <v>41.99</v>
      </c>
      <c r="O243" s="2" t="s">
        <v>203</v>
      </c>
      <c r="P243" s="2" t="s">
        <v>204</v>
      </c>
      <c r="Q243" s="2" t="s">
        <v>205</v>
      </c>
      <c r="R243" s="2" t="s">
        <v>206</v>
      </c>
      <c r="S243" s="2" t="s">
        <v>1904</v>
      </c>
      <c r="T243" s="2" t="s">
        <v>1768</v>
      </c>
      <c r="U243" s="2" t="s">
        <v>556</v>
      </c>
      <c r="V243" s="2" t="s">
        <v>209</v>
      </c>
      <c r="W243" s="2" t="s">
        <v>210</v>
      </c>
      <c r="X243" s="2" t="s">
        <v>206</v>
      </c>
      <c r="Y243" s="2" t="s">
        <v>211</v>
      </c>
      <c r="Z243" s="4">
        <v>318</v>
      </c>
      <c r="AA243" s="4">
        <f>=ROUNDDOWN(53,0)</f>
      </c>
      <c r="AB243" s="5"/>
      <c r="AC243" s="2" t="s">
        <v>128</v>
      </c>
      <c r="AD243" s="4">
        <v>20</v>
      </c>
      <c r="AE243" s="4">
        <v>20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206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206</v>
      </c>
      <c r="BD243" s="8" t="s">
        <v>206</v>
      </c>
      <c r="BE243" s="4" t="s">
        <v>206</v>
      </c>
      <c r="BF243" s="8" t="s">
        <v>206</v>
      </c>
      <c r="BG243" s="7" t="s">
        <v>206</v>
      </c>
      <c r="BH243" s="7" t="s">
        <v>206</v>
      </c>
      <c r="BI243" s="7"/>
      <c r="BJ243" s="4">
        <v>14</v>
      </c>
      <c r="BK243" s="8">
        <v>307.11</v>
      </c>
      <c r="BL243" s="2" t="s">
        <v>1905</v>
      </c>
      <c r="BM243" s="7"/>
      <c r="BN243" s="7"/>
      <c r="BO243" s="4"/>
      <c r="BP243" s="8"/>
      <c r="BQ243" s="4"/>
      <c r="BR243" s="8"/>
      <c r="BS243" s="7"/>
      <c r="BT243" s="7"/>
      <c r="BU243" s="2" t="s">
        <v>1906</v>
      </c>
      <c r="BV243" s="2" t="s">
        <v>206</v>
      </c>
      <c r="BW243" s="2" t="s">
        <v>206</v>
      </c>
      <c r="BX243" s="2" t="s">
        <v>214</v>
      </c>
      <c r="BY243" s="2" t="s">
        <v>215</v>
      </c>
      <c r="BZ243" s="2" t="s">
        <v>203</v>
      </c>
      <c r="CA243" s="2" t="s">
        <v>216</v>
      </c>
      <c r="CB243" s="2" t="s">
        <v>1907</v>
      </c>
      <c r="CC243" s="2" t="s">
        <v>218</v>
      </c>
      <c r="CD243" s="2" t="s">
        <v>206</v>
      </c>
      <c r="CE243" s="4">
        <v>318</v>
      </c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>
        <v>20</v>
      </c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</row>
    <row r="244">
      <c r="A244" s="2" t="s">
        <v>1908</v>
      </c>
      <c r="B244" s="2" t="s">
        <v>225</v>
      </c>
      <c r="C244" s="2" t="s">
        <v>1145</v>
      </c>
      <c r="D244" s="2" t="s">
        <v>227</v>
      </c>
      <c r="E244" s="2" t="s">
        <v>228</v>
      </c>
      <c r="F244" s="2" t="s">
        <v>1902</v>
      </c>
      <c r="G244" s="2" t="s">
        <v>1902</v>
      </c>
      <c r="H244" s="2" t="s">
        <v>1902</v>
      </c>
      <c r="I244" s="2" t="s">
        <v>1903</v>
      </c>
      <c r="J244" s="2" t="s">
        <v>290</v>
      </c>
      <c r="K244" s="2" t="s">
        <v>1909</v>
      </c>
      <c r="L244" s="3">
        <v>20.16</v>
      </c>
      <c r="M244" s="3">
        <v>21.17</v>
      </c>
      <c r="N244" s="3">
        <v>41.99</v>
      </c>
      <c r="O244" s="2" t="s">
        <v>203</v>
      </c>
      <c r="P244" s="2" t="s">
        <v>204</v>
      </c>
      <c r="Q244" s="2" t="s">
        <v>205</v>
      </c>
      <c r="R244" s="2" t="s">
        <v>206</v>
      </c>
      <c r="S244" s="2" t="s">
        <v>1910</v>
      </c>
      <c r="T244" s="2" t="s">
        <v>1768</v>
      </c>
      <c r="U244" s="2" t="s">
        <v>556</v>
      </c>
      <c r="V244" s="2" t="s">
        <v>209</v>
      </c>
      <c r="W244" s="2" t="s">
        <v>210</v>
      </c>
      <c r="X244" s="2" t="s">
        <v>206</v>
      </c>
      <c r="Y244" s="2" t="s">
        <v>211</v>
      </c>
      <c r="Z244" s="4">
        <v>194</v>
      </c>
      <c r="AA244" s="4">
        <f>=ROUNDDOWN(16.1666666666667,0)</f>
      </c>
      <c r="AB244" s="5">
        <v>12</v>
      </c>
      <c r="AC244" s="2" t="s">
        <v>128</v>
      </c>
      <c r="AD244" s="4">
        <v>40</v>
      </c>
      <c r="AE244" s="4">
        <v>380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206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206</v>
      </c>
      <c r="BD244" s="8" t="s">
        <v>206</v>
      </c>
      <c r="BE244" s="4" t="s">
        <v>206</v>
      </c>
      <c r="BF244" s="8" t="s">
        <v>206</v>
      </c>
      <c r="BG244" s="7" t="s">
        <v>206</v>
      </c>
      <c r="BH244" s="7" t="s">
        <v>206</v>
      </c>
      <c r="BI244" s="7"/>
      <c r="BJ244" s="4">
        <v>99</v>
      </c>
      <c r="BK244" s="8">
        <v>2078.21</v>
      </c>
      <c r="BL244" s="2" t="s">
        <v>1911</v>
      </c>
      <c r="BM244" s="7"/>
      <c r="BN244" s="7"/>
      <c r="BO244" s="4"/>
      <c r="BP244" s="8"/>
      <c r="BQ244" s="4"/>
      <c r="BR244" s="8"/>
      <c r="BS244" s="7"/>
      <c r="BT244" s="7"/>
      <c r="BU244" s="2" t="s">
        <v>1912</v>
      </c>
      <c r="BV244" s="2" t="s">
        <v>206</v>
      </c>
      <c r="BW244" s="2" t="s">
        <v>206</v>
      </c>
      <c r="BX244" s="2" t="s">
        <v>214</v>
      </c>
      <c r="BY244" s="2" t="s">
        <v>215</v>
      </c>
      <c r="BZ244" s="2" t="s">
        <v>203</v>
      </c>
      <c r="CA244" s="2" t="s">
        <v>216</v>
      </c>
      <c r="CB244" s="2" t="s">
        <v>1913</v>
      </c>
      <c r="CC244" s="2" t="s">
        <v>218</v>
      </c>
      <c r="CD244" s="2" t="s">
        <v>206</v>
      </c>
      <c r="CE244" s="4">
        <v>194</v>
      </c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>
        <v>40</v>
      </c>
      <c r="DQ244" s="4"/>
      <c r="DR244" s="4"/>
      <c r="DS244" s="4"/>
      <c r="DT244" s="4"/>
      <c r="DU244" s="4"/>
      <c r="DV244" s="4"/>
      <c r="DW244" s="4"/>
      <c r="DX244" s="4"/>
      <c r="DY244" s="4"/>
      <c r="DZ244" s="4">
        <v>220</v>
      </c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>
        <v>120</v>
      </c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</row>
    <row r="245">
      <c r="A245" s="2" t="s">
        <v>1914</v>
      </c>
      <c r="B245" s="2" t="s">
        <v>225</v>
      </c>
      <c r="C245" s="2" t="s">
        <v>1145</v>
      </c>
      <c r="D245" s="2" t="s">
        <v>227</v>
      </c>
      <c r="E245" s="2" t="s">
        <v>228</v>
      </c>
      <c r="F245" s="2" t="s">
        <v>1902</v>
      </c>
      <c r="G245" s="2" t="s">
        <v>1902</v>
      </c>
      <c r="H245" s="2" t="s">
        <v>1902</v>
      </c>
      <c r="I245" s="2" t="s">
        <v>1903</v>
      </c>
      <c r="J245" s="2" t="s">
        <v>290</v>
      </c>
      <c r="K245" s="2" t="s">
        <v>1915</v>
      </c>
      <c r="L245" s="3">
        <v>20.16</v>
      </c>
      <c r="M245" s="3">
        <v>21.17</v>
      </c>
      <c r="N245" s="3">
        <v>41.99</v>
      </c>
      <c r="O245" s="2" t="s">
        <v>203</v>
      </c>
      <c r="P245" s="2" t="s">
        <v>204</v>
      </c>
      <c r="Q245" s="2" t="s">
        <v>205</v>
      </c>
      <c r="R245" s="2" t="s">
        <v>206</v>
      </c>
      <c r="S245" s="2" t="s">
        <v>1916</v>
      </c>
      <c r="T245" s="2" t="s">
        <v>1768</v>
      </c>
      <c r="U245" s="2" t="s">
        <v>556</v>
      </c>
      <c r="V245" s="2" t="s">
        <v>209</v>
      </c>
      <c r="W245" s="2" t="s">
        <v>210</v>
      </c>
      <c r="X245" s="2" t="s">
        <v>206</v>
      </c>
      <c r="Y245" s="2" t="s">
        <v>211</v>
      </c>
      <c r="Z245" s="4">
        <v>450</v>
      </c>
      <c r="AA245" s="4">
        <f>=ROUNDDOWN(64.2857142857143,0)</f>
      </c>
      <c r="AB245" s="5">
        <v>7</v>
      </c>
      <c r="AC245" s="2" t="s">
        <v>206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206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206</v>
      </c>
      <c r="BD245" s="8" t="s">
        <v>206</v>
      </c>
      <c r="BE245" s="4" t="s">
        <v>206</v>
      </c>
      <c r="BF245" s="8" t="s">
        <v>206</v>
      </c>
      <c r="BG245" s="7" t="s">
        <v>206</v>
      </c>
      <c r="BH245" s="7" t="s">
        <v>206</v>
      </c>
      <c r="BI245" s="7"/>
      <c r="BJ245" s="4">
        <v>47</v>
      </c>
      <c r="BK245" s="8">
        <v>988.39</v>
      </c>
      <c r="BL245" s="2" t="s">
        <v>1917</v>
      </c>
      <c r="BM245" s="7"/>
      <c r="BN245" s="7"/>
      <c r="BO245" s="4"/>
      <c r="BP245" s="8"/>
      <c r="BQ245" s="4"/>
      <c r="BR245" s="8"/>
      <c r="BS245" s="7"/>
      <c r="BT245" s="7"/>
      <c r="BU245" s="2" t="s">
        <v>1918</v>
      </c>
      <c r="BV245" s="2" t="s">
        <v>206</v>
      </c>
      <c r="BW245" s="2" t="s">
        <v>206</v>
      </c>
      <c r="BX245" s="2" t="s">
        <v>214</v>
      </c>
      <c r="BY245" s="2" t="s">
        <v>215</v>
      </c>
      <c r="BZ245" s="2" t="s">
        <v>203</v>
      </c>
      <c r="CA245" s="2" t="s">
        <v>216</v>
      </c>
      <c r="CB245" s="2" t="s">
        <v>660</v>
      </c>
      <c r="CC245" s="2" t="s">
        <v>218</v>
      </c>
      <c r="CD245" s="2" t="s">
        <v>206</v>
      </c>
      <c r="CE245" s="4">
        <v>450</v>
      </c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</row>
    <row r="246">
      <c r="A246" s="2" t="s">
        <v>1919</v>
      </c>
      <c r="B246" s="2" t="s">
        <v>225</v>
      </c>
      <c r="C246" s="2" t="s">
        <v>1145</v>
      </c>
      <c r="D246" s="2" t="s">
        <v>227</v>
      </c>
      <c r="E246" s="2" t="s">
        <v>228</v>
      </c>
      <c r="F246" s="2" t="s">
        <v>1902</v>
      </c>
      <c r="G246" s="2" t="s">
        <v>1902</v>
      </c>
      <c r="H246" s="2" t="s">
        <v>1902</v>
      </c>
      <c r="I246" s="2" t="s">
        <v>1903</v>
      </c>
      <c r="J246" s="2" t="s">
        <v>290</v>
      </c>
      <c r="K246" s="2" t="s">
        <v>202</v>
      </c>
      <c r="L246" s="3">
        <v>20.16</v>
      </c>
      <c r="M246" s="3">
        <v>21.17</v>
      </c>
      <c r="N246" s="3">
        <v>41.99</v>
      </c>
      <c r="O246" s="2" t="s">
        <v>203</v>
      </c>
      <c r="P246" s="2" t="s">
        <v>204</v>
      </c>
      <c r="Q246" s="2" t="s">
        <v>205</v>
      </c>
      <c r="R246" s="2" t="s">
        <v>206</v>
      </c>
      <c r="S246" s="2" t="s">
        <v>1920</v>
      </c>
      <c r="T246" s="2" t="s">
        <v>1768</v>
      </c>
      <c r="U246" s="2" t="s">
        <v>556</v>
      </c>
      <c r="V246" s="2" t="s">
        <v>209</v>
      </c>
      <c r="W246" s="2" t="s">
        <v>210</v>
      </c>
      <c r="X246" s="2" t="s">
        <v>206</v>
      </c>
      <c r="Y246" s="2" t="s">
        <v>211</v>
      </c>
      <c r="Z246" s="4">
        <v>102</v>
      </c>
      <c r="AA246" s="4">
        <f>=ROUNDDOWN(9.27272727272727,0)</f>
      </c>
      <c r="AB246" s="5">
        <v>11</v>
      </c>
      <c r="AC246" s="2" t="s">
        <v>128</v>
      </c>
      <c r="AD246" s="4">
        <v>80</v>
      </c>
      <c r="AE246" s="4">
        <v>510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206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206</v>
      </c>
      <c r="AW246" s="8" t="s">
        <v>206</v>
      </c>
      <c r="AX246" s="4" t="s">
        <v>206</v>
      </c>
      <c r="AY246" s="8" t="s">
        <v>206</v>
      </c>
      <c r="AZ246" s="7" t="s">
        <v>206</v>
      </c>
      <c r="BA246" s="7" t="s">
        <v>206</v>
      </c>
      <c r="BB246" s="7"/>
      <c r="BC246" s="4" t="s">
        <v>206</v>
      </c>
      <c r="BD246" s="8" t="s">
        <v>206</v>
      </c>
      <c r="BE246" s="4" t="s">
        <v>206</v>
      </c>
      <c r="BF246" s="8" t="s">
        <v>206</v>
      </c>
      <c r="BG246" s="7" t="s">
        <v>206</v>
      </c>
      <c r="BH246" s="7" t="s">
        <v>206</v>
      </c>
      <c r="BI246" s="7"/>
      <c r="BJ246" s="4">
        <v>65</v>
      </c>
      <c r="BK246" s="8">
        <v>1359.14</v>
      </c>
      <c r="BL246" s="2" t="s">
        <v>1917</v>
      </c>
      <c r="BM246" s="7"/>
      <c r="BN246" s="7"/>
      <c r="BO246" s="4"/>
      <c r="BP246" s="8"/>
      <c r="BQ246" s="4"/>
      <c r="BR246" s="8"/>
      <c r="BS246" s="7"/>
      <c r="BT246" s="7"/>
      <c r="BU246" s="2" t="s">
        <v>1921</v>
      </c>
      <c r="BV246" s="2" t="s">
        <v>206</v>
      </c>
      <c r="BW246" s="2" t="s">
        <v>206</v>
      </c>
      <c r="BX246" s="2" t="s">
        <v>214</v>
      </c>
      <c r="BY246" s="2" t="s">
        <v>215</v>
      </c>
      <c r="BZ246" s="2" t="s">
        <v>203</v>
      </c>
      <c r="CA246" s="2" t="s">
        <v>216</v>
      </c>
      <c r="CB246" s="2" t="s">
        <v>1922</v>
      </c>
      <c r="CC246" s="2" t="s">
        <v>218</v>
      </c>
      <c r="CD246" s="2" t="s">
        <v>206</v>
      </c>
      <c r="CE246" s="4">
        <v>102</v>
      </c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>
        <v>80</v>
      </c>
      <c r="DQ246" s="4"/>
      <c r="DR246" s="4"/>
      <c r="DS246" s="4"/>
      <c r="DT246" s="4"/>
      <c r="DU246" s="4"/>
      <c r="DV246" s="4"/>
      <c r="DW246" s="4"/>
      <c r="DX246" s="4"/>
      <c r="DY246" s="4"/>
      <c r="DZ246" s="4">
        <v>280</v>
      </c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>
        <v>150</v>
      </c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</row>
    <row r="247">
      <c r="A247" s="2" t="s">
        <v>1923</v>
      </c>
      <c r="B247" s="2" t="s">
        <v>225</v>
      </c>
      <c r="C247" s="2" t="s">
        <v>1145</v>
      </c>
      <c r="D247" s="2" t="s">
        <v>227</v>
      </c>
      <c r="E247" s="2" t="s">
        <v>228</v>
      </c>
      <c r="F247" s="2" t="s">
        <v>1902</v>
      </c>
      <c r="G247" s="2" t="s">
        <v>1902</v>
      </c>
      <c r="H247" s="2" t="s">
        <v>1902</v>
      </c>
      <c r="I247" s="2" t="s">
        <v>1903</v>
      </c>
      <c r="J247" s="2" t="s">
        <v>220</v>
      </c>
      <c r="K247" s="2" t="s">
        <v>202</v>
      </c>
      <c r="L247" s="3">
        <v>21.6</v>
      </c>
      <c r="M247" s="3">
        <v>22.68</v>
      </c>
      <c r="N247" s="3">
        <v>44.99</v>
      </c>
      <c r="O247" s="2" t="s">
        <v>203</v>
      </c>
      <c r="P247" s="2" t="s">
        <v>204</v>
      </c>
      <c r="Q247" s="2" t="s">
        <v>205</v>
      </c>
      <c r="R247" s="2" t="s">
        <v>206</v>
      </c>
      <c r="S247" s="2" t="s">
        <v>1920</v>
      </c>
      <c r="T247" s="2" t="s">
        <v>1768</v>
      </c>
      <c r="U247" s="2" t="s">
        <v>235</v>
      </c>
      <c r="V247" s="2" t="s">
        <v>209</v>
      </c>
      <c r="W247" s="2" t="s">
        <v>210</v>
      </c>
      <c r="X247" s="2" t="s">
        <v>206</v>
      </c>
      <c r="Y247" s="2" t="s">
        <v>211</v>
      </c>
      <c r="Z247" s="4">
        <v>199</v>
      </c>
      <c r="AA247" s="4">
        <f>=ROUNDDOWN(24.875,0)</f>
      </c>
      <c r="AB247" s="5">
        <v>8</v>
      </c>
      <c r="AC247" s="2" t="s">
        <v>117</v>
      </c>
      <c r="AD247" s="4">
        <v>60</v>
      </c>
      <c r="AE247" s="4">
        <v>400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206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206</v>
      </c>
      <c r="AW247" s="8" t="s">
        <v>206</v>
      </c>
      <c r="AX247" s="4" t="s">
        <v>206</v>
      </c>
      <c r="AY247" s="8" t="s">
        <v>206</v>
      </c>
      <c r="AZ247" s="7" t="s">
        <v>206</v>
      </c>
      <c r="BA247" s="7" t="s">
        <v>206</v>
      </c>
      <c r="BB247" s="7"/>
      <c r="BC247" s="4" t="s">
        <v>206</v>
      </c>
      <c r="BD247" s="8" t="s">
        <v>206</v>
      </c>
      <c r="BE247" s="4" t="s">
        <v>206</v>
      </c>
      <c r="BF247" s="8" t="s">
        <v>206</v>
      </c>
      <c r="BG247" s="7" t="s">
        <v>206</v>
      </c>
      <c r="BH247" s="7" t="s">
        <v>206</v>
      </c>
      <c r="BI247" s="7"/>
      <c r="BJ247" s="4">
        <v>35</v>
      </c>
      <c r="BK247" s="8">
        <v>802.38</v>
      </c>
      <c r="BL247" s="2" t="s">
        <v>1924</v>
      </c>
      <c r="BM247" s="7"/>
      <c r="BN247" s="7"/>
      <c r="BO247" s="4"/>
      <c r="BP247" s="8"/>
      <c r="BQ247" s="4"/>
      <c r="BR247" s="8"/>
      <c r="BS247" s="7"/>
      <c r="BT247" s="7"/>
      <c r="BU247" s="2" t="s">
        <v>1925</v>
      </c>
      <c r="BV247" s="2" t="s">
        <v>206</v>
      </c>
      <c r="BW247" s="2" t="s">
        <v>206</v>
      </c>
      <c r="BX247" s="2" t="s">
        <v>214</v>
      </c>
      <c r="BY247" s="2" t="s">
        <v>215</v>
      </c>
      <c r="BZ247" s="2" t="s">
        <v>203</v>
      </c>
      <c r="CA247" s="2" t="s">
        <v>216</v>
      </c>
      <c r="CB247" s="2" t="s">
        <v>1623</v>
      </c>
      <c r="CC247" s="2" t="s">
        <v>218</v>
      </c>
      <c r="CD247" s="2" t="s">
        <v>206</v>
      </c>
      <c r="CE247" s="4">
        <v>199</v>
      </c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>
        <v>60</v>
      </c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>
        <v>40</v>
      </c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>
        <v>200</v>
      </c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>
        <v>100</v>
      </c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</row>
    <row r="248">
      <c r="A248" s="2" t="s">
        <v>1926</v>
      </c>
      <c r="B248" s="2" t="s">
        <v>225</v>
      </c>
      <c r="C248" s="2" t="s">
        <v>1927</v>
      </c>
      <c r="D248" s="2" t="s">
        <v>227</v>
      </c>
      <c r="E248" s="2" t="s">
        <v>228</v>
      </c>
      <c r="F248" s="2" t="s">
        <v>1928</v>
      </c>
      <c r="G248" s="2" t="s">
        <v>1928</v>
      </c>
      <c r="H248" s="2" t="s">
        <v>1928</v>
      </c>
      <c r="I248" s="2" t="s">
        <v>230</v>
      </c>
      <c r="J248" s="2" t="s">
        <v>310</v>
      </c>
      <c r="K248" s="2" t="s">
        <v>1929</v>
      </c>
      <c r="L248" s="3">
        <v>28.98</v>
      </c>
      <c r="M248" s="3">
        <v>30.43</v>
      </c>
      <c r="N248" s="3">
        <v>64.99</v>
      </c>
      <c r="O248" s="2" t="s">
        <v>203</v>
      </c>
      <c r="P248" s="2" t="s">
        <v>204</v>
      </c>
      <c r="Q248" s="2" t="s">
        <v>205</v>
      </c>
      <c r="R248" s="2" t="s">
        <v>206</v>
      </c>
      <c r="S248" s="2" t="s">
        <v>1930</v>
      </c>
      <c r="T248" s="2" t="s">
        <v>1931</v>
      </c>
      <c r="U248" s="2" t="s">
        <v>206</v>
      </c>
      <c r="V248" s="2" t="s">
        <v>1932</v>
      </c>
      <c r="W248" s="2" t="s">
        <v>1152</v>
      </c>
      <c r="X248" s="2" t="s">
        <v>210</v>
      </c>
      <c r="Y248" s="2" t="s">
        <v>1933</v>
      </c>
      <c r="Z248" s="4">
        <v>441</v>
      </c>
      <c r="AA248" s="4">
        <f>=ROUNDDOWN(88.2,0)</f>
      </c>
      <c r="AB248" s="5">
        <v>5</v>
      </c>
      <c r="AC248" s="2" t="s">
        <v>206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206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/>
      <c r="BD248" s="8"/>
      <c r="BE248" s="4"/>
      <c r="BF248" s="8"/>
      <c r="BG248" s="7"/>
      <c r="BH248" s="7"/>
      <c r="BI248" s="7"/>
      <c r="BJ248" s="4">
        <v>25</v>
      </c>
      <c r="BK248" s="8">
        <v>846.02</v>
      </c>
      <c r="BL248" s="2" t="s">
        <v>1934</v>
      </c>
      <c r="BM248" s="7"/>
      <c r="BN248" s="7"/>
      <c r="BO248" s="4"/>
      <c r="BP248" s="8"/>
      <c r="BQ248" s="4"/>
      <c r="BR248" s="8"/>
      <c r="BS248" s="7"/>
      <c r="BT248" s="7"/>
      <c r="BU248" s="2" t="s">
        <v>1935</v>
      </c>
      <c r="BV248" s="2" t="s">
        <v>206</v>
      </c>
      <c r="BW248" s="2" t="s">
        <v>206</v>
      </c>
      <c r="BX248" s="2" t="s">
        <v>1936</v>
      </c>
      <c r="BY248" s="2" t="s">
        <v>215</v>
      </c>
      <c r="BZ248" s="2" t="s">
        <v>203</v>
      </c>
      <c r="CA248" s="2" t="s">
        <v>1937</v>
      </c>
      <c r="CB248" s="2" t="s">
        <v>1938</v>
      </c>
      <c r="CC248" s="2" t="s">
        <v>218</v>
      </c>
      <c r="CD248" s="2" t="s">
        <v>206</v>
      </c>
      <c r="CE248" s="4">
        <v>441</v>
      </c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</row>
    <row r="249">
      <c r="A249" s="2" t="s">
        <v>1939</v>
      </c>
      <c r="B249" s="2" t="s">
        <v>507</v>
      </c>
      <c r="C249" s="2" t="s">
        <v>828</v>
      </c>
      <c r="D249" s="2" t="s">
        <v>508</v>
      </c>
      <c r="E249" s="2" t="s">
        <v>509</v>
      </c>
      <c r="F249" s="2" t="s">
        <v>1940</v>
      </c>
      <c r="G249" s="2" t="s">
        <v>1940</v>
      </c>
      <c r="H249" s="2" t="s">
        <v>1940</v>
      </c>
      <c r="I249" s="2" t="s">
        <v>1941</v>
      </c>
      <c r="J249" s="2" t="s">
        <v>434</v>
      </c>
      <c r="K249" s="2" t="s">
        <v>202</v>
      </c>
      <c r="L249" s="3">
        <v>62.74</v>
      </c>
      <c r="M249" s="3">
        <v>65.88</v>
      </c>
      <c r="N249" s="3">
        <v>134.99</v>
      </c>
      <c r="O249" s="2" t="s">
        <v>203</v>
      </c>
      <c r="P249" s="2" t="s">
        <v>204</v>
      </c>
      <c r="Q249" s="2" t="s">
        <v>205</v>
      </c>
      <c r="R249" s="2" t="s">
        <v>206</v>
      </c>
      <c r="S249" s="2" t="s">
        <v>206</v>
      </c>
      <c r="T249" s="2" t="s">
        <v>206</v>
      </c>
      <c r="U249" s="2" t="s">
        <v>900</v>
      </c>
      <c r="V249" s="2" t="s">
        <v>468</v>
      </c>
      <c r="W249" s="2" t="s">
        <v>210</v>
      </c>
      <c r="X249" s="2" t="s">
        <v>206</v>
      </c>
      <c r="Y249" s="2" t="s">
        <v>1942</v>
      </c>
      <c r="Z249" s="4">
        <v>35</v>
      </c>
      <c r="AA249" s="4">
        <f>=ROUNDDOWN(17.5,0)</f>
      </c>
      <c r="AB249" s="5">
        <v>2</v>
      </c>
      <c r="AC249" s="2" t="s">
        <v>206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206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/>
      <c r="BD249" s="8"/>
      <c r="BE249" s="4"/>
      <c r="BF249" s="8"/>
      <c r="BG249" s="7"/>
      <c r="BH249" s="7"/>
      <c r="BI249" s="7"/>
      <c r="BJ249" s="4">
        <v>16</v>
      </c>
      <c r="BK249" s="8">
        <v>1138.61</v>
      </c>
      <c r="BL249" s="2" t="s">
        <v>1943</v>
      </c>
      <c r="BM249" s="7"/>
      <c r="BN249" s="7"/>
      <c r="BO249" s="4"/>
      <c r="BP249" s="8"/>
      <c r="BQ249" s="4"/>
      <c r="BR249" s="8"/>
      <c r="BS249" s="7"/>
      <c r="BT249" s="7"/>
      <c r="BU249" s="2" t="s">
        <v>1944</v>
      </c>
      <c r="BV249" s="2" t="s">
        <v>206</v>
      </c>
      <c r="BW249" s="2" t="s">
        <v>206</v>
      </c>
      <c r="BX249" s="2" t="s">
        <v>214</v>
      </c>
      <c r="BY249" s="2" t="s">
        <v>215</v>
      </c>
      <c r="BZ249" s="2" t="s">
        <v>203</v>
      </c>
      <c r="CA249" s="2" t="s">
        <v>1945</v>
      </c>
      <c r="CB249" s="2" t="s">
        <v>1946</v>
      </c>
      <c r="CC249" s="2" t="s">
        <v>218</v>
      </c>
      <c r="CD249" s="2" t="s">
        <v>206</v>
      </c>
      <c r="CE249" s="4"/>
      <c r="CF249" s="4">
        <v>35</v>
      </c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</row>
    <row r="250">
      <c r="A250" s="2" t="s">
        <v>1947</v>
      </c>
      <c r="B250" s="2" t="s">
        <v>225</v>
      </c>
      <c r="C250" s="2" t="s">
        <v>1948</v>
      </c>
      <c r="D250" s="2" t="s">
        <v>227</v>
      </c>
      <c r="E250" s="2" t="s">
        <v>228</v>
      </c>
      <c r="F250" s="2" t="s">
        <v>1949</v>
      </c>
      <c r="G250" s="2" t="s">
        <v>1949</v>
      </c>
      <c r="H250" s="2" t="s">
        <v>1949</v>
      </c>
      <c r="I250" s="2" t="s">
        <v>1950</v>
      </c>
      <c r="J250" s="2" t="s">
        <v>201</v>
      </c>
      <c r="K250" s="2" t="s">
        <v>1951</v>
      </c>
      <c r="L250" s="3">
        <v>14.89</v>
      </c>
      <c r="M250" s="3">
        <v>15.63</v>
      </c>
      <c r="N250" s="3">
        <v>31.99</v>
      </c>
      <c r="O250" s="2" t="s">
        <v>203</v>
      </c>
      <c r="P250" s="2" t="s">
        <v>492</v>
      </c>
      <c r="Q250" s="2" t="s">
        <v>205</v>
      </c>
      <c r="R250" s="2" t="s">
        <v>206</v>
      </c>
      <c r="S250" s="2" t="s">
        <v>1952</v>
      </c>
      <c r="T250" s="2" t="s">
        <v>1931</v>
      </c>
      <c r="U250" s="2" t="s">
        <v>556</v>
      </c>
      <c r="V250" s="2" t="s">
        <v>1932</v>
      </c>
      <c r="W250" s="2" t="s">
        <v>210</v>
      </c>
      <c r="X250" s="2" t="s">
        <v>206</v>
      </c>
      <c r="Y250" s="2" t="s">
        <v>1953</v>
      </c>
      <c r="Z250" s="4">
        <v>855</v>
      </c>
      <c r="AA250" s="4">
        <f>=ROUNDDOWN(19,0)</f>
      </c>
      <c r="AB250" s="5">
        <v>45</v>
      </c>
      <c r="AC250" s="2" t="s">
        <v>114</v>
      </c>
      <c r="AD250" s="4">
        <v>487</v>
      </c>
      <c r="AE250" s="4">
        <v>809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206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 t="s">
        <v>206</v>
      </c>
      <c r="AW250" s="8" t="s">
        <v>206</v>
      </c>
      <c r="AX250" s="4" t="s">
        <v>206</v>
      </c>
      <c r="AY250" s="8" t="s">
        <v>206</v>
      </c>
      <c r="AZ250" s="7" t="s">
        <v>206</v>
      </c>
      <c r="BA250" s="7" t="s">
        <v>206</v>
      </c>
      <c r="BB250" s="7"/>
      <c r="BC250" s="4" t="s">
        <v>206</v>
      </c>
      <c r="BD250" s="8" t="s">
        <v>206</v>
      </c>
      <c r="BE250" s="4" t="s">
        <v>206</v>
      </c>
      <c r="BF250" s="8" t="s">
        <v>206</v>
      </c>
      <c r="BG250" s="7" t="s">
        <v>206</v>
      </c>
      <c r="BH250" s="7" t="s">
        <v>206</v>
      </c>
      <c r="BI250" s="7"/>
      <c r="BJ250" s="4">
        <v>348</v>
      </c>
      <c r="BK250" s="8">
        <v>5793.43</v>
      </c>
      <c r="BL250" s="2" t="s">
        <v>1954</v>
      </c>
      <c r="BM250" s="7"/>
      <c r="BN250" s="7"/>
      <c r="BO250" s="4"/>
      <c r="BP250" s="8"/>
      <c r="BQ250" s="4"/>
      <c r="BR250" s="8"/>
      <c r="BS250" s="7"/>
      <c r="BT250" s="7"/>
      <c r="BU250" s="2" t="s">
        <v>1955</v>
      </c>
      <c r="BV250" s="2" t="s">
        <v>206</v>
      </c>
      <c r="BW250" s="2" t="s">
        <v>206</v>
      </c>
      <c r="BX250" s="2" t="s">
        <v>214</v>
      </c>
      <c r="BY250" s="2" t="s">
        <v>215</v>
      </c>
      <c r="BZ250" s="2" t="s">
        <v>203</v>
      </c>
      <c r="CA250" s="2" t="s">
        <v>1956</v>
      </c>
      <c r="CB250" s="2" t="s">
        <v>1957</v>
      </c>
      <c r="CC250" s="2" t="s">
        <v>218</v>
      </c>
      <c r="CD250" s="2" t="s">
        <v>206</v>
      </c>
      <c r="CE250" s="4">
        <v>855</v>
      </c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>
        <v>487</v>
      </c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>
        <v>42</v>
      </c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>
        <v>280</v>
      </c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</row>
    <row r="251">
      <c r="A251" s="2" t="s">
        <v>1958</v>
      </c>
      <c r="B251" s="2" t="s">
        <v>225</v>
      </c>
      <c r="C251" s="2" t="s">
        <v>1948</v>
      </c>
      <c r="D251" s="2" t="s">
        <v>227</v>
      </c>
      <c r="E251" s="2" t="s">
        <v>228</v>
      </c>
      <c r="F251" s="2" t="s">
        <v>1949</v>
      </c>
      <c r="G251" s="2" t="s">
        <v>1949</v>
      </c>
      <c r="H251" s="2" t="s">
        <v>1949</v>
      </c>
      <c r="I251" s="2" t="s">
        <v>1950</v>
      </c>
      <c r="J251" s="2" t="s">
        <v>290</v>
      </c>
      <c r="K251" s="2" t="s">
        <v>1951</v>
      </c>
      <c r="L251" s="3">
        <v>16.16</v>
      </c>
      <c r="M251" s="3">
        <v>16.97</v>
      </c>
      <c r="N251" s="3">
        <v>34.99</v>
      </c>
      <c r="O251" s="2" t="s">
        <v>203</v>
      </c>
      <c r="P251" s="2" t="s">
        <v>204</v>
      </c>
      <c r="Q251" s="2" t="s">
        <v>205</v>
      </c>
      <c r="R251" s="2" t="s">
        <v>206</v>
      </c>
      <c r="S251" s="2" t="s">
        <v>1952</v>
      </c>
      <c r="T251" s="2" t="s">
        <v>1931</v>
      </c>
      <c r="U251" s="2" t="s">
        <v>206</v>
      </c>
      <c r="V251" s="2" t="s">
        <v>1932</v>
      </c>
      <c r="W251" s="2" t="s">
        <v>210</v>
      </c>
      <c r="X251" s="2" t="s">
        <v>206</v>
      </c>
      <c r="Y251" s="2" t="s">
        <v>1953</v>
      </c>
      <c r="Z251" s="4">
        <v>229</v>
      </c>
      <c r="AA251" s="4">
        <f>=ROUNDDOWN(14.3125,0)</f>
      </c>
      <c r="AB251" s="5">
        <v>16</v>
      </c>
      <c r="AC251" s="2" t="s">
        <v>114</v>
      </c>
      <c r="AD251" s="4">
        <v>178</v>
      </c>
      <c r="AE251" s="4">
        <v>284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206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206</v>
      </c>
      <c r="AW251" s="8" t="s">
        <v>206</v>
      </c>
      <c r="AX251" s="4" t="s">
        <v>206</v>
      </c>
      <c r="AY251" s="8" t="s">
        <v>206</v>
      </c>
      <c r="AZ251" s="7" t="s">
        <v>206</v>
      </c>
      <c r="BA251" s="7" t="s">
        <v>206</v>
      </c>
      <c r="BB251" s="7"/>
      <c r="BC251" s="4" t="s">
        <v>206</v>
      </c>
      <c r="BD251" s="8" t="s">
        <v>206</v>
      </c>
      <c r="BE251" s="4" t="s">
        <v>206</v>
      </c>
      <c r="BF251" s="8" t="s">
        <v>206</v>
      </c>
      <c r="BG251" s="7" t="s">
        <v>206</v>
      </c>
      <c r="BH251" s="7" t="s">
        <v>206</v>
      </c>
      <c r="BI251" s="7"/>
      <c r="BJ251" s="4">
        <v>164</v>
      </c>
      <c r="BK251" s="8">
        <v>3081.52</v>
      </c>
      <c r="BL251" s="2" t="s">
        <v>1959</v>
      </c>
      <c r="BM251" s="7"/>
      <c r="BN251" s="7"/>
      <c r="BO251" s="4"/>
      <c r="BP251" s="8"/>
      <c r="BQ251" s="4"/>
      <c r="BR251" s="8"/>
      <c r="BS251" s="7"/>
      <c r="BT251" s="7"/>
      <c r="BU251" s="2" t="s">
        <v>1960</v>
      </c>
      <c r="BV251" s="2" t="s">
        <v>206</v>
      </c>
      <c r="BW251" s="2" t="s">
        <v>206</v>
      </c>
      <c r="BX251" s="2" t="s">
        <v>214</v>
      </c>
      <c r="BY251" s="2" t="s">
        <v>215</v>
      </c>
      <c r="BZ251" s="2" t="s">
        <v>203</v>
      </c>
      <c r="CA251" s="2" t="s">
        <v>1956</v>
      </c>
      <c r="CB251" s="2" t="s">
        <v>1961</v>
      </c>
      <c r="CC251" s="2" t="s">
        <v>218</v>
      </c>
      <c r="CD251" s="2" t="s">
        <v>206</v>
      </c>
      <c r="CE251" s="4">
        <v>229</v>
      </c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>
        <v>178</v>
      </c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>
        <v>26</v>
      </c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>
        <v>80</v>
      </c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</row>
    <row r="252">
      <c r="A252" s="2" t="s">
        <v>1962</v>
      </c>
      <c r="B252" s="2" t="s">
        <v>225</v>
      </c>
      <c r="C252" s="2" t="s">
        <v>1948</v>
      </c>
      <c r="D252" s="2" t="s">
        <v>227</v>
      </c>
      <c r="E252" s="2" t="s">
        <v>228</v>
      </c>
      <c r="F252" s="2" t="s">
        <v>1949</v>
      </c>
      <c r="G252" s="2" t="s">
        <v>1949</v>
      </c>
      <c r="H252" s="2" t="s">
        <v>1949</v>
      </c>
      <c r="I252" s="2" t="s">
        <v>1950</v>
      </c>
      <c r="J252" s="2" t="s">
        <v>310</v>
      </c>
      <c r="K252" s="2" t="s">
        <v>1951</v>
      </c>
      <c r="L252" s="3">
        <v>27.39</v>
      </c>
      <c r="M252" s="3">
        <v>28.76</v>
      </c>
      <c r="N252" s="3">
        <v>62.99</v>
      </c>
      <c r="O252" s="2" t="s">
        <v>203</v>
      </c>
      <c r="P252" s="2" t="s">
        <v>204</v>
      </c>
      <c r="Q252" s="2" t="s">
        <v>205</v>
      </c>
      <c r="R252" s="2" t="s">
        <v>206</v>
      </c>
      <c r="S252" s="2" t="s">
        <v>1952</v>
      </c>
      <c r="T252" s="2" t="s">
        <v>1931</v>
      </c>
      <c r="U252" s="2" t="s">
        <v>206</v>
      </c>
      <c r="V252" s="2" t="s">
        <v>1932</v>
      </c>
      <c r="W252" s="2" t="s">
        <v>210</v>
      </c>
      <c r="X252" s="2" t="s">
        <v>206</v>
      </c>
      <c r="Y252" s="2" t="s">
        <v>1953</v>
      </c>
      <c r="Z252" s="4">
        <v>287</v>
      </c>
      <c r="AA252" s="4">
        <f>=ROUNDDOWN(31.8888888888889,0)</f>
      </c>
      <c r="AB252" s="5">
        <v>9</v>
      </c>
      <c r="AC252" s="2" t="s">
        <v>114</v>
      </c>
      <c r="AD252" s="4">
        <v>69</v>
      </c>
      <c r="AE252" s="4">
        <v>83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206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206</v>
      </c>
      <c r="AW252" s="8" t="s">
        <v>206</v>
      </c>
      <c r="AX252" s="4" t="s">
        <v>206</v>
      </c>
      <c r="AY252" s="8" t="s">
        <v>206</v>
      </c>
      <c r="AZ252" s="7" t="s">
        <v>206</v>
      </c>
      <c r="BA252" s="7" t="s">
        <v>206</v>
      </c>
      <c r="BB252" s="7"/>
      <c r="BC252" s="4" t="s">
        <v>206</v>
      </c>
      <c r="BD252" s="8" t="s">
        <v>206</v>
      </c>
      <c r="BE252" s="4" t="s">
        <v>206</v>
      </c>
      <c r="BF252" s="8" t="s">
        <v>206</v>
      </c>
      <c r="BG252" s="7" t="s">
        <v>206</v>
      </c>
      <c r="BH252" s="7" t="s">
        <v>206</v>
      </c>
      <c r="BI252" s="7"/>
      <c r="BJ252" s="4">
        <v>79</v>
      </c>
      <c r="BK252" s="8">
        <v>2285.69</v>
      </c>
      <c r="BL252" s="2" t="s">
        <v>1963</v>
      </c>
      <c r="BM252" s="7"/>
      <c r="BN252" s="7"/>
      <c r="BO252" s="4"/>
      <c r="BP252" s="8"/>
      <c r="BQ252" s="4"/>
      <c r="BR252" s="8"/>
      <c r="BS252" s="7"/>
      <c r="BT252" s="7"/>
      <c r="BU252" s="2" t="s">
        <v>1964</v>
      </c>
      <c r="BV252" s="2" t="s">
        <v>206</v>
      </c>
      <c r="BW252" s="2" t="s">
        <v>206</v>
      </c>
      <c r="BX252" s="2" t="s">
        <v>214</v>
      </c>
      <c r="BY252" s="2" t="s">
        <v>215</v>
      </c>
      <c r="BZ252" s="2" t="s">
        <v>203</v>
      </c>
      <c r="CA252" s="2" t="s">
        <v>1956</v>
      </c>
      <c r="CB252" s="2" t="s">
        <v>1965</v>
      </c>
      <c r="CC252" s="2" t="s">
        <v>218</v>
      </c>
      <c r="CD252" s="2" t="s">
        <v>206</v>
      </c>
      <c r="CE252" s="4">
        <v>287</v>
      </c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>
        <v>69</v>
      </c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>
        <v>14</v>
      </c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</row>
    <row r="253">
      <c r="A253" s="2" t="s">
        <v>1966</v>
      </c>
      <c r="B253" s="2" t="s">
        <v>225</v>
      </c>
      <c r="C253" s="2" t="s">
        <v>1948</v>
      </c>
      <c r="D253" s="2" t="s">
        <v>227</v>
      </c>
      <c r="E253" s="2" t="s">
        <v>228</v>
      </c>
      <c r="F253" s="2" t="s">
        <v>1949</v>
      </c>
      <c r="G253" s="2" t="s">
        <v>1949</v>
      </c>
      <c r="H253" s="2" t="s">
        <v>1949</v>
      </c>
      <c r="I253" s="2" t="s">
        <v>1950</v>
      </c>
      <c r="J253" s="2" t="s">
        <v>282</v>
      </c>
      <c r="K253" s="2" t="s">
        <v>1967</v>
      </c>
      <c r="L253" s="3">
        <v>22.21</v>
      </c>
      <c r="M253" s="3">
        <v>23.32</v>
      </c>
      <c r="N253" s="3">
        <v>47.99</v>
      </c>
      <c r="O253" s="2" t="s">
        <v>203</v>
      </c>
      <c r="P253" s="2" t="s">
        <v>492</v>
      </c>
      <c r="Q253" s="2" t="s">
        <v>205</v>
      </c>
      <c r="R253" s="2" t="s">
        <v>206</v>
      </c>
      <c r="S253" s="2" t="s">
        <v>1968</v>
      </c>
      <c r="T253" s="2" t="s">
        <v>1931</v>
      </c>
      <c r="U253" s="2" t="s">
        <v>235</v>
      </c>
      <c r="V253" s="2" t="s">
        <v>1932</v>
      </c>
      <c r="W253" s="2" t="s">
        <v>210</v>
      </c>
      <c r="X253" s="2" t="s">
        <v>1152</v>
      </c>
      <c r="Y253" s="2" t="s">
        <v>1969</v>
      </c>
      <c r="Z253" s="4">
        <v>553</v>
      </c>
      <c r="AA253" s="4">
        <f>=ROUNDDOWN(10.843137254902,0)</f>
      </c>
      <c r="AB253" s="5">
        <v>51</v>
      </c>
      <c r="AC253" s="2" t="s">
        <v>1970</v>
      </c>
      <c r="AD253" s="4">
        <v>260</v>
      </c>
      <c r="AE253" s="4">
        <v>260</v>
      </c>
      <c r="AF253" s="6">
        <v>65</v>
      </c>
      <c r="AG253" s="6"/>
      <c r="AH253" s="7">
        <v>0.5484</v>
      </c>
      <c r="AI253" s="4"/>
      <c r="AJ253" s="4">
        <f>=ROUNDDOWN({0},0)</f>
      </c>
      <c r="AK253" s="5"/>
      <c r="AL253" s="2" t="s">
        <v>206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 t="s">
        <v>206</v>
      </c>
      <c r="BD253" s="8" t="s">
        <v>206</v>
      </c>
      <c r="BE253" s="4" t="s">
        <v>206</v>
      </c>
      <c r="BF253" s="8" t="s">
        <v>206</v>
      </c>
      <c r="BG253" s="7" t="s">
        <v>206</v>
      </c>
      <c r="BH253" s="7" t="s">
        <v>206</v>
      </c>
      <c r="BI253" s="7"/>
      <c r="BJ253" s="4">
        <v>1481</v>
      </c>
      <c r="BK253" s="8">
        <v>35118.05</v>
      </c>
      <c r="BL253" s="2" t="s">
        <v>1971</v>
      </c>
      <c r="BM253" s="7"/>
      <c r="BN253" s="7"/>
      <c r="BO253" s="4"/>
      <c r="BP253" s="8"/>
      <c r="BQ253" s="4"/>
      <c r="BR253" s="8"/>
      <c r="BS253" s="7"/>
      <c r="BT253" s="7"/>
      <c r="BU253" s="2" t="s">
        <v>1972</v>
      </c>
      <c r="BV253" s="2" t="s">
        <v>206</v>
      </c>
      <c r="BW253" s="2" t="s">
        <v>206</v>
      </c>
      <c r="BX253" s="2" t="s">
        <v>214</v>
      </c>
      <c r="BY253" s="2" t="s">
        <v>215</v>
      </c>
      <c r="BZ253" s="2" t="s">
        <v>203</v>
      </c>
      <c r="CA253" s="2" t="s">
        <v>1973</v>
      </c>
      <c r="CB253" s="2" t="s">
        <v>1974</v>
      </c>
      <c r="CC253" s="2" t="s">
        <v>218</v>
      </c>
      <c r="CD253" s="2" t="s">
        <v>206</v>
      </c>
      <c r="CE253" s="4">
        <v>553</v>
      </c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>
        <v>260</v>
      </c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</row>
    <row r="254">
      <c r="A254" s="2" t="s">
        <v>1975</v>
      </c>
      <c r="B254" s="2" t="s">
        <v>225</v>
      </c>
      <c r="C254" s="2" t="s">
        <v>1948</v>
      </c>
      <c r="D254" s="2" t="s">
        <v>227</v>
      </c>
      <c r="E254" s="2" t="s">
        <v>228</v>
      </c>
      <c r="F254" s="2" t="s">
        <v>1949</v>
      </c>
      <c r="G254" s="2" t="s">
        <v>1949</v>
      </c>
      <c r="H254" s="2" t="s">
        <v>1949</v>
      </c>
      <c r="I254" s="2" t="s">
        <v>1950</v>
      </c>
      <c r="J254" s="2" t="s">
        <v>201</v>
      </c>
      <c r="K254" s="2" t="s">
        <v>1976</v>
      </c>
      <c r="L254" s="3">
        <v>14.89</v>
      </c>
      <c r="M254" s="3">
        <v>15.63</v>
      </c>
      <c r="N254" s="3">
        <v>31.99</v>
      </c>
      <c r="O254" s="2" t="s">
        <v>203</v>
      </c>
      <c r="P254" s="2" t="s">
        <v>492</v>
      </c>
      <c r="Q254" s="2" t="s">
        <v>205</v>
      </c>
      <c r="R254" s="2" t="s">
        <v>206</v>
      </c>
      <c r="S254" s="2" t="s">
        <v>1977</v>
      </c>
      <c r="T254" s="2" t="s">
        <v>1931</v>
      </c>
      <c r="U254" s="2" t="s">
        <v>206</v>
      </c>
      <c r="V254" s="2" t="s">
        <v>1932</v>
      </c>
      <c r="W254" s="2" t="s">
        <v>210</v>
      </c>
      <c r="X254" s="2" t="s">
        <v>206</v>
      </c>
      <c r="Y254" s="2" t="s">
        <v>1953</v>
      </c>
      <c r="Z254" s="4">
        <v>38</v>
      </c>
      <c r="AA254" s="4">
        <f>=ROUNDDOWN(0.76,0)</f>
      </c>
      <c r="AB254" s="5">
        <v>50</v>
      </c>
      <c r="AC254" s="2" t="s">
        <v>114</v>
      </c>
      <c r="AD254" s="4">
        <v>543</v>
      </c>
      <c r="AE254" s="4">
        <v>589</v>
      </c>
      <c r="AF254" s="6">
        <v>65</v>
      </c>
      <c r="AG254" s="6"/>
      <c r="AH254" s="7">
        <v>0.7742</v>
      </c>
      <c r="AI254" s="4"/>
      <c r="AJ254" s="4">
        <f>=ROUNDDOWN({0},0)</f>
      </c>
      <c r="AK254" s="5"/>
      <c r="AL254" s="2" t="s">
        <v>206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 t="s">
        <v>206</v>
      </c>
      <c r="BD254" s="8" t="s">
        <v>206</v>
      </c>
      <c r="BE254" s="4" t="s">
        <v>206</v>
      </c>
      <c r="BF254" s="8" t="s">
        <v>206</v>
      </c>
      <c r="BG254" s="7" t="s">
        <v>206</v>
      </c>
      <c r="BH254" s="7" t="s">
        <v>206</v>
      </c>
      <c r="BI254" s="7"/>
      <c r="BJ254" s="4">
        <v>1194</v>
      </c>
      <c r="BK254" s="8">
        <v>18910.32</v>
      </c>
      <c r="BL254" s="2" t="s">
        <v>1978</v>
      </c>
      <c r="BM254" s="7"/>
      <c r="BN254" s="7"/>
      <c r="BO254" s="4"/>
      <c r="BP254" s="8"/>
      <c r="BQ254" s="4"/>
      <c r="BR254" s="8"/>
      <c r="BS254" s="7"/>
      <c r="BT254" s="7"/>
      <c r="BU254" s="2" t="s">
        <v>1979</v>
      </c>
      <c r="BV254" s="2" t="s">
        <v>206</v>
      </c>
      <c r="BW254" s="2" t="s">
        <v>206</v>
      </c>
      <c r="BX254" s="2" t="s">
        <v>214</v>
      </c>
      <c r="BY254" s="2" t="s">
        <v>215</v>
      </c>
      <c r="BZ254" s="2" t="s">
        <v>203</v>
      </c>
      <c r="CA254" s="2" t="s">
        <v>1956</v>
      </c>
      <c r="CB254" s="2" t="s">
        <v>1980</v>
      </c>
      <c r="CC254" s="2" t="s">
        <v>218</v>
      </c>
      <c r="CD254" s="2" t="s">
        <v>206</v>
      </c>
      <c r="CE254" s="4">
        <v>14</v>
      </c>
      <c r="CF254" s="4"/>
      <c r="CG254" s="4"/>
      <c r="CH254" s="4"/>
      <c r="CI254" s="4"/>
      <c r="CJ254" s="4"/>
      <c r="CK254" s="4">
        <v>24</v>
      </c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>
        <v>543</v>
      </c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>
        <v>46</v>
      </c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</row>
    <row r="255">
      <c r="A255" s="2" t="s">
        <v>1981</v>
      </c>
      <c r="B255" s="2" t="s">
        <v>225</v>
      </c>
      <c r="C255" s="2" t="s">
        <v>1948</v>
      </c>
      <c r="D255" s="2" t="s">
        <v>227</v>
      </c>
      <c r="E255" s="2" t="s">
        <v>228</v>
      </c>
      <c r="F255" s="2" t="s">
        <v>1949</v>
      </c>
      <c r="G255" s="2" t="s">
        <v>1949</v>
      </c>
      <c r="H255" s="2" t="s">
        <v>1949</v>
      </c>
      <c r="I255" s="2" t="s">
        <v>1950</v>
      </c>
      <c r="J255" s="2" t="s">
        <v>231</v>
      </c>
      <c r="K255" s="2" t="s">
        <v>1982</v>
      </c>
      <c r="L255" s="3">
        <v>27.39</v>
      </c>
      <c r="M255" s="3">
        <v>28.76</v>
      </c>
      <c r="N255" s="3">
        <v>62.99</v>
      </c>
      <c r="O255" s="2" t="s">
        <v>203</v>
      </c>
      <c r="P255" s="2" t="s">
        <v>773</v>
      </c>
      <c r="Q255" s="2" t="s">
        <v>205</v>
      </c>
      <c r="R255" s="2" t="s">
        <v>206</v>
      </c>
      <c r="S255" s="2" t="s">
        <v>1983</v>
      </c>
      <c r="T255" s="2" t="s">
        <v>1931</v>
      </c>
      <c r="U255" s="2" t="s">
        <v>235</v>
      </c>
      <c r="V255" s="2" t="s">
        <v>958</v>
      </c>
      <c r="W255" s="2" t="s">
        <v>210</v>
      </c>
      <c r="X255" s="2" t="s">
        <v>539</v>
      </c>
      <c r="Y255" s="2" t="s">
        <v>1984</v>
      </c>
      <c r="Z255" s="4">
        <v>780</v>
      </c>
      <c r="AA255" s="4">
        <f>=ROUNDDOWN(33.9130434782609,0)</f>
      </c>
      <c r="AB255" s="5">
        <v>23</v>
      </c>
      <c r="AC255" s="2" t="s">
        <v>120</v>
      </c>
      <c r="AD255" s="4">
        <v>333</v>
      </c>
      <c r="AE255" s="4">
        <v>333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206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206</v>
      </c>
      <c r="BD255" s="8" t="s">
        <v>206</v>
      </c>
      <c r="BE255" s="4" t="s">
        <v>206</v>
      </c>
      <c r="BF255" s="8" t="s">
        <v>206</v>
      </c>
      <c r="BG255" s="7" t="s">
        <v>206</v>
      </c>
      <c r="BH255" s="7" t="s">
        <v>206</v>
      </c>
      <c r="BI255" s="7"/>
      <c r="BJ255" s="4">
        <v>135</v>
      </c>
      <c r="BK255" s="8">
        <v>4092.65</v>
      </c>
      <c r="BL255" s="2" t="s">
        <v>1985</v>
      </c>
      <c r="BM255" s="7"/>
      <c r="BN255" s="7"/>
      <c r="BO255" s="4"/>
      <c r="BP255" s="8"/>
      <c r="BQ255" s="4"/>
      <c r="BR255" s="8"/>
      <c r="BS255" s="7"/>
      <c r="BT255" s="7"/>
      <c r="BU255" s="2" t="s">
        <v>1986</v>
      </c>
      <c r="BV255" s="2" t="s">
        <v>206</v>
      </c>
      <c r="BW255" s="2" t="s">
        <v>206</v>
      </c>
      <c r="BX255" s="2" t="s">
        <v>214</v>
      </c>
      <c r="BY255" s="2" t="s">
        <v>215</v>
      </c>
      <c r="BZ255" s="2" t="s">
        <v>203</v>
      </c>
      <c r="CA255" s="2" t="s">
        <v>1987</v>
      </c>
      <c r="CB255" s="2" t="s">
        <v>1988</v>
      </c>
      <c r="CC255" s="2" t="s">
        <v>218</v>
      </c>
      <c r="CD255" s="2" t="s">
        <v>206</v>
      </c>
      <c r="CE255" s="4">
        <v>548</v>
      </c>
      <c r="CF255" s="4">
        <v>230</v>
      </c>
      <c r="CG255" s="4"/>
      <c r="CH255" s="4"/>
      <c r="CI255" s="4"/>
      <c r="CJ255" s="4"/>
      <c r="CK255" s="4">
        <v>2</v>
      </c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>
        <v>333</v>
      </c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</row>
    <row r="256">
      <c r="A256" s="2" t="s">
        <v>1989</v>
      </c>
      <c r="B256" s="2" t="s">
        <v>225</v>
      </c>
      <c r="C256" s="2" t="s">
        <v>1948</v>
      </c>
      <c r="D256" s="2" t="s">
        <v>227</v>
      </c>
      <c r="E256" s="2" t="s">
        <v>228</v>
      </c>
      <c r="F256" s="2" t="s">
        <v>1949</v>
      </c>
      <c r="G256" s="2" t="s">
        <v>1949</v>
      </c>
      <c r="H256" s="2" t="s">
        <v>1949</v>
      </c>
      <c r="I256" s="2" t="s">
        <v>1950</v>
      </c>
      <c r="J256" s="2" t="s">
        <v>290</v>
      </c>
      <c r="K256" s="2" t="s">
        <v>1990</v>
      </c>
      <c r="L256" s="3">
        <v>16.16</v>
      </c>
      <c r="M256" s="3">
        <v>16.97</v>
      </c>
      <c r="N256" s="3">
        <v>34.99</v>
      </c>
      <c r="O256" s="2" t="s">
        <v>203</v>
      </c>
      <c r="P256" s="2" t="s">
        <v>204</v>
      </c>
      <c r="Q256" s="2" t="s">
        <v>205</v>
      </c>
      <c r="R256" s="2" t="s">
        <v>206</v>
      </c>
      <c r="S256" s="2" t="s">
        <v>1991</v>
      </c>
      <c r="T256" s="2" t="s">
        <v>1931</v>
      </c>
      <c r="U256" s="2" t="s">
        <v>556</v>
      </c>
      <c r="V256" s="2" t="s">
        <v>1932</v>
      </c>
      <c r="W256" s="2" t="s">
        <v>1152</v>
      </c>
      <c r="X256" s="2" t="s">
        <v>210</v>
      </c>
      <c r="Y256" s="2" t="s">
        <v>1992</v>
      </c>
      <c r="Z256" s="4">
        <v>282</v>
      </c>
      <c r="AA256" s="4">
        <f>=ROUNDDOWN(35.25,0)</f>
      </c>
      <c r="AB256" s="5">
        <v>8</v>
      </c>
      <c r="AC256" s="2" t="s">
        <v>206</v>
      </c>
      <c r="AD256" s="4"/>
      <c r="AE256" s="4"/>
      <c r="AF256" s="6">
        <v>74</v>
      </c>
      <c r="AG256" s="6"/>
      <c r="AH256" s="7">
        <v>1</v>
      </c>
      <c r="AI256" s="4"/>
      <c r="AJ256" s="4">
        <f>=ROUNDDOWN({0},0)</f>
      </c>
      <c r="AK256" s="5"/>
      <c r="AL256" s="2" t="s">
        <v>206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206</v>
      </c>
      <c r="AW256" s="8" t="s">
        <v>206</v>
      </c>
      <c r="AX256" s="4" t="s">
        <v>206</v>
      </c>
      <c r="AY256" s="8" t="s">
        <v>206</v>
      </c>
      <c r="AZ256" s="7" t="s">
        <v>206</v>
      </c>
      <c r="BA256" s="7" t="s">
        <v>206</v>
      </c>
      <c r="BB256" s="7"/>
      <c r="BC256" s="4" t="s">
        <v>206</v>
      </c>
      <c r="BD256" s="8" t="s">
        <v>206</v>
      </c>
      <c r="BE256" s="4" t="s">
        <v>206</v>
      </c>
      <c r="BF256" s="8" t="s">
        <v>206</v>
      </c>
      <c r="BG256" s="7" t="s">
        <v>206</v>
      </c>
      <c r="BH256" s="7" t="s">
        <v>206</v>
      </c>
      <c r="BI256" s="7"/>
      <c r="BJ256" s="4">
        <v>122</v>
      </c>
      <c r="BK256" s="8">
        <v>2305.21</v>
      </c>
      <c r="BL256" s="2" t="s">
        <v>1993</v>
      </c>
      <c r="BM256" s="7"/>
      <c r="BN256" s="7"/>
      <c r="BO256" s="4"/>
      <c r="BP256" s="8"/>
      <c r="BQ256" s="4"/>
      <c r="BR256" s="8"/>
      <c r="BS256" s="7"/>
      <c r="BT256" s="7"/>
      <c r="BU256" s="2" t="s">
        <v>1994</v>
      </c>
      <c r="BV256" s="2" t="s">
        <v>206</v>
      </c>
      <c r="BW256" s="2" t="s">
        <v>206</v>
      </c>
      <c r="BX256" s="2" t="s">
        <v>214</v>
      </c>
      <c r="BY256" s="2" t="s">
        <v>215</v>
      </c>
      <c r="BZ256" s="2" t="s">
        <v>203</v>
      </c>
      <c r="CA256" s="2" t="s">
        <v>1995</v>
      </c>
      <c r="CB256" s="2" t="s">
        <v>1996</v>
      </c>
      <c r="CC256" s="2" t="s">
        <v>218</v>
      </c>
      <c r="CD256" s="2" t="s">
        <v>206</v>
      </c>
      <c r="CE256" s="4">
        <v>282</v>
      </c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</row>
    <row r="257">
      <c r="A257" s="2" t="s">
        <v>1997</v>
      </c>
      <c r="B257" s="2" t="s">
        <v>225</v>
      </c>
      <c r="C257" s="2" t="s">
        <v>1948</v>
      </c>
      <c r="D257" s="2" t="s">
        <v>227</v>
      </c>
      <c r="E257" s="2" t="s">
        <v>228</v>
      </c>
      <c r="F257" s="2" t="s">
        <v>1949</v>
      </c>
      <c r="G257" s="2" t="s">
        <v>1949</v>
      </c>
      <c r="H257" s="2" t="s">
        <v>1949</v>
      </c>
      <c r="I257" s="2" t="s">
        <v>1950</v>
      </c>
      <c r="J257" s="2" t="s">
        <v>282</v>
      </c>
      <c r="K257" s="2" t="s">
        <v>1990</v>
      </c>
      <c r="L257" s="3">
        <v>22.21</v>
      </c>
      <c r="M257" s="3">
        <v>23.32</v>
      </c>
      <c r="N257" s="3">
        <v>47.99</v>
      </c>
      <c r="O257" s="2" t="s">
        <v>203</v>
      </c>
      <c r="P257" s="2" t="s">
        <v>773</v>
      </c>
      <c r="Q257" s="2" t="s">
        <v>205</v>
      </c>
      <c r="R257" s="2" t="s">
        <v>206</v>
      </c>
      <c r="S257" s="2" t="s">
        <v>1991</v>
      </c>
      <c r="T257" s="2" t="s">
        <v>1931</v>
      </c>
      <c r="U257" s="2" t="s">
        <v>235</v>
      </c>
      <c r="V257" s="2" t="s">
        <v>1932</v>
      </c>
      <c r="W257" s="2" t="s">
        <v>1152</v>
      </c>
      <c r="X257" s="2" t="s">
        <v>210</v>
      </c>
      <c r="Y257" s="2" t="s">
        <v>1992</v>
      </c>
      <c r="Z257" s="4">
        <v>712</v>
      </c>
      <c r="AA257" s="4">
        <f>=ROUNDDOWN(44.5,0)</f>
      </c>
      <c r="AB257" s="5">
        <v>16</v>
      </c>
      <c r="AC257" s="2" t="s">
        <v>206</v>
      </c>
      <c r="AD257" s="4"/>
      <c r="AE257" s="4"/>
      <c r="AF257" s="6">
        <v>74</v>
      </c>
      <c r="AG257" s="6"/>
      <c r="AH257" s="7">
        <v>1</v>
      </c>
      <c r="AI257" s="4"/>
      <c r="AJ257" s="4">
        <f>=ROUNDDOWN({0},0)</f>
      </c>
      <c r="AK257" s="5"/>
      <c r="AL257" s="2" t="s">
        <v>206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206</v>
      </c>
      <c r="AW257" s="8" t="s">
        <v>206</v>
      </c>
      <c r="AX257" s="4" t="s">
        <v>206</v>
      </c>
      <c r="AY257" s="8" t="s">
        <v>206</v>
      </c>
      <c r="AZ257" s="7" t="s">
        <v>206</v>
      </c>
      <c r="BA257" s="7" t="s">
        <v>206</v>
      </c>
      <c r="BB257" s="7"/>
      <c r="BC257" s="4" t="s">
        <v>206</v>
      </c>
      <c r="BD257" s="8" t="s">
        <v>206</v>
      </c>
      <c r="BE257" s="4" t="s">
        <v>206</v>
      </c>
      <c r="BF257" s="8" t="s">
        <v>206</v>
      </c>
      <c r="BG257" s="7" t="s">
        <v>206</v>
      </c>
      <c r="BH257" s="7" t="s">
        <v>206</v>
      </c>
      <c r="BI257" s="7"/>
      <c r="BJ257" s="4">
        <v>45</v>
      </c>
      <c r="BK257" s="8">
        <v>1062.28</v>
      </c>
      <c r="BL257" s="2" t="s">
        <v>1998</v>
      </c>
      <c r="BM257" s="7"/>
      <c r="BN257" s="7"/>
      <c r="BO257" s="4"/>
      <c r="BP257" s="8"/>
      <c r="BQ257" s="4"/>
      <c r="BR257" s="8"/>
      <c r="BS257" s="7"/>
      <c r="BT257" s="7"/>
      <c r="BU257" s="2" t="s">
        <v>1999</v>
      </c>
      <c r="BV257" s="2" t="s">
        <v>206</v>
      </c>
      <c r="BW257" s="2" t="s">
        <v>206</v>
      </c>
      <c r="BX257" s="2" t="s">
        <v>214</v>
      </c>
      <c r="BY257" s="2" t="s">
        <v>215</v>
      </c>
      <c r="BZ257" s="2" t="s">
        <v>203</v>
      </c>
      <c r="CA257" s="2" t="s">
        <v>1995</v>
      </c>
      <c r="CB257" s="2" t="s">
        <v>1260</v>
      </c>
      <c r="CC257" s="2" t="s">
        <v>218</v>
      </c>
      <c r="CD257" s="2" t="s">
        <v>206</v>
      </c>
      <c r="CE257" s="4">
        <v>712</v>
      </c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</row>
    <row r="258">
      <c r="A258" s="2" t="s">
        <v>2000</v>
      </c>
      <c r="B258" s="2" t="s">
        <v>225</v>
      </c>
      <c r="C258" s="2" t="s">
        <v>1948</v>
      </c>
      <c r="D258" s="2" t="s">
        <v>227</v>
      </c>
      <c r="E258" s="2" t="s">
        <v>228</v>
      </c>
      <c r="F258" s="2" t="s">
        <v>1949</v>
      </c>
      <c r="G258" s="2" t="s">
        <v>1949</v>
      </c>
      <c r="H258" s="2" t="s">
        <v>1949</v>
      </c>
      <c r="I258" s="2" t="s">
        <v>1950</v>
      </c>
      <c r="J258" s="2" t="s">
        <v>231</v>
      </c>
      <c r="K258" s="2" t="s">
        <v>1990</v>
      </c>
      <c r="L258" s="3">
        <v>27.39</v>
      </c>
      <c r="M258" s="3">
        <v>28.76</v>
      </c>
      <c r="N258" s="3">
        <v>62.99</v>
      </c>
      <c r="O258" s="2" t="s">
        <v>203</v>
      </c>
      <c r="P258" s="2" t="s">
        <v>204</v>
      </c>
      <c r="Q258" s="2" t="s">
        <v>205</v>
      </c>
      <c r="R258" s="2" t="s">
        <v>206</v>
      </c>
      <c r="S258" s="2" t="s">
        <v>1991</v>
      </c>
      <c r="T258" s="2" t="s">
        <v>1931</v>
      </c>
      <c r="U258" s="2" t="s">
        <v>235</v>
      </c>
      <c r="V258" s="2" t="s">
        <v>1932</v>
      </c>
      <c r="W258" s="2" t="s">
        <v>1152</v>
      </c>
      <c r="X258" s="2" t="s">
        <v>210</v>
      </c>
      <c r="Y258" s="2" t="s">
        <v>1992</v>
      </c>
      <c r="Z258" s="4">
        <v>267</v>
      </c>
      <c r="AA258" s="4">
        <f>=ROUNDDOWN(44.5,0)</f>
      </c>
      <c r="AB258" s="5">
        <v>6</v>
      </c>
      <c r="AC258" s="2" t="s">
        <v>206</v>
      </c>
      <c r="AD258" s="4"/>
      <c r="AE258" s="4"/>
      <c r="AF258" s="6">
        <v>74</v>
      </c>
      <c r="AG258" s="6"/>
      <c r="AH258" s="7">
        <v>1</v>
      </c>
      <c r="AI258" s="4"/>
      <c r="AJ258" s="4">
        <f>=ROUNDDOWN({0},0)</f>
      </c>
      <c r="AK258" s="5"/>
      <c r="AL258" s="2" t="s">
        <v>206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206</v>
      </c>
      <c r="AW258" s="8" t="s">
        <v>206</v>
      </c>
      <c r="AX258" s="4" t="s">
        <v>206</v>
      </c>
      <c r="AY258" s="8" t="s">
        <v>206</v>
      </c>
      <c r="AZ258" s="7" t="s">
        <v>206</v>
      </c>
      <c r="BA258" s="7" t="s">
        <v>206</v>
      </c>
      <c r="BB258" s="7"/>
      <c r="BC258" s="4" t="s">
        <v>206</v>
      </c>
      <c r="BD258" s="8" t="s">
        <v>206</v>
      </c>
      <c r="BE258" s="4" t="s">
        <v>206</v>
      </c>
      <c r="BF258" s="8" t="s">
        <v>206</v>
      </c>
      <c r="BG258" s="7" t="s">
        <v>206</v>
      </c>
      <c r="BH258" s="7" t="s">
        <v>206</v>
      </c>
      <c r="BI258" s="7"/>
      <c r="BJ258" s="4">
        <v>34</v>
      </c>
      <c r="BK258" s="8">
        <v>1100.27</v>
      </c>
      <c r="BL258" s="2" t="s">
        <v>2001</v>
      </c>
      <c r="BM258" s="7"/>
      <c r="BN258" s="7"/>
      <c r="BO258" s="4"/>
      <c r="BP258" s="8"/>
      <c r="BQ258" s="4"/>
      <c r="BR258" s="8"/>
      <c r="BS258" s="7"/>
      <c r="BT258" s="7"/>
      <c r="BU258" s="2" t="s">
        <v>2002</v>
      </c>
      <c r="BV258" s="2" t="s">
        <v>206</v>
      </c>
      <c r="BW258" s="2" t="s">
        <v>206</v>
      </c>
      <c r="BX258" s="2" t="s">
        <v>214</v>
      </c>
      <c r="BY258" s="2" t="s">
        <v>215</v>
      </c>
      <c r="BZ258" s="2" t="s">
        <v>203</v>
      </c>
      <c r="CA258" s="2" t="s">
        <v>1995</v>
      </c>
      <c r="CB258" s="2" t="s">
        <v>2003</v>
      </c>
      <c r="CC258" s="2" t="s">
        <v>218</v>
      </c>
      <c r="CD258" s="2" t="s">
        <v>206</v>
      </c>
      <c r="CE258" s="4">
        <v>267</v>
      </c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</row>
    <row r="259">
      <c r="A259" s="2" t="s">
        <v>2004</v>
      </c>
      <c r="B259" s="2" t="s">
        <v>225</v>
      </c>
      <c r="C259" s="2" t="s">
        <v>1948</v>
      </c>
      <c r="D259" s="2" t="s">
        <v>227</v>
      </c>
      <c r="E259" s="2" t="s">
        <v>228</v>
      </c>
      <c r="F259" s="2" t="s">
        <v>1949</v>
      </c>
      <c r="G259" s="2" t="s">
        <v>1949</v>
      </c>
      <c r="H259" s="2" t="s">
        <v>1949</v>
      </c>
      <c r="I259" s="2" t="s">
        <v>1950</v>
      </c>
      <c r="J259" s="2" t="s">
        <v>310</v>
      </c>
      <c r="K259" s="2" t="s">
        <v>1990</v>
      </c>
      <c r="L259" s="3">
        <v>27.39</v>
      </c>
      <c r="M259" s="3">
        <v>28.76</v>
      </c>
      <c r="N259" s="3">
        <v>62.99</v>
      </c>
      <c r="O259" s="2" t="s">
        <v>203</v>
      </c>
      <c r="P259" s="2" t="s">
        <v>204</v>
      </c>
      <c r="Q259" s="2" t="s">
        <v>205</v>
      </c>
      <c r="R259" s="2" t="s">
        <v>206</v>
      </c>
      <c r="S259" s="2" t="s">
        <v>1991</v>
      </c>
      <c r="T259" s="2" t="s">
        <v>1931</v>
      </c>
      <c r="U259" s="2" t="s">
        <v>235</v>
      </c>
      <c r="V259" s="2" t="s">
        <v>1932</v>
      </c>
      <c r="W259" s="2" t="s">
        <v>1152</v>
      </c>
      <c r="X259" s="2" t="s">
        <v>210</v>
      </c>
      <c r="Y259" s="2" t="s">
        <v>1992</v>
      </c>
      <c r="Z259" s="4">
        <v>262</v>
      </c>
      <c r="AA259" s="4">
        <f>=ROUNDDOWN(43.6666666666667,0)</f>
      </c>
      <c r="AB259" s="5">
        <v>6</v>
      </c>
      <c r="AC259" s="2" t="s">
        <v>206</v>
      </c>
      <c r="AD259" s="4"/>
      <c r="AE259" s="4"/>
      <c r="AF259" s="6">
        <v>74</v>
      </c>
      <c r="AG259" s="6"/>
      <c r="AH259" s="7">
        <v>1</v>
      </c>
      <c r="AI259" s="4"/>
      <c r="AJ259" s="4">
        <f>=ROUNDDOWN({0},0)</f>
      </c>
      <c r="AK259" s="5"/>
      <c r="AL259" s="2" t="s">
        <v>206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206</v>
      </c>
      <c r="AW259" s="8" t="s">
        <v>206</v>
      </c>
      <c r="AX259" s="4" t="s">
        <v>206</v>
      </c>
      <c r="AY259" s="8" t="s">
        <v>206</v>
      </c>
      <c r="AZ259" s="7" t="s">
        <v>206</v>
      </c>
      <c r="BA259" s="7" t="s">
        <v>206</v>
      </c>
      <c r="BB259" s="7"/>
      <c r="BC259" s="4" t="s">
        <v>206</v>
      </c>
      <c r="BD259" s="8" t="s">
        <v>206</v>
      </c>
      <c r="BE259" s="4" t="s">
        <v>206</v>
      </c>
      <c r="BF259" s="8" t="s">
        <v>206</v>
      </c>
      <c r="BG259" s="7" t="s">
        <v>206</v>
      </c>
      <c r="BH259" s="7" t="s">
        <v>206</v>
      </c>
      <c r="BI259" s="7"/>
      <c r="BJ259" s="4">
        <v>16</v>
      </c>
      <c r="BK259" s="8">
        <v>502.63</v>
      </c>
      <c r="BL259" s="2" t="s">
        <v>2005</v>
      </c>
      <c r="BM259" s="7"/>
      <c r="BN259" s="7"/>
      <c r="BO259" s="4"/>
      <c r="BP259" s="8"/>
      <c r="BQ259" s="4"/>
      <c r="BR259" s="8"/>
      <c r="BS259" s="7"/>
      <c r="BT259" s="7"/>
      <c r="BU259" s="2" t="s">
        <v>2006</v>
      </c>
      <c r="BV259" s="2" t="s">
        <v>206</v>
      </c>
      <c r="BW259" s="2" t="s">
        <v>206</v>
      </c>
      <c r="BX259" s="2" t="s">
        <v>214</v>
      </c>
      <c r="BY259" s="2" t="s">
        <v>215</v>
      </c>
      <c r="BZ259" s="2" t="s">
        <v>203</v>
      </c>
      <c r="CA259" s="2" t="s">
        <v>1995</v>
      </c>
      <c r="CB259" s="2" t="s">
        <v>2007</v>
      </c>
      <c r="CC259" s="2" t="s">
        <v>218</v>
      </c>
      <c r="CD259" s="2" t="s">
        <v>206</v>
      </c>
      <c r="CE259" s="4">
        <v>262</v>
      </c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</row>
    <row r="260">
      <c r="A260" s="2" t="s">
        <v>2008</v>
      </c>
      <c r="B260" s="2" t="s">
        <v>225</v>
      </c>
      <c r="C260" s="2" t="s">
        <v>1948</v>
      </c>
      <c r="D260" s="2" t="s">
        <v>227</v>
      </c>
      <c r="E260" s="2" t="s">
        <v>228</v>
      </c>
      <c r="F260" s="2" t="s">
        <v>1949</v>
      </c>
      <c r="G260" s="2" t="s">
        <v>1949</v>
      </c>
      <c r="H260" s="2" t="s">
        <v>1949</v>
      </c>
      <c r="I260" s="2" t="s">
        <v>1950</v>
      </c>
      <c r="J260" s="2" t="s">
        <v>290</v>
      </c>
      <c r="K260" s="2" t="s">
        <v>2009</v>
      </c>
      <c r="L260" s="3">
        <v>16.16</v>
      </c>
      <c r="M260" s="3">
        <v>16.97</v>
      </c>
      <c r="N260" s="3">
        <v>34.99</v>
      </c>
      <c r="O260" s="2" t="s">
        <v>203</v>
      </c>
      <c r="P260" s="2" t="s">
        <v>204</v>
      </c>
      <c r="Q260" s="2" t="s">
        <v>205</v>
      </c>
      <c r="R260" s="2" t="s">
        <v>206</v>
      </c>
      <c r="S260" s="2" t="s">
        <v>2010</v>
      </c>
      <c r="T260" s="2" t="s">
        <v>1931</v>
      </c>
      <c r="U260" s="2" t="s">
        <v>556</v>
      </c>
      <c r="V260" s="2" t="s">
        <v>1932</v>
      </c>
      <c r="W260" s="2" t="s">
        <v>1152</v>
      </c>
      <c r="X260" s="2" t="s">
        <v>210</v>
      </c>
      <c r="Y260" s="2" t="s">
        <v>2011</v>
      </c>
      <c r="Z260" s="4"/>
      <c r="AA260" s="4">
        <f>=ROUNDDOWN({0},0)</f>
      </c>
      <c r="AB260" s="5">
        <v>15</v>
      </c>
      <c r="AC260" s="2" t="s">
        <v>1970</v>
      </c>
      <c r="AD260" s="4">
        <v>250</v>
      </c>
      <c r="AE260" s="4">
        <v>350</v>
      </c>
      <c r="AF260" s="6">
        <v>74</v>
      </c>
      <c r="AG260" s="6"/>
      <c r="AH260" s="7">
        <v>0.2581</v>
      </c>
      <c r="AI260" s="4"/>
      <c r="AJ260" s="4">
        <f>=ROUNDDOWN({0},0)</f>
      </c>
      <c r="AK260" s="5"/>
      <c r="AL260" s="2" t="s">
        <v>206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206</v>
      </c>
      <c r="AW260" s="8" t="s">
        <v>206</v>
      </c>
      <c r="AX260" s="4" t="s">
        <v>206</v>
      </c>
      <c r="AY260" s="8" t="s">
        <v>206</v>
      </c>
      <c r="AZ260" s="7" t="s">
        <v>206</v>
      </c>
      <c r="BA260" s="7" t="s">
        <v>206</v>
      </c>
      <c r="BB260" s="7"/>
      <c r="BC260" s="4" t="s">
        <v>206</v>
      </c>
      <c r="BD260" s="8" t="s">
        <v>206</v>
      </c>
      <c r="BE260" s="4" t="s">
        <v>206</v>
      </c>
      <c r="BF260" s="8" t="s">
        <v>206</v>
      </c>
      <c r="BG260" s="7" t="s">
        <v>206</v>
      </c>
      <c r="BH260" s="7" t="s">
        <v>206</v>
      </c>
      <c r="BI260" s="7"/>
      <c r="BJ260" s="4">
        <v>100</v>
      </c>
      <c r="BK260" s="8">
        <v>1860.21</v>
      </c>
      <c r="BL260" s="2" t="s">
        <v>2012</v>
      </c>
      <c r="BM260" s="7"/>
      <c r="BN260" s="7"/>
      <c r="BO260" s="4"/>
      <c r="BP260" s="8"/>
      <c r="BQ260" s="4"/>
      <c r="BR260" s="8"/>
      <c r="BS260" s="7"/>
      <c r="BT260" s="7"/>
      <c r="BU260" s="2" t="s">
        <v>2013</v>
      </c>
      <c r="BV260" s="2" t="s">
        <v>206</v>
      </c>
      <c r="BW260" s="2" t="s">
        <v>206</v>
      </c>
      <c r="BX260" s="2" t="s">
        <v>214</v>
      </c>
      <c r="BY260" s="2" t="s">
        <v>215</v>
      </c>
      <c r="BZ260" s="2" t="s">
        <v>203</v>
      </c>
      <c r="CA260" s="2" t="s">
        <v>1995</v>
      </c>
      <c r="CB260" s="2" t="s">
        <v>2014</v>
      </c>
      <c r="CC260" s="2" t="s">
        <v>218</v>
      </c>
      <c r="CD260" s="2" t="s">
        <v>206</v>
      </c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>
        <v>250</v>
      </c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>
        <v>100</v>
      </c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</row>
    <row r="261">
      <c r="A261" s="2" t="s">
        <v>2015</v>
      </c>
      <c r="B261" s="2" t="s">
        <v>225</v>
      </c>
      <c r="C261" s="2" t="s">
        <v>1948</v>
      </c>
      <c r="D261" s="2" t="s">
        <v>227</v>
      </c>
      <c r="E261" s="2" t="s">
        <v>228</v>
      </c>
      <c r="F261" s="2" t="s">
        <v>1949</v>
      </c>
      <c r="G261" s="2" t="s">
        <v>1949</v>
      </c>
      <c r="H261" s="2" t="s">
        <v>1949</v>
      </c>
      <c r="I261" s="2" t="s">
        <v>1950</v>
      </c>
      <c r="J261" s="2" t="s">
        <v>220</v>
      </c>
      <c r="K261" s="2" t="s">
        <v>2009</v>
      </c>
      <c r="L261" s="3">
        <v>19.57</v>
      </c>
      <c r="M261" s="3">
        <v>20.55</v>
      </c>
      <c r="N261" s="3">
        <v>42.99</v>
      </c>
      <c r="O261" s="2" t="s">
        <v>203</v>
      </c>
      <c r="P261" s="2" t="s">
        <v>204</v>
      </c>
      <c r="Q261" s="2" t="s">
        <v>205</v>
      </c>
      <c r="R261" s="2" t="s">
        <v>206</v>
      </c>
      <c r="S261" s="2" t="s">
        <v>2010</v>
      </c>
      <c r="T261" s="2" t="s">
        <v>1931</v>
      </c>
      <c r="U261" s="2" t="s">
        <v>235</v>
      </c>
      <c r="V261" s="2" t="s">
        <v>1932</v>
      </c>
      <c r="W261" s="2" t="s">
        <v>1152</v>
      </c>
      <c r="X261" s="2" t="s">
        <v>210</v>
      </c>
      <c r="Y261" s="2" t="s">
        <v>2011</v>
      </c>
      <c r="Z261" s="4">
        <v>346</v>
      </c>
      <c r="AA261" s="4">
        <f>=ROUNDDOWN(9.61111111111111,0)</f>
      </c>
      <c r="AB261" s="5">
        <v>36</v>
      </c>
      <c r="AC261" s="2" t="s">
        <v>1970</v>
      </c>
      <c r="AD261" s="4">
        <v>290</v>
      </c>
      <c r="AE261" s="4">
        <v>390</v>
      </c>
      <c r="AF261" s="6">
        <v>74</v>
      </c>
      <c r="AG261" s="6"/>
      <c r="AH261" s="7">
        <v>1</v>
      </c>
      <c r="AI261" s="4"/>
      <c r="AJ261" s="4">
        <f>=ROUNDDOWN({0},0)</f>
      </c>
      <c r="AK261" s="5"/>
      <c r="AL261" s="2" t="s">
        <v>206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206</v>
      </c>
      <c r="AW261" s="8" t="s">
        <v>206</v>
      </c>
      <c r="AX261" s="4" t="s">
        <v>206</v>
      </c>
      <c r="AY261" s="8" t="s">
        <v>206</v>
      </c>
      <c r="AZ261" s="7" t="s">
        <v>206</v>
      </c>
      <c r="BA261" s="7" t="s">
        <v>206</v>
      </c>
      <c r="BB261" s="7"/>
      <c r="BC261" s="4" t="s">
        <v>206</v>
      </c>
      <c r="BD261" s="8" t="s">
        <v>206</v>
      </c>
      <c r="BE261" s="4" t="s">
        <v>206</v>
      </c>
      <c r="BF261" s="8" t="s">
        <v>206</v>
      </c>
      <c r="BG261" s="7" t="s">
        <v>206</v>
      </c>
      <c r="BH261" s="7" t="s">
        <v>206</v>
      </c>
      <c r="BI261" s="7"/>
      <c r="BJ261" s="4">
        <v>313</v>
      </c>
      <c r="BK261" s="8">
        <v>7019.29</v>
      </c>
      <c r="BL261" s="2" t="s">
        <v>2016</v>
      </c>
      <c r="BM261" s="7"/>
      <c r="BN261" s="7"/>
      <c r="BO261" s="4"/>
      <c r="BP261" s="8"/>
      <c r="BQ261" s="4"/>
      <c r="BR261" s="8"/>
      <c r="BS261" s="7"/>
      <c r="BT261" s="7"/>
      <c r="BU261" s="2" t="s">
        <v>2017</v>
      </c>
      <c r="BV261" s="2" t="s">
        <v>206</v>
      </c>
      <c r="BW261" s="2" t="s">
        <v>206</v>
      </c>
      <c r="BX261" s="2" t="s">
        <v>214</v>
      </c>
      <c r="BY261" s="2" t="s">
        <v>215</v>
      </c>
      <c r="BZ261" s="2" t="s">
        <v>203</v>
      </c>
      <c r="CA261" s="2" t="s">
        <v>1995</v>
      </c>
      <c r="CB261" s="2" t="s">
        <v>2018</v>
      </c>
      <c r="CC261" s="2" t="s">
        <v>218</v>
      </c>
      <c r="CD261" s="2" t="s">
        <v>206</v>
      </c>
      <c r="CE261" s="4">
        <v>346</v>
      </c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>
        <v>290</v>
      </c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>
        <v>100</v>
      </c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</row>
    <row r="262">
      <c r="A262" s="2" t="s">
        <v>2019</v>
      </c>
      <c r="B262" s="2" t="s">
        <v>225</v>
      </c>
      <c r="C262" s="2" t="s">
        <v>1948</v>
      </c>
      <c r="D262" s="2" t="s">
        <v>227</v>
      </c>
      <c r="E262" s="2" t="s">
        <v>228</v>
      </c>
      <c r="F262" s="2" t="s">
        <v>1949</v>
      </c>
      <c r="G262" s="2" t="s">
        <v>1949</v>
      </c>
      <c r="H262" s="2" t="s">
        <v>1949</v>
      </c>
      <c r="I262" s="2" t="s">
        <v>1950</v>
      </c>
      <c r="J262" s="2" t="s">
        <v>290</v>
      </c>
      <c r="K262" s="2" t="s">
        <v>2020</v>
      </c>
      <c r="L262" s="3">
        <v>16.16</v>
      </c>
      <c r="M262" s="3">
        <v>16.97</v>
      </c>
      <c r="N262" s="3">
        <v>34.99</v>
      </c>
      <c r="O262" s="2" t="s">
        <v>203</v>
      </c>
      <c r="P262" s="2" t="s">
        <v>204</v>
      </c>
      <c r="Q262" s="2" t="s">
        <v>205</v>
      </c>
      <c r="R262" s="2" t="s">
        <v>206</v>
      </c>
      <c r="S262" s="2" t="s">
        <v>2021</v>
      </c>
      <c r="T262" s="2" t="s">
        <v>1931</v>
      </c>
      <c r="U262" s="2" t="s">
        <v>206</v>
      </c>
      <c r="V262" s="2" t="s">
        <v>809</v>
      </c>
      <c r="W262" s="2" t="s">
        <v>210</v>
      </c>
      <c r="X262" s="2" t="s">
        <v>206</v>
      </c>
      <c r="Y262" s="2" t="s">
        <v>2022</v>
      </c>
      <c r="Z262" s="4">
        <v>861</v>
      </c>
      <c r="AA262" s="4">
        <f>=ROUNDDOWN(35.875,0)</f>
      </c>
      <c r="AB262" s="5">
        <v>24</v>
      </c>
      <c r="AC262" s="2" t="s">
        <v>206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206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 t="s">
        <v>206</v>
      </c>
      <c r="BD262" s="8" t="s">
        <v>206</v>
      </c>
      <c r="BE262" s="4" t="s">
        <v>206</v>
      </c>
      <c r="BF262" s="8" t="s">
        <v>206</v>
      </c>
      <c r="BG262" s="7" t="s">
        <v>206</v>
      </c>
      <c r="BH262" s="7" t="s">
        <v>206</v>
      </c>
      <c r="BI262" s="7"/>
      <c r="BJ262" s="4">
        <v>94</v>
      </c>
      <c r="BK262" s="8">
        <v>1636.44</v>
      </c>
      <c r="BL262" s="2" t="s">
        <v>2023</v>
      </c>
      <c r="BM262" s="7"/>
      <c r="BN262" s="7"/>
      <c r="BO262" s="4"/>
      <c r="BP262" s="8"/>
      <c r="BQ262" s="4"/>
      <c r="BR262" s="8"/>
      <c r="BS262" s="7"/>
      <c r="BT262" s="7"/>
      <c r="BU262" s="2" t="s">
        <v>2024</v>
      </c>
      <c r="BV262" s="2" t="s">
        <v>206</v>
      </c>
      <c r="BW262" s="2" t="s">
        <v>206</v>
      </c>
      <c r="BX262" s="2" t="s">
        <v>214</v>
      </c>
      <c r="BY262" s="2" t="s">
        <v>215</v>
      </c>
      <c r="BZ262" s="2" t="s">
        <v>203</v>
      </c>
      <c r="CA262" s="2" t="s">
        <v>1956</v>
      </c>
      <c r="CB262" s="2" t="s">
        <v>2025</v>
      </c>
      <c r="CC262" s="2" t="s">
        <v>218</v>
      </c>
      <c r="CD262" s="2" t="s">
        <v>206</v>
      </c>
      <c r="CE262" s="4">
        <v>861</v>
      </c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</row>
    <row r="263">
      <c r="A263" s="2" t="s">
        <v>2026</v>
      </c>
      <c r="B263" s="2" t="s">
        <v>225</v>
      </c>
      <c r="C263" s="2" t="s">
        <v>1948</v>
      </c>
      <c r="D263" s="2" t="s">
        <v>227</v>
      </c>
      <c r="E263" s="2" t="s">
        <v>228</v>
      </c>
      <c r="F263" s="2" t="s">
        <v>1949</v>
      </c>
      <c r="G263" s="2" t="s">
        <v>1949</v>
      </c>
      <c r="H263" s="2" t="s">
        <v>1949</v>
      </c>
      <c r="I263" s="2" t="s">
        <v>1950</v>
      </c>
      <c r="J263" s="2" t="s">
        <v>231</v>
      </c>
      <c r="K263" s="2" t="s">
        <v>2027</v>
      </c>
      <c r="L263" s="3">
        <v>27.39</v>
      </c>
      <c r="M263" s="3">
        <v>28.76</v>
      </c>
      <c r="N263" s="3">
        <v>62.99</v>
      </c>
      <c r="O263" s="2" t="s">
        <v>203</v>
      </c>
      <c r="P263" s="2" t="s">
        <v>204</v>
      </c>
      <c r="Q263" s="2" t="s">
        <v>205</v>
      </c>
      <c r="R263" s="2" t="s">
        <v>206</v>
      </c>
      <c r="S263" s="2" t="s">
        <v>2028</v>
      </c>
      <c r="T263" s="2" t="s">
        <v>1931</v>
      </c>
      <c r="U263" s="2" t="s">
        <v>206</v>
      </c>
      <c r="V263" s="2" t="s">
        <v>209</v>
      </c>
      <c r="W263" s="2" t="s">
        <v>210</v>
      </c>
      <c r="X263" s="2" t="s">
        <v>206</v>
      </c>
      <c r="Y263" s="2" t="s">
        <v>211</v>
      </c>
      <c r="Z263" s="4">
        <v>554</v>
      </c>
      <c r="AA263" s="4">
        <f>=ROUNDDOWN(32.5882352941176,0)</f>
      </c>
      <c r="AB263" s="5">
        <v>17</v>
      </c>
      <c r="AC263" s="2" t="s">
        <v>128</v>
      </c>
      <c r="AD263" s="4">
        <v>152</v>
      </c>
      <c r="AE263" s="4">
        <v>152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206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206</v>
      </c>
      <c r="BD263" s="8" t="s">
        <v>206</v>
      </c>
      <c r="BE263" s="4" t="s">
        <v>206</v>
      </c>
      <c r="BF263" s="8" t="s">
        <v>206</v>
      </c>
      <c r="BG263" s="7" t="s">
        <v>206</v>
      </c>
      <c r="BH263" s="7" t="s">
        <v>206</v>
      </c>
      <c r="BI263" s="7"/>
      <c r="BJ263" s="4">
        <v>51</v>
      </c>
      <c r="BK263" s="8">
        <v>1500.61</v>
      </c>
      <c r="BL263" s="2" t="s">
        <v>2029</v>
      </c>
      <c r="BM263" s="7"/>
      <c r="BN263" s="7"/>
      <c r="BO263" s="4"/>
      <c r="BP263" s="8"/>
      <c r="BQ263" s="4"/>
      <c r="BR263" s="8"/>
      <c r="BS263" s="7"/>
      <c r="BT263" s="7"/>
      <c r="BU263" s="2" t="s">
        <v>2030</v>
      </c>
      <c r="BV263" s="2" t="s">
        <v>206</v>
      </c>
      <c r="BW263" s="2" t="s">
        <v>206</v>
      </c>
      <c r="BX263" s="2" t="s">
        <v>214</v>
      </c>
      <c r="BY263" s="2" t="s">
        <v>215</v>
      </c>
      <c r="BZ263" s="2" t="s">
        <v>203</v>
      </c>
      <c r="CA263" s="2" t="s">
        <v>2031</v>
      </c>
      <c r="CB263" s="2" t="s">
        <v>2032</v>
      </c>
      <c r="CC263" s="2" t="s">
        <v>218</v>
      </c>
      <c r="CD263" s="2" t="s">
        <v>206</v>
      </c>
      <c r="CE263" s="4">
        <v>307</v>
      </c>
      <c r="CF263" s="4">
        <v>247</v>
      </c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>
        <v>152</v>
      </c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</row>
    <row r="264">
      <c r="A264" s="2" t="s">
        <v>2033</v>
      </c>
      <c r="B264" s="2" t="s">
        <v>225</v>
      </c>
      <c r="C264" s="2" t="s">
        <v>1948</v>
      </c>
      <c r="D264" s="2" t="s">
        <v>227</v>
      </c>
      <c r="E264" s="2" t="s">
        <v>228</v>
      </c>
      <c r="F264" s="2" t="s">
        <v>1949</v>
      </c>
      <c r="G264" s="2" t="s">
        <v>1949</v>
      </c>
      <c r="H264" s="2" t="s">
        <v>1949</v>
      </c>
      <c r="I264" s="2" t="s">
        <v>1950</v>
      </c>
      <c r="J264" s="2" t="s">
        <v>201</v>
      </c>
      <c r="K264" s="2" t="s">
        <v>2034</v>
      </c>
      <c r="L264" s="3">
        <v>14.89</v>
      </c>
      <c r="M264" s="3">
        <v>15.63</v>
      </c>
      <c r="N264" s="3">
        <v>31.99</v>
      </c>
      <c r="O264" s="2" t="s">
        <v>203</v>
      </c>
      <c r="P264" s="2" t="s">
        <v>204</v>
      </c>
      <c r="Q264" s="2" t="s">
        <v>205</v>
      </c>
      <c r="R264" s="2" t="s">
        <v>206</v>
      </c>
      <c r="S264" s="2" t="s">
        <v>2035</v>
      </c>
      <c r="T264" s="2" t="s">
        <v>1931</v>
      </c>
      <c r="U264" s="2" t="s">
        <v>206</v>
      </c>
      <c r="V264" s="2" t="s">
        <v>1932</v>
      </c>
      <c r="W264" s="2" t="s">
        <v>210</v>
      </c>
      <c r="X264" s="2" t="s">
        <v>206</v>
      </c>
      <c r="Y264" s="2" t="s">
        <v>1953</v>
      </c>
      <c r="Z264" s="4">
        <v>117</v>
      </c>
      <c r="AA264" s="4">
        <f>=ROUNDDOWN(2.38775510204082,0)</f>
      </c>
      <c r="AB264" s="5">
        <v>49</v>
      </c>
      <c r="AC264" s="2" t="s">
        <v>114</v>
      </c>
      <c r="AD264" s="4">
        <v>498</v>
      </c>
      <c r="AE264" s="4">
        <v>887</v>
      </c>
      <c r="AF264" s="6">
        <v>65</v>
      </c>
      <c r="AG264" s="6"/>
      <c r="AH264" s="7">
        <v>0.7097</v>
      </c>
      <c r="AI264" s="4"/>
      <c r="AJ264" s="4">
        <f>=ROUNDDOWN({0},0)</f>
      </c>
      <c r="AK264" s="5"/>
      <c r="AL264" s="2" t="s">
        <v>206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206</v>
      </c>
      <c r="AW264" s="8" t="s">
        <v>206</v>
      </c>
      <c r="AX264" s="4" t="s">
        <v>206</v>
      </c>
      <c r="AY264" s="8" t="s">
        <v>206</v>
      </c>
      <c r="AZ264" s="7" t="s">
        <v>206</v>
      </c>
      <c r="BA264" s="7" t="s">
        <v>206</v>
      </c>
      <c r="BB264" s="7"/>
      <c r="BC264" s="4" t="s">
        <v>206</v>
      </c>
      <c r="BD264" s="8" t="s">
        <v>206</v>
      </c>
      <c r="BE264" s="4" t="s">
        <v>206</v>
      </c>
      <c r="BF264" s="8" t="s">
        <v>206</v>
      </c>
      <c r="BG264" s="7" t="s">
        <v>206</v>
      </c>
      <c r="BH264" s="7" t="s">
        <v>206</v>
      </c>
      <c r="BI264" s="7"/>
      <c r="BJ264" s="4">
        <v>1048</v>
      </c>
      <c r="BK264" s="8">
        <v>17379.17</v>
      </c>
      <c r="BL264" s="2" t="s">
        <v>2036</v>
      </c>
      <c r="BM264" s="7"/>
      <c r="BN264" s="7"/>
      <c r="BO264" s="4"/>
      <c r="BP264" s="8"/>
      <c r="BQ264" s="4"/>
      <c r="BR264" s="8"/>
      <c r="BS264" s="7"/>
      <c r="BT264" s="7"/>
      <c r="BU264" s="2" t="s">
        <v>2037</v>
      </c>
      <c r="BV264" s="2" t="s">
        <v>206</v>
      </c>
      <c r="BW264" s="2" t="s">
        <v>206</v>
      </c>
      <c r="BX264" s="2" t="s">
        <v>214</v>
      </c>
      <c r="BY264" s="2" t="s">
        <v>215</v>
      </c>
      <c r="BZ264" s="2" t="s">
        <v>203</v>
      </c>
      <c r="CA264" s="2" t="s">
        <v>1956</v>
      </c>
      <c r="CB264" s="2" t="s">
        <v>1980</v>
      </c>
      <c r="CC264" s="2" t="s">
        <v>218</v>
      </c>
      <c r="CD264" s="2" t="s">
        <v>206</v>
      </c>
      <c r="CE264" s="4">
        <v>116</v>
      </c>
      <c r="CF264" s="4"/>
      <c r="CG264" s="4"/>
      <c r="CH264" s="4"/>
      <c r="CI264" s="4"/>
      <c r="CJ264" s="4"/>
      <c r="CK264" s="4">
        <v>1</v>
      </c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>
        <v>498</v>
      </c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>
        <v>69</v>
      </c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>
        <v>150</v>
      </c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>
        <v>170</v>
      </c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</row>
    <row r="265">
      <c r="A265" s="2" t="s">
        <v>2038</v>
      </c>
      <c r="B265" s="2" t="s">
        <v>225</v>
      </c>
      <c r="C265" s="2" t="s">
        <v>1948</v>
      </c>
      <c r="D265" s="2" t="s">
        <v>227</v>
      </c>
      <c r="E265" s="2" t="s">
        <v>228</v>
      </c>
      <c r="F265" s="2" t="s">
        <v>1949</v>
      </c>
      <c r="G265" s="2" t="s">
        <v>1949</v>
      </c>
      <c r="H265" s="2" t="s">
        <v>1949</v>
      </c>
      <c r="I265" s="2" t="s">
        <v>1950</v>
      </c>
      <c r="J265" s="2" t="s">
        <v>231</v>
      </c>
      <c r="K265" s="2" t="s">
        <v>2034</v>
      </c>
      <c r="L265" s="3">
        <v>27.39</v>
      </c>
      <c r="M265" s="3">
        <v>28.76</v>
      </c>
      <c r="N265" s="3">
        <v>62.99</v>
      </c>
      <c r="O265" s="2" t="s">
        <v>203</v>
      </c>
      <c r="P265" s="2" t="s">
        <v>204</v>
      </c>
      <c r="Q265" s="2" t="s">
        <v>205</v>
      </c>
      <c r="R265" s="2" t="s">
        <v>206</v>
      </c>
      <c r="S265" s="2" t="s">
        <v>2035</v>
      </c>
      <c r="T265" s="2" t="s">
        <v>1931</v>
      </c>
      <c r="U265" s="2" t="s">
        <v>206</v>
      </c>
      <c r="V265" s="2" t="s">
        <v>1932</v>
      </c>
      <c r="W265" s="2" t="s">
        <v>210</v>
      </c>
      <c r="X265" s="2" t="s">
        <v>206</v>
      </c>
      <c r="Y265" s="2" t="s">
        <v>1953</v>
      </c>
      <c r="Z265" s="4">
        <v>275</v>
      </c>
      <c r="AA265" s="4">
        <f>=ROUNDDOWN(15.2777777777778,0)</f>
      </c>
      <c r="AB265" s="5">
        <v>18</v>
      </c>
      <c r="AC265" s="2" t="s">
        <v>114</v>
      </c>
      <c r="AD265" s="4">
        <v>189</v>
      </c>
      <c r="AE265" s="4">
        <v>287</v>
      </c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206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206</v>
      </c>
      <c r="AW265" s="8" t="s">
        <v>206</v>
      </c>
      <c r="AX265" s="4" t="s">
        <v>206</v>
      </c>
      <c r="AY265" s="8" t="s">
        <v>206</v>
      </c>
      <c r="AZ265" s="7" t="s">
        <v>206</v>
      </c>
      <c r="BA265" s="7" t="s">
        <v>206</v>
      </c>
      <c r="BB265" s="7"/>
      <c r="BC265" s="4" t="s">
        <v>206</v>
      </c>
      <c r="BD265" s="8" t="s">
        <v>206</v>
      </c>
      <c r="BE265" s="4" t="s">
        <v>206</v>
      </c>
      <c r="BF265" s="8" t="s">
        <v>206</v>
      </c>
      <c r="BG265" s="7" t="s">
        <v>206</v>
      </c>
      <c r="BH265" s="7" t="s">
        <v>206</v>
      </c>
      <c r="BI265" s="7"/>
      <c r="BJ265" s="4">
        <v>120</v>
      </c>
      <c r="BK265" s="8">
        <v>3632.39</v>
      </c>
      <c r="BL265" s="2" t="s">
        <v>1911</v>
      </c>
      <c r="BM265" s="7"/>
      <c r="BN265" s="7"/>
      <c r="BO265" s="4"/>
      <c r="BP265" s="8"/>
      <c r="BQ265" s="4"/>
      <c r="BR265" s="8"/>
      <c r="BS265" s="7"/>
      <c r="BT265" s="7"/>
      <c r="BU265" s="2" t="s">
        <v>2039</v>
      </c>
      <c r="BV265" s="2" t="s">
        <v>206</v>
      </c>
      <c r="BW265" s="2" t="s">
        <v>206</v>
      </c>
      <c r="BX265" s="2" t="s">
        <v>214</v>
      </c>
      <c r="BY265" s="2" t="s">
        <v>215</v>
      </c>
      <c r="BZ265" s="2" t="s">
        <v>203</v>
      </c>
      <c r="CA265" s="2" t="s">
        <v>1956</v>
      </c>
      <c r="CB265" s="2" t="s">
        <v>2040</v>
      </c>
      <c r="CC265" s="2" t="s">
        <v>218</v>
      </c>
      <c r="CD265" s="2" t="s">
        <v>206</v>
      </c>
      <c r="CE265" s="4">
        <v>275</v>
      </c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>
        <v>189</v>
      </c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>
        <v>8</v>
      </c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>
        <v>90</v>
      </c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4"/>
      <c r="GA265" s="4"/>
      <c r="GB265" s="4"/>
      <c r="GC265" s="4"/>
      <c r="GD265" s="4"/>
      <c r="GE265" s="4"/>
      <c r="GF265" s="4"/>
    </row>
    <row r="266">
      <c r="A266" s="2" t="s">
        <v>2041</v>
      </c>
      <c r="B266" s="2" t="s">
        <v>225</v>
      </c>
      <c r="C266" s="2" t="s">
        <v>1948</v>
      </c>
      <c r="D266" s="2" t="s">
        <v>227</v>
      </c>
      <c r="E266" s="2" t="s">
        <v>228</v>
      </c>
      <c r="F266" s="2" t="s">
        <v>1949</v>
      </c>
      <c r="G266" s="2" t="s">
        <v>1949</v>
      </c>
      <c r="H266" s="2" t="s">
        <v>1949</v>
      </c>
      <c r="I266" s="2" t="s">
        <v>1950</v>
      </c>
      <c r="J266" s="2" t="s">
        <v>290</v>
      </c>
      <c r="K266" s="2" t="s">
        <v>2042</v>
      </c>
      <c r="L266" s="3">
        <v>16.16</v>
      </c>
      <c r="M266" s="3">
        <v>16.97</v>
      </c>
      <c r="N266" s="3">
        <v>34.99</v>
      </c>
      <c r="O266" s="2" t="s">
        <v>203</v>
      </c>
      <c r="P266" s="2" t="s">
        <v>492</v>
      </c>
      <c r="Q266" s="2" t="s">
        <v>205</v>
      </c>
      <c r="R266" s="2" t="s">
        <v>206</v>
      </c>
      <c r="S266" s="2" t="s">
        <v>2043</v>
      </c>
      <c r="T266" s="2" t="s">
        <v>1931</v>
      </c>
      <c r="U266" s="2" t="s">
        <v>206</v>
      </c>
      <c r="V266" s="2" t="s">
        <v>1932</v>
      </c>
      <c r="W266" s="2" t="s">
        <v>210</v>
      </c>
      <c r="X266" s="2" t="s">
        <v>206</v>
      </c>
      <c r="Y266" s="2" t="s">
        <v>2044</v>
      </c>
      <c r="Z266" s="4">
        <v>506</v>
      </c>
      <c r="AA266" s="4">
        <f>=ROUNDDOWN(10.12,0)</f>
      </c>
      <c r="AB266" s="5">
        <v>50</v>
      </c>
      <c r="AC266" s="2" t="s">
        <v>1970</v>
      </c>
      <c r="AD266" s="4">
        <v>170</v>
      </c>
      <c r="AE266" s="4">
        <v>270</v>
      </c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206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206</v>
      </c>
      <c r="BD266" s="8" t="s">
        <v>206</v>
      </c>
      <c r="BE266" s="4" t="s">
        <v>206</v>
      </c>
      <c r="BF266" s="8" t="s">
        <v>206</v>
      </c>
      <c r="BG266" s="7" t="s">
        <v>206</v>
      </c>
      <c r="BH266" s="7" t="s">
        <v>206</v>
      </c>
      <c r="BI266" s="7"/>
      <c r="BJ266" s="4">
        <v>663</v>
      </c>
      <c r="BK266" s="8">
        <v>12190.34</v>
      </c>
      <c r="BL266" s="2" t="s">
        <v>2045</v>
      </c>
      <c r="BM266" s="7"/>
      <c r="BN266" s="7"/>
      <c r="BO266" s="4"/>
      <c r="BP266" s="8"/>
      <c r="BQ266" s="4"/>
      <c r="BR266" s="8"/>
      <c r="BS266" s="7"/>
      <c r="BT266" s="7"/>
      <c r="BU266" s="2" t="s">
        <v>2046</v>
      </c>
      <c r="BV266" s="2" t="s">
        <v>206</v>
      </c>
      <c r="BW266" s="2" t="s">
        <v>206</v>
      </c>
      <c r="BX266" s="2" t="s">
        <v>214</v>
      </c>
      <c r="BY266" s="2" t="s">
        <v>215</v>
      </c>
      <c r="BZ266" s="2" t="s">
        <v>203</v>
      </c>
      <c r="CA266" s="2" t="s">
        <v>1956</v>
      </c>
      <c r="CB266" s="2" t="s">
        <v>1938</v>
      </c>
      <c r="CC266" s="2" t="s">
        <v>218</v>
      </c>
      <c r="CD266" s="2" t="s">
        <v>206</v>
      </c>
      <c r="CE266" s="4">
        <v>506</v>
      </c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>
        <v>170</v>
      </c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>
        <v>100</v>
      </c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4"/>
      <c r="GA266" s="4"/>
      <c r="GB266" s="4"/>
      <c r="GC266" s="4"/>
      <c r="GD266" s="4"/>
      <c r="GE266" s="4"/>
      <c r="GF266" s="4"/>
    </row>
    <row r="267">
      <c r="A267" s="2" t="s">
        <v>2047</v>
      </c>
      <c r="B267" s="2" t="s">
        <v>225</v>
      </c>
      <c r="C267" s="2" t="s">
        <v>1948</v>
      </c>
      <c r="D267" s="2" t="s">
        <v>227</v>
      </c>
      <c r="E267" s="2" t="s">
        <v>228</v>
      </c>
      <c r="F267" s="2" t="s">
        <v>1949</v>
      </c>
      <c r="G267" s="2" t="s">
        <v>1949</v>
      </c>
      <c r="H267" s="2" t="s">
        <v>1949</v>
      </c>
      <c r="I267" s="2" t="s">
        <v>1950</v>
      </c>
      <c r="J267" s="2" t="s">
        <v>201</v>
      </c>
      <c r="K267" s="2" t="s">
        <v>2048</v>
      </c>
      <c r="L267" s="3">
        <v>14.89</v>
      </c>
      <c r="M267" s="3">
        <v>15.63</v>
      </c>
      <c r="N267" s="3">
        <v>31.99</v>
      </c>
      <c r="O267" s="2" t="s">
        <v>203</v>
      </c>
      <c r="P267" s="2" t="s">
        <v>773</v>
      </c>
      <c r="Q267" s="2" t="s">
        <v>205</v>
      </c>
      <c r="R267" s="2" t="s">
        <v>206</v>
      </c>
      <c r="S267" s="2" t="s">
        <v>2049</v>
      </c>
      <c r="T267" s="2" t="s">
        <v>1931</v>
      </c>
      <c r="U267" s="2" t="s">
        <v>556</v>
      </c>
      <c r="V267" s="2" t="s">
        <v>1932</v>
      </c>
      <c r="W267" s="2" t="s">
        <v>210</v>
      </c>
      <c r="X267" s="2" t="s">
        <v>1152</v>
      </c>
      <c r="Y267" s="2" t="s">
        <v>2050</v>
      </c>
      <c r="Z267" s="4">
        <v>537</v>
      </c>
      <c r="AA267" s="4">
        <f>=ROUNDDOWN(15.3428571428571,0)</f>
      </c>
      <c r="AB267" s="5">
        <v>35</v>
      </c>
      <c r="AC267" s="2" t="s">
        <v>128</v>
      </c>
      <c r="AD267" s="4">
        <v>432</v>
      </c>
      <c r="AE267" s="4">
        <v>432</v>
      </c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206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206</v>
      </c>
      <c r="AW267" s="8" t="s">
        <v>206</v>
      </c>
      <c r="AX267" s="4" t="s">
        <v>206</v>
      </c>
      <c r="AY267" s="8" t="s">
        <v>206</v>
      </c>
      <c r="AZ267" s="7" t="s">
        <v>206</v>
      </c>
      <c r="BA267" s="7" t="s">
        <v>206</v>
      </c>
      <c r="BB267" s="7"/>
      <c r="BC267" s="4" t="s">
        <v>206</v>
      </c>
      <c r="BD267" s="8" t="s">
        <v>206</v>
      </c>
      <c r="BE267" s="4" t="s">
        <v>206</v>
      </c>
      <c r="BF267" s="8" t="s">
        <v>206</v>
      </c>
      <c r="BG267" s="7" t="s">
        <v>206</v>
      </c>
      <c r="BH267" s="7" t="s">
        <v>206</v>
      </c>
      <c r="BI267" s="7"/>
      <c r="BJ267" s="4">
        <v>586</v>
      </c>
      <c r="BK267" s="8">
        <v>9341.18</v>
      </c>
      <c r="BL267" s="2" t="s">
        <v>2051</v>
      </c>
      <c r="BM267" s="7"/>
      <c r="BN267" s="7"/>
      <c r="BO267" s="4"/>
      <c r="BP267" s="8"/>
      <c r="BQ267" s="4"/>
      <c r="BR267" s="8"/>
      <c r="BS267" s="7"/>
      <c r="BT267" s="7"/>
      <c r="BU267" s="2" t="s">
        <v>2052</v>
      </c>
      <c r="BV267" s="2" t="s">
        <v>206</v>
      </c>
      <c r="BW267" s="2" t="s">
        <v>206</v>
      </c>
      <c r="BX267" s="2" t="s">
        <v>214</v>
      </c>
      <c r="BY267" s="2" t="s">
        <v>215</v>
      </c>
      <c r="BZ267" s="2" t="s">
        <v>203</v>
      </c>
      <c r="CA267" s="2" t="s">
        <v>2053</v>
      </c>
      <c r="CB267" s="2" t="s">
        <v>2054</v>
      </c>
      <c r="CC267" s="2" t="s">
        <v>218</v>
      </c>
      <c r="CD267" s="2" t="s">
        <v>206</v>
      </c>
      <c r="CE267" s="4">
        <v>537</v>
      </c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>
        <v>432</v>
      </c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4"/>
      <c r="GA267" s="4"/>
      <c r="GB267" s="4"/>
      <c r="GC267" s="4"/>
      <c r="GD267" s="4"/>
      <c r="GE267" s="4"/>
      <c r="GF267" s="4"/>
    </row>
    <row r="268">
      <c r="A268" s="2" t="s">
        <v>2055</v>
      </c>
      <c r="B268" s="2" t="s">
        <v>225</v>
      </c>
      <c r="C268" s="2" t="s">
        <v>1948</v>
      </c>
      <c r="D268" s="2" t="s">
        <v>227</v>
      </c>
      <c r="E268" s="2" t="s">
        <v>228</v>
      </c>
      <c r="F268" s="2" t="s">
        <v>1949</v>
      </c>
      <c r="G268" s="2" t="s">
        <v>1949</v>
      </c>
      <c r="H268" s="2" t="s">
        <v>1949</v>
      </c>
      <c r="I268" s="2" t="s">
        <v>1950</v>
      </c>
      <c r="J268" s="2" t="s">
        <v>231</v>
      </c>
      <c r="K268" s="2" t="s">
        <v>2048</v>
      </c>
      <c r="L268" s="3">
        <v>27.39</v>
      </c>
      <c r="M268" s="3">
        <v>28.76</v>
      </c>
      <c r="N268" s="3">
        <v>62.99</v>
      </c>
      <c r="O268" s="2" t="s">
        <v>203</v>
      </c>
      <c r="P268" s="2" t="s">
        <v>204</v>
      </c>
      <c r="Q268" s="2" t="s">
        <v>205</v>
      </c>
      <c r="R268" s="2" t="s">
        <v>206</v>
      </c>
      <c r="S268" s="2" t="s">
        <v>2049</v>
      </c>
      <c r="T268" s="2" t="s">
        <v>1931</v>
      </c>
      <c r="U268" s="2" t="s">
        <v>235</v>
      </c>
      <c r="V268" s="2" t="s">
        <v>1932</v>
      </c>
      <c r="W268" s="2" t="s">
        <v>210</v>
      </c>
      <c r="X268" s="2" t="s">
        <v>1152</v>
      </c>
      <c r="Y268" s="2" t="s">
        <v>2050</v>
      </c>
      <c r="Z268" s="4">
        <v>381</v>
      </c>
      <c r="AA268" s="4">
        <f>=ROUNDDOWN(25.4,0)</f>
      </c>
      <c r="AB268" s="5">
        <v>15</v>
      </c>
      <c r="AC268" s="2" t="s">
        <v>120</v>
      </c>
      <c r="AD268" s="4">
        <v>158</v>
      </c>
      <c r="AE268" s="4">
        <v>158</v>
      </c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206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206</v>
      </c>
      <c r="AW268" s="8" t="s">
        <v>206</v>
      </c>
      <c r="AX268" s="4" t="s">
        <v>206</v>
      </c>
      <c r="AY268" s="8" t="s">
        <v>206</v>
      </c>
      <c r="AZ268" s="7" t="s">
        <v>206</v>
      </c>
      <c r="BA268" s="7" t="s">
        <v>206</v>
      </c>
      <c r="BB268" s="7"/>
      <c r="BC268" s="4" t="s">
        <v>206</v>
      </c>
      <c r="BD268" s="8" t="s">
        <v>206</v>
      </c>
      <c r="BE268" s="4" t="s">
        <v>206</v>
      </c>
      <c r="BF268" s="8" t="s">
        <v>206</v>
      </c>
      <c r="BG268" s="7" t="s">
        <v>206</v>
      </c>
      <c r="BH268" s="7" t="s">
        <v>206</v>
      </c>
      <c r="BI268" s="7"/>
      <c r="BJ268" s="4">
        <v>150</v>
      </c>
      <c r="BK268" s="8">
        <v>4529.32</v>
      </c>
      <c r="BL268" s="2" t="s">
        <v>2056</v>
      </c>
      <c r="BM268" s="7"/>
      <c r="BN268" s="7"/>
      <c r="BO268" s="4"/>
      <c r="BP268" s="8"/>
      <c r="BQ268" s="4"/>
      <c r="BR268" s="8"/>
      <c r="BS268" s="7"/>
      <c r="BT268" s="7"/>
      <c r="BU268" s="2" t="s">
        <v>2057</v>
      </c>
      <c r="BV268" s="2" t="s">
        <v>206</v>
      </c>
      <c r="BW268" s="2" t="s">
        <v>206</v>
      </c>
      <c r="BX268" s="2" t="s">
        <v>214</v>
      </c>
      <c r="BY268" s="2" t="s">
        <v>215</v>
      </c>
      <c r="BZ268" s="2" t="s">
        <v>203</v>
      </c>
      <c r="CA268" s="2" t="s">
        <v>2053</v>
      </c>
      <c r="CB268" s="2" t="s">
        <v>2058</v>
      </c>
      <c r="CC268" s="2" t="s">
        <v>218</v>
      </c>
      <c r="CD268" s="2" t="s">
        <v>206</v>
      </c>
      <c r="CE268" s="4">
        <v>381</v>
      </c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>
        <v>158</v>
      </c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  <c r="GE268" s="4"/>
      <c r="GF268" s="4"/>
    </row>
    <row r="269">
      <c r="A269" s="2" t="s">
        <v>2059</v>
      </c>
      <c r="B269" s="2" t="s">
        <v>225</v>
      </c>
      <c r="C269" s="2" t="s">
        <v>1948</v>
      </c>
      <c r="D269" s="2" t="s">
        <v>227</v>
      </c>
      <c r="E269" s="2" t="s">
        <v>228</v>
      </c>
      <c r="F269" s="2" t="s">
        <v>1949</v>
      </c>
      <c r="G269" s="2" t="s">
        <v>1949</v>
      </c>
      <c r="H269" s="2" t="s">
        <v>1949</v>
      </c>
      <c r="I269" s="2" t="s">
        <v>1950</v>
      </c>
      <c r="J269" s="2" t="s">
        <v>290</v>
      </c>
      <c r="K269" s="2" t="s">
        <v>2060</v>
      </c>
      <c r="L269" s="3">
        <v>16.16</v>
      </c>
      <c r="M269" s="3">
        <v>16.97</v>
      </c>
      <c r="N269" s="3">
        <v>34.99</v>
      </c>
      <c r="O269" s="2" t="s">
        <v>203</v>
      </c>
      <c r="P269" s="2" t="s">
        <v>204</v>
      </c>
      <c r="Q269" s="2" t="s">
        <v>205</v>
      </c>
      <c r="R269" s="2" t="s">
        <v>206</v>
      </c>
      <c r="S269" s="2" t="s">
        <v>2061</v>
      </c>
      <c r="T269" s="2" t="s">
        <v>1931</v>
      </c>
      <c r="U269" s="2" t="s">
        <v>206</v>
      </c>
      <c r="V269" s="2" t="s">
        <v>1932</v>
      </c>
      <c r="W269" s="2" t="s">
        <v>210</v>
      </c>
      <c r="X269" s="2" t="s">
        <v>206</v>
      </c>
      <c r="Y269" s="2" t="s">
        <v>1953</v>
      </c>
      <c r="Z269" s="4">
        <v>252</v>
      </c>
      <c r="AA269" s="4">
        <f>=ROUNDDOWN(25.2,0)</f>
      </c>
      <c r="AB269" s="5">
        <v>10</v>
      </c>
      <c r="AC269" s="2" t="s">
        <v>114</v>
      </c>
      <c r="AD269" s="4">
        <v>162</v>
      </c>
      <c r="AE269" s="4">
        <v>164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206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206</v>
      </c>
      <c r="AW269" s="8" t="s">
        <v>206</v>
      </c>
      <c r="AX269" s="4" t="s">
        <v>206</v>
      </c>
      <c r="AY269" s="8" t="s">
        <v>206</v>
      </c>
      <c r="AZ269" s="7" t="s">
        <v>206</v>
      </c>
      <c r="BA269" s="7" t="s">
        <v>206</v>
      </c>
      <c r="BB269" s="7"/>
      <c r="BC269" s="4" t="s">
        <v>206</v>
      </c>
      <c r="BD269" s="8" t="s">
        <v>206</v>
      </c>
      <c r="BE269" s="4" t="s">
        <v>206</v>
      </c>
      <c r="BF269" s="8" t="s">
        <v>206</v>
      </c>
      <c r="BG269" s="7" t="s">
        <v>206</v>
      </c>
      <c r="BH269" s="7" t="s">
        <v>206</v>
      </c>
      <c r="BI269" s="7"/>
      <c r="BJ269" s="4">
        <v>64</v>
      </c>
      <c r="BK269" s="8">
        <v>1210.12</v>
      </c>
      <c r="BL269" s="2" t="s">
        <v>2062</v>
      </c>
      <c r="BM269" s="7"/>
      <c r="BN269" s="7"/>
      <c r="BO269" s="4"/>
      <c r="BP269" s="8"/>
      <c r="BQ269" s="4"/>
      <c r="BR269" s="8"/>
      <c r="BS269" s="7"/>
      <c r="BT269" s="7"/>
      <c r="BU269" s="2" t="s">
        <v>2063</v>
      </c>
      <c r="BV269" s="2" t="s">
        <v>206</v>
      </c>
      <c r="BW269" s="2" t="s">
        <v>206</v>
      </c>
      <c r="BX269" s="2" t="s">
        <v>214</v>
      </c>
      <c r="BY269" s="2" t="s">
        <v>215</v>
      </c>
      <c r="BZ269" s="2" t="s">
        <v>203</v>
      </c>
      <c r="CA269" s="2" t="s">
        <v>1956</v>
      </c>
      <c r="CB269" s="2" t="s">
        <v>2064</v>
      </c>
      <c r="CC269" s="2" t="s">
        <v>218</v>
      </c>
      <c r="CD269" s="2" t="s">
        <v>206</v>
      </c>
      <c r="CE269" s="4">
        <v>252</v>
      </c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>
        <v>162</v>
      </c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>
        <v>2</v>
      </c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</row>
    <row r="270">
      <c r="A270" s="2" t="s">
        <v>2065</v>
      </c>
      <c r="B270" s="2" t="s">
        <v>225</v>
      </c>
      <c r="C270" s="2" t="s">
        <v>1948</v>
      </c>
      <c r="D270" s="2" t="s">
        <v>227</v>
      </c>
      <c r="E270" s="2" t="s">
        <v>228</v>
      </c>
      <c r="F270" s="2" t="s">
        <v>1949</v>
      </c>
      <c r="G270" s="2" t="s">
        <v>1949</v>
      </c>
      <c r="H270" s="2" t="s">
        <v>1949</v>
      </c>
      <c r="I270" s="2" t="s">
        <v>1950</v>
      </c>
      <c r="J270" s="2" t="s">
        <v>231</v>
      </c>
      <c r="K270" s="2" t="s">
        <v>2060</v>
      </c>
      <c r="L270" s="3">
        <v>27.39</v>
      </c>
      <c r="M270" s="3">
        <v>28.76</v>
      </c>
      <c r="N270" s="3">
        <v>62.99</v>
      </c>
      <c r="O270" s="2" t="s">
        <v>203</v>
      </c>
      <c r="P270" s="2" t="s">
        <v>204</v>
      </c>
      <c r="Q270" s="2" t="s">
        <v>205</v>
      </c>
      <c r="R270" s="2" t="s">
        <v>206</v>
      </c>
      <c r="S270" s="2" t="s">
        <v>2061</v>
      </c>
      <c r="T270" s="2" t="s">
        <v>1931</v>
      </c>
      <c r="U270" s="2" t="s">
        <v>206</v>
      </c>
      <c r="V270" s="2" t="s">
        <v>1932</v>
      </c>
      <c r="W270" s="2" t="s">
        <v>210</v>
      </c>
      <c r="X270" s="2" t="s">
        <v>206</v>
      </c>
      <c r="Y270" s="2" t="s">
        <v>1953</v>
      </c>
      <c r="Z270" s="4">
        <v>471</v>
      </c>
      <c r="AA270" s="4">
        <f>=ROUNDDOWN(42.8181818181818,0)</f>
      </c>
      <c r="AB270" s="5">
        <v>11</v>
      </c>
      <c r="AC270" s="2" t="s">
        <v>114</v>
      </c>
      <c r="AD270" s="4">
        <v>176</v>
      </c>
      <c r="AE270" s="4">
        <v>188</v>
      </c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206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206</v>
      </c>
      <c r="AW270" s="8" t="s">
        <v>206</v>
      </c>
      <c r="AX270" s="4" t="s">
        <v>206</v>
      </c>
      <c r="AY270" s="8" t="s">
        <v>206</v>
      </c>
      <c r="AZ270" s="7" t="s">
        <v>206</v>
      </c>
      <c r="BA270" s="7" t="s">
        <v>206</v>
      </c>
      <c r="BB270" s="7"/>
      <c r="BC270" s="4" t="s">
        <v>206</v>
      </c>
      <c r="BD270" s="8" t="s">
        <v>206</v>
      </c>
      <c r="BE270" s="4" t="s">
        <v>206</v>
      </c>
      <c r="BF270" s="8" t="s">
        <v>206</v>
      </c>
      <c r="BG270" s="7" t="s">
        <v>206</v>
      </c>
      <c r="BH270" s="7" t="s">
        <v>206</v>
      </c>
      <c r="BI270" s="7"/>
      <c r="BJ270" s="4">
        <v>53</v>
      </c>
      <c r="BK270" s="8">
        <v>1651.09</v>
      </c>
      <c r="BL270" s="2" t="s">
        <v>2066</v>
      </c>
      <c r="BM270" s="7"/>
      <c r="BN270" s="7"/>
      <c r="BO270" s="4"/>
      <c r="BP270" s="8"/>
      <c r="BQ270" s="4"/>
      <c r="BR270" s="8"/>
      <c r="BS270" s="7"/>
      <c r="BT270" s="7"/>
      <c r="BU270" s="2" t="s">
        <v>2067</v>
      </c>
      <c r="BV270" s="2" t="s">
        <v>206</v>
      </c>
      <c r="BW270" s="2" t="s">
        <v>206</v>
      </c>
      <c r="BX270" s="2" t="s">
        <v>214</v>
      </c>
      <c r="BY270" s="2" t="s">
        <v>215</v>
      </c>
      <c r="BZ270" s="2" t="s">
        <v>203</v>
      </c>
      <c r="CA270" s="2" t="s">
        <v>1956</v>
      </c>
      <c r="CB270" s="2" t="s">
        <v>2068</v>
      </c>
      <c r="CC270" s="2" t="s">
        <v>218</v>
      </c>
      <c r="CD270" s="2" t="s">
        <v>206</v>
      </c>
      <c r="CE270" s="4">
        <v>471</v>
      </c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>
        <v>176</v>
      </c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>
        <v>12</v>
      </c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</row>
    <row r="271">
      <c r="A271" s="2" t="s">
        <v>2069</v>
      </c>
      <c r="B271" s="2" t="s">
        <v>225</v>
      </c>
      <c r="C271" s="2" t="s">
        <v>1948</v>
      </c>
      <c r="D271" s="2" t="s">
        <v>227</v>
      </c>
      <c r="E271" s="2" t="s">
        <v>228</v>
      </c>
      <c r="F271" s="2" t="s">
        <v>1949</v>
      </c>
      <c r="G271" s="2" t="s">
        <v>1949</v>
      </c>
      <c r="H271" s="2" t="s">
        <v>1949</v>
      </c>
      <c r="I271" s="2" t="s">
        <v>1950</v>
      </c>
      <c r="J271" s="2" t="s">
        <v>201</v>
      </c>
      <c r="K271" s="2" t="s">
        <v>2070</v>
      </c>
      <c r="L271" s="3">
        <v>14.89</v>
      </c>
      <c r="M271" s="3">
        <v>15.63</v>
      </c>
      <c r="N271" s="3">
        <v>31.99</v>
      </c>
      <c r="O271" s="2" t="s">
        <v>203</v>
      </c>
      <c r="P271" s="2" t="s">
        <v>204</v>
      </c>
      <c r="Q271" s="2" t="s">
        <v>205</v>
      </c>
      <c r="R271" s="2" t="s">
        <v>206</v>
      </c>
      <c r="S271" s="2" t="s">
        <v>2071</v>
      </c>
      <c r="T271" s="2" t="s">
        <v>1931</v>
      </c>
      <c r="U271" s="2" t="s">
        <v>206</v>
      </c>
      <c r="V271" s="2" t="s">
        <v>698</v>
      </c>
      <c r="W271" s="2" t="s">
        <v>210</v>
      </c>
      <c r="X271" s="2" t="s">
        <v>206</v>
      </c>
      <c r="Y271" s="2" t="s">
        <v>2022</v>
      </c>
      <c r="Z271" s="4">
        <v>2157</v>
      </c>
      <c r="AA271" s="4">
        <f>=ROUNDDOWN(42.2941176470588,0)</f>
      </c>
      <c r="AB271" s="5">
        <v>51</v>
      </c>
      <c r="AC271" s="2" t="s">
        <v>206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206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206</v>
      </c>
      <c r="AW271" s="8" t="s">
        <v>206</v>
      </c>
      <c r="AX271" s="4" t="s">
        <v>206</v>
      </c>
      <c r="AY271" s="8" t="s">
        <v>206</v>
      </c>
      <c r="AZ271" s="7" t="s">
        <v>206</v>
      </c>
      <c r="BA271" s="7" t="s">
        <v>206</v>
      </c>
      <c r="BB271" s="7"/>
      <c r="BC271" s="4" t="s">
        <v>206</v>
      </c>
      <c r="BD271" s="8" t="s">
        <v>206</v>
      </c>
      <c r="BE271" s="4" t="s">
        <v>206</v>
      </c>
      <c r="BF271" s="8" t="s">
        <v>206</v>
      </c>
      <c r="BG271" s="7" t="s">
        <v>206</v>
      </c>
      <c r="BH271" s="7" t="s">
        <v>206</v>
      </c>
      <c r="BI271" s="7"/>
      <c r="BJ271" s="4">
        <v>155</v>
      </c>
      <c r="BK271" s="8">
        <v>2478.43</v>
      </c>
      <c r="BL271" s="2" t="s">
        <v>2072</v>
      </c>
      <c r="BM271" s="7"/>
      <c r="BN271" s="7"/>
      <c r="BO271" s="4"/>
      <c r="BP271" s="8"/>
      <c r="BQ271" s="4"/>
      <c r="BR271" s="8"/>
      <c r="BS271" s="7"/>
      <c r="BT271" s="7"/>
      <c r="BU271" s="2" t="s">
        <v>2073</v>
      </c>
      <c r="BV271" s="2" t="s">
        <v>206</v>
      </c>
      <c r="BW271" s="2" t="s">
        <v>206</v>
      </c>
      <c r="BX271" s="2" t="s">
        <v>214</v>
      </c>
      <c r="BY271" s="2" t="s">
        <v>215</v>
      </c>
      <c r="BZ271" s="2" t="s">
        <v>203</v>
      </c>
      <c r="CA271" s="2" t="s">
        <v>1956</v>
      </c>
      <c r="CB271" s="2" t="s">
        <v>1965</v>
      </c>
      <c r="CC271" s="2" t="s">
        <v>218</v>
      </c>
      <c r="CD271" s="2" t="s">
        <v>206</v>
      </c>
      <c r="CE271" s="4">
        <v>1056</v>
      </c>
      <c r="CF271" s="4">
        <v>1097</v>
      </c>
      <c r="CG271" s="4"/>
      <c r="CH271" s="4"/>
      <c r="CI271" s="4"/>
      <c r="CJ271" s="4"/>
      <c r="CK271" s="4">
        <v>4</v>
      </c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  <c r="GF271" s="4"/>
    </row>
    <row r="272">
      <c r="A272" s="2" t="s">
        <v>2074</v>
      </c>
      <c r="B272" s="2" t="s">
        <v>225</v>
      </c>
      <c r="C272" s="2" t="s">
        <v>1948</v>
      </c>
      <c r="D272" s="2" t="s">
        <v>227</v>
      </c>
      <c r="E272" s="2" t="s">
        <v>228</v>
      </c>
      <c r="F272" s="2" t="s">
        <v>1949</v>
      </c>
      <c r="G272" s="2" t="s">
        <v>1949</v>
      </c>
      <c r="H272" s="2" t="s">
        <v>1949</v>
      </c>
      <c r="I272" s="2" t="s">
        <v>1950</v>
      </c>
      <c r="J272" s="2" t="s">
        <v>220</v>
      </c>
      <c r="K272" s="2" t="s">
        <v>2070</v>
      </c>
      <c r="L272" s="3">
        <v>19.57</v>
      </c>
      <c r="M272" s="3">
        <v>20.55</v>
      </c>
      <c r="N272" s="3">
        <v>42.99</v>
      </c>
      <c r="O272" s="2" t="s">
        <v>203</v>
      </c>
      <c r="P272" s="2" t="s">
        <v>204</v>
      </c>
      <c r="Q272" s="2" t="s">
        <v>205</v>
      </c>
      <c r="R272" s="2" t="s">
        <v>206</v>
      </c>
      <c r="S272" s="2" t="s">
        <v>2071</v>
      </c>
      <c r="T272" s="2" t="s">
        <v>1931</v>
      </c>
      <c r="U272" s="2" t="s">
        <v>206</v>
      </c>
      <c r="V272" s="2" t="s">
        <v>698</v>
      </c>
      <c r="W272" s="2" t="s">
        <v>210</v>
      </c>
      <c r="X272" s="2" t="s">
        <v>206</v>
      </c>
      <c r="Y272" s="2" t="s">
        <v>2022</v>
      </c>
      <c r="Z272" s="4">
        <v>1753</v>
      </c>
      <c r="AA272" s="4">
        <f>=ROUNDDOWN(42.7560975609756,0)</f>
      </c>
      <c r="AB272" s="5">
        <v>41</v>
      </c>
      <c r="AC272" s="2" t="s">
        <v>206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206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206</v>
      </c>
      <c r="AW272" s="8" t="s">
        <v>206</v>
      </c>
      <c r="AX272" s="4" t="s">
        <v>206</v>
      </c>
      <c r="AY272" s="8" t="s">
        <v>206</v>
      </c>
      <c r="AZ272" s="7" t="s">
        <v>206</v>
      </c>
      <c r="BA272" s="7" t="s">
        <v>206</v>
      </c>
      <c r="BB272" s="7"/>
      <c r="BC272" s="4" t="s">
        <v>206</v>
      </c>
      <c r="BD272" s="8" t="s">
        <v>206</v>
      </c>
      <c r="BE272" s="4" t="s">
        <v>206</v>
      </c>
      <c r="BF272" s="8" t="s">
        <v>206</v>
      </c>
      <c r="BG272" s="7" t="s">
        <v>206</v>
      </c>
      <c r="BH272" s="7" t="s">
        <v>206</v>
      </c>
      <c r="BI272" s="7"/>
      <c r="BJ272" s="4">
        <v>85</v>
      </c>
      <c r="BK272" s="8">
        <v>1869.1</v>
      </c>
      <c r="BL272" s="2" t="s">
        <v>2075</v>
      </c>
      <c r="BM272" s="7"/>
      <c r="BN272" s="7"/>
      <c r="BO272" s="4"/>
      <c r="BP272" s="8"/>
      <c r="BQ272" s="4"/>
      <c r="BR272" s="8"/>
      <c r="BS272" s="7"/>
      <c r="BT272" s="7"/>
      <c r="BU272" s="2" t="s">
        <v>2076</v>
      </c>
      <c r="BV272" s="2" t="s">
        <v>206</v>
      </c>
      <c r="BW272" s="2" t="s">
        <v>206</v>
      </c>
      <c r="BX272" s="2" t="s">
        <v>214</v>
      </c>
      <c r="BY272" s="2" t="s">
        <v>215</v>
      </c>
      <c r="BZ272" s="2" t="s">
        <v>203</v>
      </c>
      <c r="CA272" s="2" t="s">
        <v>1956</v>
      </c>
      <c r="CB272" s="2" t="s">
        <v>1965</v>
      </c>
      <c r="CC272" s="2" t="s">
        <v>218</v>
      </c>
      <c r="CD272" s="2" t="s">
        <v>206</v>
      </c>
      <c r="CE272" s="4">
        <v>993</v>
      </c>
      <c r="CF272" s="4">
        <v>759</v>
      </c>
      <c r="CG272" s="4"/>
      <c r="CH272" s="4"/>
      <c r="CI272" s="4"/>
      <c r="CJ272" s="4"/>
      <c r="CK272" s="4">
        <v>1</v>
      </c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  <c r="GF272" s="4"/>
    </row>
    <row r="273">
      <c r="A273" s="2" t="s">
        <v>2077</v>
      </c>
      <c r="B273" s="2" t="s">
        <v>225</v>
      </c>
      <c r="C273" s="2" t="s">
        <v>1948</v>
      </c>
      <c r="D273" s="2" t="s">
        <v>227</v>
      </c>
      <c r="E273" s="2" t="s">
        <v>228</v>
      </c>
      <c r="F273" s="2" t="s">
        <v>1949</v>
      </c>
      <c r="G273" s="2" t="s">
        <v>1949</v>
      </c>
      <c r="H273" s="2" t="s">
        <v>1949</v>
      </c>
      <c r="I273" s="2" t="s">
        <v>1950</v>
      </c>
      <c r="J273" s="2" t="s">
        <v>231</v>
      </c>
      <c r="K273" s="2" t="s">
        <v>2078</v>
      </c>
      <c r="L273" s="3">
        <v>27.39</v>
      </c>
      <c r="M273" s="3">
        <v>28.76</v>
      </c>
      <c r="N273" s="3">
        <v>62.99</v>
      </c>
      <c r="O273" s="2" t="s">
        <v>203</v>
      </c>
      <c r="P273" s="2" t="s">
        <v>773</v>
      </c>
      <c r="Q273" s="2" t="s">
        <v>205</v>
      </c>
      <c r="R273" s="2" t="s">
        <v>206</v>
      </c>
      <c r="S273" s="2" t="s">
        <v>2079</v>
      </c>
      <c r="T273" s="2" t="s">
        <v>1931</v>
      </c>
      <c r="U273" s="2" t="s">
        <v>206</v>
      </c>
      <c r="V273" s="2" t="s">
        <v>1932</v>
      </c>
      <c r="W273" s="2" t="s">
        <v>210</v>
      </c>
      <c r="X273" s="2" t="s">
        <v>206</v>
      </c>
      <c r="Y273" s="2" t="s">
        <v>2080</v>
      </c>
      <c r="Z273" s="4">
        <v>1672</v>
      </c>
      <c r="AA273" s="4">
        <f>=ROUNDDOWN(61.9259259259259,0)</f>
      </c>
      <c r="AB273" s="5">
        <v>27</v>
      </c>
      <c r="AC273" s="2" t="s">
        <v>147</v>
      </c>
      <c r="AD273" s="4">
        <v>52</v>
      </c>
      <c r="AE273" s="4">
        <v>52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206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206</v>
      </c>
      <c r="BD273" s="8" t="s">
        <v>206</v>
      </c>
      <c r="BE273" s="4" t="s">
        <v>206</v>
      </c>
      <c r="BF273" s="8" t="s">
        <v>206</v>
      </c>
      <c r="BG273" s="7" t="s">
        <v>206</v>
      </c>
      <c r="BH273" s="7" t="s">
        <v>206</v>
      </c>
      <c r="BI273" s="7"/>
      <c r="BJ273" s="4">
        <v>68</v>
      </c>
      <c r="BK273" s="8">
        <v>2027.36</v>
      </c>
      <c r="BL273" s="2" t="s">
        <v>2081</v>
      </c>
      <c r="BM273" s="7"/>
      <c r="BN273" s="7"/>
      <c r="BO273" s="4"/>
      <c r="BP273" s="8"/>
      <c r="BQ273" s="4"/>
      <c r="BR273" s="8"/>
      <c r="BS273" s="7"/>
      <c r="BT273" s="7"/>
      <c r="BU273" s="2" t="s">
        <v>2082</v>
      </c>
      <c r="BV273" s="2" t="s">
        <v>206</v>
      </c>
      <c r="BW273" s="2" t="s">
        <v>206</v>
      </c>
      <c r="BX273" s="2" t="s">
        <v>214</v>
      </c>
      <c r="BY273" s="2" t="s">
        <v>215</v>
      </c>
      <c r="BZ273" s="2" t="s">
        <v>203</v>
      </c>
      <c r="CA273" s="2" t="s">
        <v>2031</v>
      </c>
      <c r="CB273" s="2" t="s">
        <v>2083</v>
      </c>
      <c r="CC273" s="2" t="s">
        <v>218</v>
      </c>
      <c r="CD273" s="2" t="s">
        <v>206</v>
      </c>
      <c r="CE273" s="4">
        <v>942</v>
      </c>
      <c r="CF273" s="4">
        <v>730</v>
      </c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>
        <v>52</v>
      </c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</row>
    <row r="274">
      <c r="A274" s="2" t="s">
        <v>2084</v>
      </c>
      <c r="B274" s="2" t="s">
        <v>225</v>
      </c>
      <c r="C274" s="2" t="s">
        <v>1948</v>
      </c>
      <c r="D274" s="2" t="s">
        <v>227</v>
      </c>
      <c r="E274" s="2" t="s">
        <v>228</v>
      </c>
      <c r="F274" s="2" t="s">
        <v>1949</v>
      </c>
      <c r="G274" s="2" t="s">
        <v>1949</v>
      </c>
      <c r="H274" s="2" t="s">
        <v>1949</v>
      </c>
      <c r="I274" s="2" t="s">
        <v>1950</v>
      </c>
      <c r="J274" s="2" t="s">
        <v>290</v>
      </c>
      <c r="K274" s="2" t="s">
        <v>2085</v>
      </c>
      <c r="L274" s="3">
        <v>16.16</v>
      </c>
      <c r="M274" s="3">
        <v>16.97</v>
      </c>
      <c r="N274" s="3">
        <v>34.99</v>
      </c>
      <c r="O274" s="2" t="s">
        <v>203</v>
      </c>
      <c r="P274" s="2" t="s">
        <v>492</v>
      </c>
      <c r="Q274" s="2" t="s">
        <v>205</v>
      </c>
      <c r="R274" s="2" t="s">
        <v>206</v>
      </c>
      <c r="S274" s="2" t="s">
        <v>2086</v>
      </c>
      <c r="T274" s="2" t="s">
        <v>1931</v>
      </c>
      <c r="U274" s="2" t="s">
        <v>206</v>
      </c>
      <c r="V274" s="2" t="s">
        <v>698</v>
      </c>
      <c r="W274" s="2" t="s">
        <v>210</v>
      </c>
      <c r="X274" s="2" t="s">
        <v>206</v>
      </c>
      <c r="Y274" s="2" t="s">
        <v>2087</v>
      </c>
      <c r="Z274" s="4">
        <v>654</v>
      </c>
      <c r="AA274" s="4">
        <f>=ROUNDDOWN(13.625,0)</f>
      </c>
      <c r="AB274" s="5">
        <v>48</v>
      </c>
      <c r="AC274" s="2" t="s">
        <v>107</v>
      </c>
      <c r="AD274" s="4">
        <v>95</v>
      </c>
      <c r="AE274" s="4">
        <v>743</v>
      </c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206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206</v>
      </c>
      <c r="AW274" s="8" t="s">
        <v>206</v>
      </c>
      <c r="AX274" s="4" t="s">
        <v>206</v>
      </c>
      <c r="AY274" s="8" t="s">
        <v>206</v>
      </c>
      <c r="AZ274" s="7" t="s">
        <v>206</v>
      </c>
      <c r="BA274" s="7" t="s">
        <v>206</v>
      </c>
      <c r="BB274" s="7"/>
      <c r="BC274" s="4" t="s">
        <v>206</v>
      </c>
      <c r="BD274" s="8" t="s">
        <v>206</v>
      </c>
      <c r="BE274" s="4" t="s">
        <v>206</v>
      </c>
      <c r="BF274" s="8" t="s">
        <v>206</v>
      </c>
      <c r="BG274" s="7" t="s">
        <v>206</v>
      </c>
      <c r="BH274" s="7" t="s">
        <v>206</v>
      </c>
      <c r="BI274" s="7"/>
      <c r="BJ274" s="4">
        <v>457</v>
      </c>
      <c r="BK274" s="8">
        <v>8097.65</v>
      </c>
      <c r="BL274" s="2" t="s">
        <v>2088</v>
      </c>
      <c r="BM274" s="7"/>
      <c r="BN274" s="7"/>
      <c r="BO274" s="4"/>
      <c r="BP274" s="8"/>
      <c r="BQ274" s="4"/>
      <c r="BR274" s="8"/>
      <c r="BS274" s="7"/>
      <c r="BT274" s="7"/>
      <c r="BU274" s="2" t="s">
        <v>2089</v>
      </c>
      <c r="BV274" s="2" t="s">
        <v>206</v>
      </c>
      <c r="BW274" s="2" t="s">
        <v>206</v>
      </c>
      <c r="BX274" s="2" t="s">
        <v>214</v>
      </c>
      <c r="BY274" s="2" t="s">
        <v>215</v>
      </c>
      <c r="BZ274" s="2" t="s">
        <v>203</v>
      </c>
      <c r="CA274" s="2" t="s">
        <v>2090</v>
      </c>
      <c r="CB274" s="2" t="s">
        <v>2091</v>
      </c>
      <c r="CC274" s="2" t="s">
        <v>218</v>
      </c>
      <c r="CD274" s="2" t="s">
        <v>206</v>
      </c>
      <c r="CE274" s="4">
        <v>654</v>
      </c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>
        <v>95</v>
      </c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>
        <v>640</v>
      </c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>
        <v>8</v>
      </c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</row>
    <row r="275">
      <c r="A275" s="2" t="s">
        <v>2092</v>
      </c>
      <c r="B275" s="2" t="s">
        <v>225</v>
      </c>
      <c r="C275" s="2" t="s">
        <v>1948</v>
      </c>
      <c r="D275" s="2" t="s">
        <v>227</v>
      </c>
      <c r="E275" s="2" t="s">
        <v>228</v>
      </c>
      <c r="F275" s="2" t="s">
        <v>1949</v>
      </c>
      <c r="G275" s="2" t="s">
        <v>1949</v>
      </c>
      <c r="H275" s="2" t="s">
        <v>1949</v>
      </c>
      <c r="I275" s="2" t="s">
        <v>1950</v>
      </c>
      <c r="J275" s="2" t="s">
        <v>282</v>
      </c>
      <c r="K275" s="2" t="s">
        <v>2085</v>
      </c>
      <c r="L275" s="3">
        <v>22.21</v>
      </c>
      <c r="M275" s="3">
        <v>23.32</v>
      </c>
      <c r="N275" s="3">
        <v>47.99</v>
      </c>
      <c r="O275" s="2" t="s">
        <v>203</v>
      </c>
      <c r="P275" s="2" t="s">
        <v>773</v>
      </c>
      <c r="Q275" s="2" t="s">
        <v>205</v>
      </c>
      <c r="R275" s="2" t="s">
        <v>206</v>
      </c>
      <c r="S275" s="2" t="s">
        <v>2086</v>
      </c>
      <c r="T275" s="2" t="s">
        <v>1931</v>
      </c>
      <c r="U275" s="2" t="s">
        <v>206</v>
      </c>
      <c r="V275" s="2" t="s">
        <v>698</v>
      </c>
      <c r="W275" s="2" t="s">
        <v>210</v>
      </c>
      <c r="X275" s="2" t="s">
        <v>206</v>
      </c>
      <c r="Y275" s="2" t="s">
        <v>211</v>
      </c>
      <c r="Z275" s="4">
        <v>1210</v>
      </c>
      <c r="AA275" s="4">
        <f>=ROUNDDOWN(22.8301886792453,0)</f>
      </c>
      <c r="AB275" s="5">
        <v>53</v>
      </c>
      <c r="AC275" s="2" t="s">
        <v>128</v>
      </c>
      <c r="AD275" s="4">
        <v>624</v>
      </c>
      <c r="AE275" s="4">
        <v>634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206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206</v>
      </c>
      <c r="AW275" s="8" t="s">
        <v>206</v>
      </c>
      <c r="AX275" s="4" t="s">
        <v>206</v>
      </c>
      <c r="AY275" s="8" t="s">
        <v>206</v>
      </c>
      <c r="AZ275" s="7" t="s">
        <v>206</v>
      </c>
      <c r="BA275" s="7" t="s">
        <v>206</v>
      </c>
      <c r="BB275" s="7"/>
      <c r="BC275" s="4" t="s">
        <v>206</v>
      </c>
      <c r="BD275" s="8" t="s">
        <v>206</v>
      </c>
      <c r="BE275" s="4" t="s">
        <v>206</v>
      </c>
      <c r="BF275" s="8" t="s">
        <v>206</v>
      </c>
      <c r="BG275" s="7" t="s">
        <v>206</v>
      </c>
      <c r="BH275" s="7" t="s">
        <v>206</v>
      </c>
      <c r="BI275" s="7"/>
      <c r="BJ275" s="4">
        <v>361</v>
      </c>
      <c r="BK275" s="8">
        <v>8675.51</v>
      </c>
      <c r="BL275" s="2" t="s">
        <v>2093</v>
      </c>
      <c r="BM275" s="7"/>
      <c r="BN275" s="7"/>
      <c r="BO275" s="4"/>
      <c r="BP275" s="8"/>
      <c r="BQ275" s="4"/>
      <c r="BR275" s="8"/>
      <c r="BS275" s="7"/>
      <c r="BT275" s="7"/>
      <c r="BU275" s="2" t="s">
        <v>2094</v>
      </c>
      <c r="BV275" s="2" t="s">
        <v>206</v>
      </c>
      <c r="BW275" s="2" t="s">
        <v>206</v>
      </c>
      <c r="BX275" s="2" t="s">
        <v>214</v>
      </c>
      <c r="BY275" s="2" t="s">
        <v>215</v>
      </c>
      <c r="BZ275" s="2" t="s">
        <v>203</v>
      </c>
      <c r="CA275" s="2" t="s">
        <v>2031</v>
      </c>
      <c r="CB275" s="2" t="s">
        <v>2095</v>
      </c>
      <c r="CC275" s="2" t="s">
        <v>218</v>
      </c>
      <c r="CD275" s="2" t="s">
        <v>206</v>
      </c>
      <c r="CE275" s="4">
        <v>1210</v>
      </c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>
        <v>624</v>
      </c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>
        <v>10</v>
      </c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</row>
    <row r="276">
      <c r="A276" s="2" t="s">
        <v>2096</v>
      </c>
      <c r="B276" s="2" t="s">
        <v>225</v>
      </c>
      <c r="C276" s="2" t="s">
        <v>1948</v>
      </c>
      <c r="D276" s="2" t="s">
        <v>227</v>
      </c>
      <c r="E276" s="2" t="s">
        <v>228</v>
      </c>
      <c r="F276" s="2" t="s">
        <v>1949</v>
      </c>
      <c r="G276" s="2" t="s">
        <v>1949</v>
      </c>
      <c r="H276" s="2" t="s">
        <v>1949</v>
      </c>
      <c r="I276" s="2" t="s">
        <v>1950</v>
      </c>
      <c r="J276" s="2" t="s">
        <v>231</v>
      </c>
      <c r="K276" s="2" t="s">
        <v>2085</v>
      </c>
      <c r="L276" s="3">
        <v>27.39</v>
      </c>
      <c r="M276" s="3">
        <v>28.76</v>
      </c>
      <c r="N276" s="3">
        <v>62.99</v>
      </c>
      <c r="O276" s="2" t="s">
        <v>203</v>
      </c>
      <c r="P276" s="2" t="s">
        <v>204</v>
      </c>
      <c r="Q276" s="2" t="s">
        <v>205</v>
      </c>
      <c r="R276" s="2" t="s">
        <v>206</v>
      </c>
      <c r="S276" s="2" t="s">
        <v>2086</v>
      </c>
      <c r="T276" s="2" t="s">
        <v>1931</v>
      </c>
      <c r="U276" s="2" t="s">
        <v>206</v>
      </c>
      <c r="V276" s="2" t="s">
        <v>698</v>
      </c>
      <c r="W276" s="2" t="s">
        <v>210</v>
      </c>
      <c r="X276" s="2" t="s">
        <v>206</v>
      </c>
      <c r="Y276" s="2" t="s">
        <v>211</v>
      </c>
      <c r="Z276" s="4">
        <v>608</v>
      </c>
      <c r="AA276" s="4">
        <f>=ROUNDDOWN(28.952380952381,0)</f>
      </c>
      <c r="AB276" s="5">
        <v>21</v>
      </c>
      <c r="AC276" s="2" t="s">
        <v>128</v>
      </c>
      <c r="AD276" s="4">
        <v>257</v>
      </c>
      <c r="AE276" s="4">
        <v>272</v>
      </c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206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206</v>
      </c>
      <c r="AW276" s="8" t="s">
        <v>206</v>
      </c>
      <c r="AX276" s="4" t="s">
        <v>206</v>
      </c>
      <c r="AY276" s="8" t="s">
        <v>206</v>
      </c>
      <c r="AZ276" s="7" t="s">
        <v>206</v>
      </c>
      <c r="BA276" s="7" t="s">
        <v>206</v>
      </c>
      <c r="BB276" s="7"/>
      <c r="BC276" s="4" t="s">
        <v>206</v>
      </c>
      <c r="BD276" s="8" t="s">
        <v>206</v>
      </c>
      <c r="BE276" s="4" t="s">
        <v>206</v>
      </c>
      <c r="BF276" s="8" t="s">
        <v>206</v>
      </c>
      <c r="BG276" s="7" t="s">
        <v>206</v>
      </c>
      <c r="BH276" s="7" t="s">
        <v>206</v>
      </c>
      <c r="BI276" s="7"/>
      <c r="BJ276" s="4">
        <v>76</v>
      </c>
      <c r="BK276" s="8">
        <v>2271.56</v>
      </c>
      <c r="BL276" s="2" t="s">
        <v>2097</v>
      </c>
      <c r="BM276" s="7"/>
      <c r="BN276" s="7"/>
      <c r="BO276" s="4"/>
      <c r="BP276" s="8"/>
      <c r="BQ276" s="4"/>
      <c r="BR276" s="8"/>
      <c r="BS276" s="7"/>
      <c r="BT276" s="7"/>
      <c r="BU276" s="2" t="s">
        <v>2098</v>
      </c>
      <c r="BV276" s="2" t="s">
        <v>206</v>
      </c>
      <c r="BW276" s="2" t="s">
        <v>206</v>
      </c>
      <c r="BX276" s="2" t="s">
        <v>214</v>
      </c>
      <c r="BY276" s="2" t="s">
        <v>215</v>
      </c>
      <c r="BZ276" s="2" t="s">
        <v>203</v>
      </c>
      <c r="CA276" s="2" t="s">
        <v>2031</v>
      </c>
      <c r="CB276" s="2" t="s">
        <v>2099</v>
      </c>
      <c r="CC276" s="2" t="s">
        <v>218</v>
      </c>
      <c r="CD276" s="2" t="s">
        <v>206</v>
      </c>
      <c r="CE276" s="4">
        <v>608</v>
      </c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>
        <v>257</v>
      </c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>
        <v>15</v>
      </c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</row>
    <row r="277">
      <c r="A277" s="2" t="s">
        <v>2100</v>
      </c>
      <c r="B277" s="2" t="s">
        <v>225</v>
      </c>
      <c r="C277" s="2" t="s">
        <v>1948</v>
      </c>
      <c r="D277" s="2" t="s">
        <v>227</v>
      </c>
      <c r="E277" s="2" t="s">
        <v>228</v>
      </c>
      <c r="F277" s="2" t="s">
        <v>1949</v>
      </c>
      <c r="G277" s="2" t="s">
        <v>1949</v>
      </c>
      <c r="H277" s="2" t="s">
        <v>1949</v>
      </c>
      <c r="I277" s="2" t="s">
        <v>1950</v>
      </c>
      <c r="J277" s="2" t="s">
        <v>282</v>
      </c>
      <c r="K277" s="2" t="s">
        <v>2101</v>
      </c>
      <c r="L277" s="3">
        <v>22.21</v>
      </c>
      <c r="M277" s="3">
        <v>23.32</v>
      </c>
      <c r="N277" s="3">
        <v>47.99</v>
      </c>
      <c r="O277" s="2" t="s">
        <v>203</v>
      </c>
      <c r="P277" s="2" t="s">
        <v>204</v>
      </c>
      <c r="Q277" s="2" t="s">
        <v>205</v>
      </c>
      <c r="R277" s="2" t="s">
        <v>206</v>
      </c>
      <c r="S277" s="2" t="s">
        <v>2102</v>
      </c>
      <c r="T277" s="2" t="s">
        <v>1931</v>
      </c>
      <c r="U277" s="2" t="s">
        <v>206</v>
      </c>
      <c r="V277" s="2" t="s">
        <v>209</v>
      </c>
      <c r="W277" s="2" t="s">
        <v>210</v>
      </c>
      <c r="X277" s="2" t="s">
        <v>206</v>
      </c>
      <c r="Y277" s="2" t="s">
        <v>2103</v>
      </c>
      <c r="Z277" s="4">
        <v>609</v>
      </c>
      <c r="AA277" s="4">
        <f>=ROUNDDOWN(24.36,0)</f>
      </c>
      <c r="AB277" s="5">
        <v>25</v>
      </c>
      <c r="AC277" s="2" t="s">
        <v>113</v>
      </c>
      <c r="AD277" s="4">
        <v>407</v>
      </c>
      <c r="AE277" s="4">
        <v>407</v>
      </c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206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206</v>
      </c>
      <c r="BD277" s="8" t="s">
        <v>206</v>
      </c>
      <c r="BE277" s="4" t="s">
        <v>206</v>
      </c>
      <c r="BF277" s="8" t="s">
        <v>206</v>
      </c>
      <c r="BG277" s="7" t="s">
        <v>206</v>
      </c>
      <c r="BH277" s="7" t="s">
        <v>206</v>
      </c>
      <c r="BI277" s="7"/>
      <c r="BJ277" s="4">
        <v>251</v>
      </c>
      <c r="BK277" s="8">
        <v>6083.34</v>
      </c>
      <c r="BL277" s="2" t="s">
        <v>2104</v>
      </c>
      <c r="BM277" s="7"/>
      <c r="BN277" s="7"/>
      <c r="BO277" s="4"/>
      <c r="BP277" s="8"/>
      <c r="BQ277" s="4"/>
      <c r="BR277" s="8"/>
      <c r="BS277" s="7"/>
      <c r="BT277" s="7"/>
      <c r="BU277" s="2" t="s">
        <v>2105</v>
      </c>
      <c r="BV277" s="2" t="s">
        <v>206</v>
      </c>
      <c r="BW277" s="2" t="s">
        <v>206</v>
      </c>
      <c r="BX277" s="2" t="s">
        <v>214</v>
      </c>
      <c r="BY277" s="2" t="s">
        <v>215</v>
      </c>
      <c r="BZ277" s="2" t="s">
        <v>203</v>
      </c>
      <c r="CA277" s="2" t="s">
        <v>2031</v>
      </c>
      <c r="CB277" s="2" t="s">
        <v>2106</v>
      </c>
      <c r="CC277" s="2" t="s">
        <v>218</v>
      </c>
      <c r="CD277" s="2" t="s">
        <v>206</v>
      </c>
      <c r="CE277" s="4">
        <v>237</v>
      </c>
      <c r="CF277" s="4">
        <v>372</v>
      </c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>
        <v>407</v>
      </c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</row>
    <row r="278">
      <c r="A278" s="2" t="s">
        <v>2107</v>
      </c>
      <c r="B278" s="2" t="s">
        <v>225</v>
      </c>
      <c r="C278" s="2" t="s">
        <v>1948</v>
      </c>
      <c r="D278" s="2" t="s">
        <v>227</v>
      </c>
      <c r="E278" s="2" t="s">
        <v>228</v>
      </c>
      <c r="F278" s="2" t="s">
        <v>1949</v>
      </c>
      <c r="G278" s="2" t="s">
        <v>1949</v>
      </c>
      <c r="H278" s="2" t="s">
        <v>1949</v>
      </c>
      <c r="I278" s="2" t="s">
        <v>1950</v>
      </c>
      <c r="J278" s="2" t="s">
        <v>220</v>
      </c>
      <c r="K278" s="2" t="s">
        <v>2108</v>
      </c>
      <c r="L278" s="3">
        <v>19.57</v>
      </c>
      <c r="M278" s="3">
        <v>20.55</v>
      </c>
      <c r="N278" s="3">
        <v>42.99</v>
      </c>
      <c r="O278" s="2" t="s">
        <v>203</v>
      </c>
      <c r="P278" s="2" t="s">
        <v>773</v>
      </c>
      <c r="Q278" s="2" t="s">
        <v>205</v>
      </c>
      <c r="R278" s="2" t="s">
        <v>206</v>
      </c>
      <c r="S278" s="2" t="s">
        <v>2109</v>
      </c>
      <c r="T278" s="2" t="s">
        <v>1931</v>
      </c>
      <c r="U278" s="2" t="s">
        <v>206</v>
      </c>
      <c r="V278" s="2" t="s">
        <v>1932</v>
      </c>
      <c r="W278" s="2" t="s">
        <v>210</v>
      </c>
      <c r="X278" s="2" t="s">
        <v>206</v>
      </c>
      <c r="Y278" s="2" t="s">
        <v>2087</v>
      </c>
      <c r="Z278" s="4">
        <v>788</v>
      </c>
      <c r="AA278" s="4">
        <f>=ROUNDDOWN(41.4736842105263,0)</f>
      </c>
      <c r="AB278" s="5">
        <v>19</v>
      </c>
      <c r="AC278" s="2" t="s">
        <v>114</v>
      </c>
      <c r="AD278" s="4">
        <v>420</v>
      </c>
      <c r="AE278" s="4">
        <v>487</v>
      </c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206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206</v>
      </c>
      <c r="BD278" s="8" t="s">
        <v>206</v>
      </c>
      <c r="BE278" s="4" t="s">
        <v>206</v>
      </c>
      <c r="BF278" s="8" t="s">
        <v>206</v>
      </c>
      <c r="BG278" s="7" t="s">
        <v>206</v>
      </c>
      <c r="BH278" s="7" t="s">
        <v>206</v>
      </c>
      <c r="BI278" s="7"/>
      <c r="BJ278" s="4">
        <v>145</v>
      </c>
      <c r="BK278" s="8">
        <v>3068.62</v>
      </c>
      <c r="BL278" s="2" t="s">
        <v>2110</v>
      </c>
      <c r="BM278" s="7"/>
      <c r="BN278" s="7"/>
      <c r="BO278" s="4"/>
      <c r="BP278" s="8"/>
      <c r="BQ278" s="4"/>
      <c r="BR278" s="8"/>
      <c r="BS278" s="7"/>
      <c r="BT278" s="7"/>
      <c r="BU278" s="2" t="s">
        <v>2111</v>
      </c>
      <c r="BV278" s="2" t="s">
        <v>206</v>
      </c>
      <c r="BW278" s="2" t="s">
        <v>206</v>
      </c>
      <c r="BX278" s="2" t="s">
        <v>214</v>
      </c>
      <c r="BY278" s="2" t="s">
        <v>215</v>
      </c>
      <c r="BZ278" s="2" t="s">
        <v>203</v>
      </c>
      <c r="CA278" s="2" t="s">
        <v>2031</v>
      </c>
      <c r="CB278" s="2" t="s">
        <v>2032</v>
      </c>
      <c r="CC278" s="2" t="s">
        <v>218</v>
      </c>
      <c r="CD278" s="2" t="s">
        <v>206</v>
      </c>
      <c r="CE278" s="4">
        <v>788</v>
      </c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>
        <v>420</v>
      </c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>
        <v>67</v>
      </c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</row>
    <row r="279">
      <c r="A279" s="2" t="s">
        <v>2112</v>
      </c>
      <c r="B279" s="2" t="s">
        <v>225</v>
      </c>
      <c r="C279" s="2" t="s">
        <v>1145</v>
      </c>
      <c r="D279" s="2" t="s">
        <v>227</v>
      </c>
      <c r="E279" s="2" t="s">
        <v>228</v>
      </c>
      <c r="F279" s="2" t="s">
        <v>2113</v>
      </c>
      <c r="G279" s="2" t="s">
        <v>2113</v>
      </c>
      <c r="H279" s="2" t="s">
        <v>2113</v>
      </c>
      <c r="I279" s="2" t="s">
        <v>2114</v>
      </c>
      <c r="J279" s="2" t="s">
        <v>290</v>
      </c>
      <c r="K279" s="2" t="s">
        <v>2115</v>
      </c>
      <c r="L279" s="3">
        <v>15.22</v>
      </c>
      <c r="M279" s="3">
        <v>15.98</v>
      </c>
      <c r="N279" s="3">
        <v>32.99</v>
      </c>
      <c r="O279" s="2" t="s">
        <v>203</v>
      </c>
      <c r="P279" s="2" t="s">
        <v>204</v>
      </c>
      <c r="Q279" s="2" t="s">
        <v>205</v>
      </c>
      <c r="R279" s="2" t="s">
        <v>206</v>
      </c>
      <c r="S279" s="2" t="s">
        <v>2116</v>
      </c>
      <c r="T279" s="2" t="s">
        <v>1931</v>
      </c>
      <c r="U279" s="2" t="s">
        <v>556</v>
      </c>
      <c r="V279" s="2" t="s">
        <v>1932</v>
      </c>
      <c r="W279" s="2" t="s">
        <v>210</v>
      </c>
      <c r="X279" s="2" t="s">
        <v>539</v>
      </c>
      <c r="Y279" s="2" t="s">
        <v>2117</v>
      </c>
      <c r="Z279" s="4">
        <v>51</v>
      </c>
      <c r="AA279" s="4">
        <f>=ROUNDDOWN(3.4,0)</f>
      </c>
      <c r="AB279" s="5">
        <v>15</v>
      </c>
      <c r="AC279" s="2" t="s">
        <v>107</v>
      </c>
      <c r="AD279" s="4">
        <v>3384</v>
      </c>
      <c r="AE279" s="4">
        <v>3509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206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206</v>
      </c>
      <c r="BD279" s="8" t="s">
        <v>206</v>
      </c>
      <c r="BE279" s="4" t="s">
        <v>206</v>
      </c>
      <c r="BF279" s="8" t="s">
        <v>206</v>
      </c>
      <c r="BG279" s="7" t="s">
        <v>206</v>
      </c>
      <c r="BH279" s="7" t="s">
        <v>206</v>
      </c>
      <c r="BI279" s="7"/>
      <c r="BJ279" s="4">
        <v>100</v>
      </c>
      <c r="BK279" s="8">
        <v>1759.85</v>
      </c>
      <c r="BL279" s="2" t="s">
        <v>2118</v>
      </c>
      <c r="BM279" s="7"/>
      <c r="BN279" s="7"/>
      <c r="BO279" s="4"/>
      <c r="BP279" s="8"/>
      <c r="BQ279" s="4"/>
      <c r="BR279" s="8"/>
      <c r="BS279" s="7"/>
      <c r="BT279" s="7"/>
      <c r="BU279" s="2" t="s">
        <v>2119</v>
      </c>
      <c r="BV279" s="2" t="s">
        <v>206</v>
      </c>
      <c r="BW279" s="2" t="s">
        <v>206</v>
      </c>
      <c r="BX279" s="2" t="s">
        <v>214</v>
      </c>
      <c r="BY279" s="2" t="s">
        <v>215</v>
      </c>
      <c r="BZ279" s="2" t="s">
        <v>203</v>
      </c>
      <c r="CA279" s="2" t="s">
        <v>2120</v>
      </c>
      <c r="CB279" s="2" t="s">
        <v>2121</v>
      </c>
      <c r="CC279" s="2" t="s">
        <v>218</v>
      </c>
      <c r="CD279" s="2" t="s">
        <v>206</v>
      </c>
      <c r="CE279" s="4">
        <v>51</v>
      </c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>
        <v>3384</v>
      </c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>
        <v>85</v>
      </c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>
        <v>40</v>
      </c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</row>
    <row r="280">
      <c r="A280" s="2" t="s">
        <v>2122</v>
      </c>
      <c r="B280" s="2" t="s">
        <v>225</v>
      </c>
      <c r="C280" s="2" t="s">
        <v>1145</v>
      </c>
      <c r="D280" s="2" t="s">
        <v>227</v>
      </c>
      <c r="E280" s="2" t="s">
        <v>228</v>
      </c>
      <c r="F280" s="2" t="s">
        <v>2113</v>
      </c>
      <c r="G280" s="2" t="s">
        <v>2113</v>
      </c>
      <c r="H280" s="2" t="s">
        <v>2113</v>
      </c>
      <c r="I280" s="2" t="s">
        <v>2114</v>
      </c>
      <c r="J280" s="2" t="s">
        <v>220</v>
      </c>
      <c r="K280" s="2" t="s">
        <v>2123</v>
      </c>
      <c r="L280" s="3">
        <v>19.13</v>
      </c>
      <c r="M280" s="3">
        <v>20.09</v>
      </c>
      <c r="N280" s="3">
        <v>42.99</v>
      </c>
      <c r="O280" s="2" t="s">
        <v>203</v>
      </c>
      <c r="P280" s="2" t="s">
        <v>204</v>
      </c>
      <c r="Q280" s="2" t="s">
        <v>205</v>
      </c>
      <c r="R280" s="2" t="s">
        <v>206</v>
      </c>
      <c r="S280" s="2" t="s">
        <v>2124</v>
      </c>
      <c r="T280" s="2" t="s">
        <v>1931</v>
      </c>
      <c r="U280" s="2" t="s">
        <v>235</v>
      </c>
      <c r="V280" s="2" t="s">
        <v>1932</v>
      </c>
      <c r="W280" s="2" t="s">
        <v>210</v>
      </c>
      <c r="X280" s="2" t="s">
        <v>539</v>
      </c>
      <c r="Y280" s="2" t="s">
        <v>2117</v>
      </c>
      <c r="Z280" s="4"/>
      <c r="AA280" s="4">
        <f>=ROUNDDOWN({0},0)</f>
      </c>
      <c r="AB280" s="5">
        <v>15</v>
      </c>
      <c r="AC280" s="2" t="s">
        <v>107</v>
      </c>
      <c r="AD280" s="4">
        <v>3672</v>
      </c>
      <c r="AE280" s="4">
        <v>3804</v>
      </c>
      <c r="AF280" s="6">
        <v>65</v>
      </c>
      <c r="AG280" s="6"/>
      <c r="AH280" s="7">
        <v>0.0968</v>
      </c>
      <c r="AI280" s="4"/>
      <c r="AJ280" s="4">
        <f>=ROUNDDOWN({0},0)</f>
      </c>
      <c r="AK280" s="5"/>
      <c r="AL280" s="2" t="s">
        <v>206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206</v>
      </c>
      <c r="AW280" s="8" t="s">
        <v>206</v>
      </c>
      <c r="AX280" s="4" t="s">
        <v>206</v>
      </c>
      <c r="AY280" s="8" t="s">
        <v>206</v>
      </c>
      <c r="AZ280" s="7" t="s">
        <v>206</v>
      </c>
      <c r="BA280" s="7" t="s">
        <v>206</v>
      </c>
      <c r="BB280" s="7"/>
      <c r="BC280" s="4" t="s">
        <v>206</v>
      </c>
      <c r="BD280" s="8" t="s">
        <v>206</v>
      </c>
      <c r="BE280" s="4" t="s">
        <v>206</v>
      </c>
      <c r="BF280" s="8" t="s">
        <v>206</v>
      </c>
      <c r="BG280" s="7" t="s">
        <v>206</v>
      </c>
      <c r="BH280" s="7" t="s">
        <v>206</v>
      </c>
      <c r="BI280" s="7"/>
      <c r="BJ280" s="4">
        <v>135</v>
      </c>
      <c r="BK280" s="8">
        <v>2999.7</v>
      </c>
      <c r="BL280" s="2" t="s">
        <v>2125</v>
      </c>
      <c r="BM280" s="7"/>
      <c r="BN280" s="7"/>
      <c r="BO280" s="4"/>
      <c r="BP280" s="8"/>
      <c r="BQ280" s="4"/>
      <c r="BR280" s="8"/>
      <c r="BS280" s="7"/>
      <c r="BT280" s="7"/>
      <c r="BU280" s="2" t="s">
        <v>2126</v>
      </c>
      <c r="BV280" s="2" t="s">
        <v>206</v>
      </c>
      <c r="BW280" s="2" t="s">
        <v>206</v>
      </c>
      <c r="BX280" s="2" t="s">
        <v>214</v>
      </c>
      <c r="BY280" s="2" t="s">
        <v>215</v>
      </c>
      <c r="BZ280" s="2" t="s">
        <v>203</v>
      </c>
      <c r="CA280" s="2" t="s">
        <v>2120</v>
      </c>
      <c r="CB280" s="2" t="s">
        <v>2127</v>
      </c>
      <c r="CC280" s="2" t="s">
        <v>218</v>
      </c>
      <c r="CD280" s="2" t="s">
        <v>206</v>
      </c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>
        <v>3672</v>
      </c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>
        <v>132</v>
      </c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</row>
    <row r="281">
      <c r="A281" s="2" t="s">
        <v>2128</v>
      </c>
      <c r="B281" s="2" t="s">
        <v>225</v>
      </c>
      <c r="C281" s="2" t="s">
        <v>1145</v>
      </c>
      <c r="D281" s="2" t="s">
        <v>227</v>
      </c>
      <c r="E281" s="2" t="s">
        <v>228</v>
      </c>
      <c r="F281" s="2" t="s">
        <v>2113</v>
      </c>
      <c r="G281" s="2" t="s">
        <v>2113</v>
      </c>
      <c r="H281" s="2" t="s">
        <v>2113</v>
      </c>
      <c r="I281" s="2" t="s">
        <v>2114</v>
      </c>
      <c r="J281" s="2" t="s">
        <v>282</v>
      </c>
      <c r="K281" s="2" t="s">
        <v>2123</v>
      </c>
      <c r="L281" s="3">
        <v>21.27</v>
      </c>
      <c r="M281" s="3">
        <v>22.33</v>
      </c>
      <c r="N281" s="3">
        <v>47.99</v>
      </c>
      <c r="O281" s="2" t="s">
        <v>203</v>
      </c>
      <c r="P281" s="2" t="s">
        <v>204</v>
      </c>
      <c r="Q281" s="2" t="s">
        <v>205</v>
      </c>
      <c r="R281" s="2" t="s">
        <v>206</v>
      </c>
      <c r="S281" s="2" t="s">
        <v>2124</v>
      </c>
      <c r="T281" s="2" t="s">
        <v>1931</v>
      </c>
      <c r="U281" s="2" t="s">
        <v>235</v>
      </c>
      <c r="V281" s="2" t="s">
        <v>1932</v>
      </c>
      <c r="W281" s="2" t="s">
        <v>210</v>
      </c>
      <c r="X281" s="2" t="s">
        <v>539</v>
      </c>
      <c r="Y281" s="2" t="s">
        <v>2117</v>
      </c>
      <c r="Z281" s="4">
        <v>59</v>
      </c>
      <c r="AA281" s="4">
        <f>=ROUNDDOWN(2.95,0)</f>
      </c>
      <c r="AB281" s="5">
        <v>20</v>
      </c>
      <c r="AC281" s="2" t="s">
        <v>107</v>
      </c>
      <c r="AD281" s="4">
        <v>4932</v>
      </c>
      <c r="AE281" s="4">
        <v>5126</v>
      </c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206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206</v>
      </c>
      <c r="AW281" s="8" t="s">
        <v>206</v>
      </c>
      <c r="AX281" s="4" t="s">
        <v>206</v>
      </c>
      <c r="AY281" s="8" t="s">
        <v>206</v>
      </c>
      <c r="AZ281" s="7" t="s">
        <v>206</v>
      </c>
      <c r="BA281" s="7" t="s">
        <v>206</v>
      </c>
      <c r="BB281" s="7"/>
      <c r="BC281" s="4" t="s">
        <v>206</v>
      </c>
      <c r="BD281" s="8" t="s">
        <v>206</v>
      </c>
      <c r="BE281" s="4" t="s">
        <v>206</v>
      </c>
      <c r="BF281" s="8" t="s">
        <v>206</v>
      </c>
      <c r="BG281" s="7" t="s">
        <v>206</v>
      </c>
      <c r="BH281" s="7" t="s">
        <v>206</v>
      </c>
      <c r="BI281" s="7"/>
      <c r="BJ281" s="4">
        <v>169</v>
      </c>
      <c r="BK281" s="8">
        <v>4214.52</v>
      </c>
      <c r="BL281" s="2" t="s">
        <v>2129</v>
      </c>
      <c r="BM281" s="7"/>
      <c r="BN281" s="7"/>
      <c r="BO281" s="4"/>
      <c r="BP281" s="8"/>
      <c r="BQ281" s="4"/>
      <c r="BR281" s="8"/>
      <c r="BS281" s="7"/>
      <c r="BT281" s="7"/>
      <c r="BU281" s="2" t="s">
        <v>2130</v>
      </c>
      <c r="BV281" s="2" t="s">
        <v>206</v>
      </c>
      <c r="BW281" s="2" t="s">
        <v>206</v>
      </c>
      <c r="BX281" s="2" t="s">
        <v>214</v>
      </c>
      <c r="BY281" s="2" t="s">
        <v>215</v>
      </c>
      <c r="BZ281" s="2" t="s">
        <v>203</v>
      </c>
      <c r="CA281" s="2" t="s">
        <v>2120</v>
      </c>
      <c r="CB281" s="2" t="s">
        <v>2131</v>
      </c>
      <c r="CC281" s="2" t="s">
        <v>218</v>
      </c>
      <c r="CD281" s="2" t="s">
        <v>206</v>
      </c>
      <c r="CE281" s="4">
        <v>59</v>
      </c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>
        <v>4932</v>
      </c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>
        <v>194</v>
      </c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</row>
    <row r="282">
      <c r="A282" s="2" t="s">
        <v>2132</v>
      </c>
      <c r="B282" s="2" t="s">
        <v>225</v>
      </c>
      <c r="C282" s="2" t="s">
        <v>1145</v>
      </c>
      <c r="D282" s="2" t="s">
        <v>227</v>
      </c>
      <c r="E282" s="2" t="s">
        <v>228</v>
      </c>
      <c r="F282" s="2" t="s">
        <v>2113</v>
      </c>
      <c r="G282" s="2" t="s">
        <v>2113</v>
      </c>
      <c r="H282" s="2" t="s">
        <v>2113</v>
      </c>
      <c r="I282" s="2" t="s">
        <v>2114</v>
      </c>
      <c r="J282" s="2" t="s">
        <v>290</v>
      </c>
      <c r="K282" s="2" t="s">
        <v>2133</v>
      </c>
      <c r="L282" s="3">
        <v>15.22</v>
      </c>
      <c r="M282" s="3">
        <v>15.98</v>
      </c>
      <c r="N282" s="3">
        <v>32.99</v>
      </c>
      <c r="O282" s="2" t="s">
        <v>203</v>
      </c>
      <c r="P282" s="2" t="s">
        <v>204</v>
      </c>
      <c r="Q282" s="2" t="s">
        <v>205</v>
      </c>
      <c r="R282" s="2" t="s">
        <v>206</v>
      </c>
      <c r="S282" s="2" t="s">
        <v>2134</v>
      </c>
      <c r="T282" s="2" t="s">
        <v>1931</v>
      </c>
      <c r="U282" s="2" t="s">
        <v>556</v>
      </c>
      <c r="V282" s="2" t="s">
        <v>958</v>
      </c>
      <c r="W282" s="2" t="s">
        <v>210</v>
      </c>
      <c r="X282" s="2" t="s">
        <v>539</v>
      </c>
      <c r="Y282" s="2" t="s">
        <v>1384</v>
      </c>
      <c r="Z282" s="4">
        <v>109</v>
      </c>
      <c r="AA282" s="4">
        <f>=ROUNDDOWN(12.1111111111111,0)</f>
      </c>
      <c r="AB282" s="5">
        <v>9</v>
      </c>
      <c r="AC282" s="2" t="s">
        <v>107</v>
      </c>
      <c r="AD282" s="4">
        <v>2556</v>
      </c>
      <c r="AE282" s="4">
        <v>2666</v>
      </c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206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206</v>
      </c>
      <c r="BD282" s="8" t="s">
        <v>206</v>
      </c>
      <c r="BE282" s="4" t="s">
        <v>206</v>
      </c>
      <c r="BF282" s="8" t="s">
        <v>206</v>
      </c>
      <c r="BG282" s="7" t="s">
        <v>206</v>
      </c>
      <c r="BH282" s="7" t="s">
        <v>206</v>
      </c>
      <c r="BI282" s="7"/>
      <c r="BJ282" s="4">
        <v>30</v>
      </c>
      <c r="BK282" s="8">
        <v>533.56</v>
      </c>
      <c r="BL282" s="2" t="s">
        <v>2135</v>
      </c>
      <c r="BM282" s="7"/>
      <c r="BN282" s="7"/>
      <c r="BO282" s="4"/>
      <c r="BP282" s="8"/>
      <c r="BQ282" s="4"/>
      <c r="BR282" s="8"/>
      <c r="BS282" s="7"/>
      <c r="BT282" s="7"/>
      <c r="BU282" s="2" t="s">
        <v>2136</v>
      </c>
      <c r="BV282" s="2" t="s">
        <v>206</v>
      </c>
      <c r="BW282" s="2" t="s">
        <v>206</v>
      </c>
      <c r="BX282" s="2" t="s">
        <v>214</v>
      </c>
      <c r="BY282" s="2" t="s">
        <v>215</v>
      </c>
      <c r="BZ282" s="2" t="s">
        <v>203</v>
      </c>
      <c r="CA282" s="2" t="s">
        <v>1384</v>
      </c>
      <c r="CB282" s="2" t="s">
        <v>2137</v>
      </c>
      <c r="CC282" s="2" t="s">
        <v>218</v>
      </c>
      <c r="CD282" s="2" t="s">
        <v>206</v>
      </c>
      <c r="CE282" s="4">
        <v>52</v>
      </c>
      <c r="CF282" s="4">
        <v>57</v>
      </c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>
        <v>2556</v>
      </c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>
        <v>110</v>
      </c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4"/>
      <c r="GA282" s="4"/>
      <c r="GB282" s="4"/>
      <c r="GC282" s="4"/>
      <c r="GD282" s="4"/>
      <c r="GE282" s="4"/>
      <c r="GF282" s="4"/>
    </row>
    <row r="283">
      <c r="A283" s="2" t="s">
        <v>2138</v>
      </c>
      <c r="B283" s="2" t="s">
        <v>461</v>
      </c>
      <c r="C283" s="2" t="s">
        <v>462</v>
      </c>
      <c r="D283" s="2" t="s">
        <v>975</v>
      </c>
      <c r="E283" s="2" t="s">
        <v>976</v>
      </c>
      <c r="F283" s="2" t="s">
        <v>2139</v>
      </c>
      <c r="G283" s="2" t="s">
        <v>2139</v>
      </c>
      <c r="H283" s="2" t="s">
        <v>2139</v>
      </c>
      <c r="I283" s="2" t="s">
        <v>1208</v>
      </c>
      <c r="J283" s="2" t="s">
        <v>434</v>
      </c>
      <c r="K283" s="2" t="s">
        <v>262</v>
      </c>
      <c r="L283" s="3">
        <v>261</v>
      </c>
      <c r="M283" s="3">
        <v>274.05</v>
      </c>
      <c r="N283" s="3">
        <v>549</v>
      </c>
      <c r="O283" s="2" t="s">
        <v>203</v>
      </c>
      <c r="P283" s="2" t="s">
        <v>467</v>
      </c>
      <c r="Q283" s="2" t="s">
        <v>205</v>
      </c>
      <c r="R283" s="2" t="s">
        <v>206</v>
      </c>
      <c r="S283" s="2" t="s">
        <v>2140</v>
      </c>
      <c r="T283" s="2" t="s">
        <v>206</v>
      </c>
      <c r="U283" s="2" t="s">
        <v>206</v>
      </c>
      <c r="V283" s="2" t="s">
        <v>209</v>
      </c>
      <c r="W283" s="2" t="s">
        <v>586</v>
      </c>
      <c r="X283" s="2" t="s">
        <v>206</v>
      </c>
      <c r="Y283" s="2" t="s">
        <v>2141</v>
      </c>
      <c r="Z283" s="4">
        <v>88</v>
      </c>
      <c r="AA283" s="4">
        <f>=ROUNDDOWN(51.7647058823529,0)</f>
      </c>
      <c r="AB283" s="5">
        <v>1.7</v>
      </c>
      <c r="AC283" s="2" t="s">
        <v>206</v>
      </c>
      <c r="AD283" s="4"/>
      <c r="AE283" s="4"/>
      <c r="AF283" s="6">
        <v>66</v>
      </c>
      <c r="AG283" s="6"/>
      <c r="AH283" s="7">
        <v>1</v>
      </c>
      <c r="AI283" s="4"/>
      <c r="AJ283" s="4">
        <f>=ROUNDDOWN({0},0)</f>
      </c>
      <c r="AK283" s="5"/>
      <c r="AL283" s="2" t="s">
        <v>206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206</v>
      </c>
      <c r="BD283" s="8" t="s">
        <v>206</v>
      </c>
      <c r="BE283" s="4" t="s">
        <v>206</v>
      </c>
      <c r="BF283" s="8" t="s">
        <v>206</v>
      </c>
      <c r="BG283" s="7" t="s">
        <v>206</v>
      </c>
      <c r="BH283" s="7" t="s">
        <v>206</v>
      </c>
      <c r="BI283" s="7"/>
      <c r="BJ283" s="4">
        <v>10</v>
      </c>
      <c r="BK283" s="8">
        <v>2588.32</v>
      </c>
      <c r="BL283" s="2" t="s">
        <v>2142</v>
      </c>
      <c r="BM283" s="7"/>
      <c r="BN283" s="7"/>
      <c r="BO283" s="4"/>
      <c r="BP283" s="8"/>
      <c r="BQ283" s="4"/>
      <c r="BR283" s="8"/>
      <c r="BS283" s="7"/>
      <c r="BT283" s="7"/>
      <c r="BU283" s="2" t="s">
        <v>2143</v>
      </c>
      <c r="BV283" s="2" t="s">
        <v>206</v>
      </c>
      <c r="BW283" s="2" t="s">
        <v>206</v>
      </c>
      <c r="BX283" s="2" t="s">
        <v>426</v>
      </c>
      <c r="BY283" s="2" t="s">
        <v>215</v>
      </c>
      <c r="BZ283" s="2" t="s">
        <v>203</v>
      </c>
      <c r="CA283" s="2" t="s">
        <v>2144</v>
      </c>
      <c r="CB283" s="2" t="s">
        <v>267</v>
      </c>
      <c r="CC283" s="2" t="s">
        <v>218</v>
      </c>
      <c r="CD283" s="2" t="s">
        <v>206</v>
      </c>
      <c r="CE283" s="4"/>
      <c r="CF283" s="4">
        <v>88</v>
      </c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4"/>
      <c r="GA283" s="4"/>
      <c r="GB283" s="4"/>
      <c r="GC283" s="4"/>
      <c r="GD283" s="4"/>
      <c r="GE283" s="4"/>
      <c r="GF283" s="4"/>
    </row>
    <row r="284">
      <c r="A284" s="2" t="s">
        <v>2145</v>
      </c>
      <c r="B284" s="2" t="s">
        <v>461</v>
      </c>
      <c r="C284" s="2" t="s">
        <v>462</v>
      </c>
      <c r="D284" s="2" t="s">
        <v>975</v>
      </c>
      <c r="E284" s="2" t="s">
        <v>976</v>
      </c>
      <c r="F284" s="2" t="s">
        <v>2139</v>
      </c>
      <c r="G284" s="2" t="s">
        <v>2139</v>
      </c>
      <c r="H284" s="2" t="s">
        <v>2139</v>
      </c>
      <c r="I284" s="2" t="s">
        <v>1208</v>
      </c>
      <c r="J284" s="2" t="s">
        <v>434</v>
      </c>
      <c r="K284" s="2" t="s">
        <v>1508</v>
      </c>
      <c r="L284" s="3">
        <v>261</v>
      </c>
      <c r="M284" s="3">
        <v>274.05</v>
      </c>
      <c r="N284" s="3">
        <v>549</v>
      </c>
      <c r="O284" s="2" t="s">
        <v>203</v>
      </c>
      <c r="P284" s="2" t="s">
        <v>204</v>
      </c>
      <c r="Q284" s="2" t="s">
        <v>205</v>
      </c>
      <c r="R284" s="2" t="s">
        <v>206</v>
      </c>
      <c r="S284" s="2" t="s">
        <v>2146</v>
      </c>
      <c r="T284" s="2" t="s">
        <v>206</v>
      </c>
      <c r="U284" s="2" t="s">
        <v>206</v>
      </c>
      <c r="V284" s="2" t="s">
        <v>209</v>
      </c>
      <c r="W284" s="2" t="s">
        <v>586</v>
      </c>
      <c r="X284" s="2" t="s">
        <v>206</v>
      </c>
      <c r="Y284" s="2" t="s">
        <v>211</v>
      </c>
      <c r="Z284" s="4">
        <v>200</v>
      </c>
      <c r="AA284" s="4">
        <f>=ROUNDDOWN(100,0)</f>
      </c>
      <c r="AB284" s="5">
        <v>2</v>
      </c>
      <c r="AC284" s="2" t="s">
        <v>2147</v>
      </c>
      <c r="AD284" s="4">
        <v>58</v>
      </c>
      <c r="AE284" s="4">
        <v>58</v>
      </c>
      <c r="AF284" s="6">
        <v>66</v>
      </c>
      <c r="AG284" s="6">
        <v>49</v>
      </c>
      <c r="AH284" s="7">
        <v>1</v>
      </c>
      <c r="AI284" s="4"/>
      <c r="AJ284" s="4">
        <f>=ROUNDDOWN({0},0)</f>
      </c>
      <c r="AK284" s="5"/>
      <c r="AL284" s="2" t="s">
        <v>206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206</v>
      </c>
      <c r="BD284" s="8" t="s">
        <v>206</v>
      </c>
      <c r="BE284" s="4" t="s">
        <v>206</v>
      </c>
      <c r="BF284" s="8" t="s">
        <v>206</v>
      </c>
      <c r="BG284" s="7" t="s">
        <v>206</v>
      </c>
      <c r="BH284" s="7" t="s">
        <v>206</v>
      </c>
      <c r="BI284" s="7"/>
      <c r="BJ284" s="4">
        <v>8</v>
      </c>
      <c r="BK284" s="8">
        <v>2264.37</v>
      </c>
      <c r="BL284" s="2" t="s">
        <v>2148</v>
      </c>
      <c r="BM284" s="7"/>
      <c r="BN284" s="7"/>
      <c r="BO284" s="4"/>
      <c r="BP284" s="8"/>
      <c r="BQ284" s="4"/>
      <c r="BR284" s="8"/>
      <c r="BS284" s="7"/>
      <c r="BT284" s="7"/>
      <c r="BU284" s="2" t="s">
        <v>2149</v>
      </c>
      <c r="BV284" s="2" t="s">
        <v>206</v>
      </c>
      <c r="BW284" s="2" t="s">
        <v>206</v>
      </c>
      <c r="BX284" s="2" t="s">
        <v>426</v>
      </c>
      <c r="BY284" s="2" t="s">
        <v>215</v>
      </c>
      <c r="BZ284" s="2" t="s">
        <v>203</v>
      </c>
      <c r="CA284" s="2" t="s">
        <v>2150</v>
      </c>
      <c r="CB284" s="2" t="s">
        <v>2151</v>
      </c>
      <c r="CC284" s="2" t="s">
        <v>218</v>
      </c>
      <c r="CD284" s="2" t="s">
        <v>206</v>
      </c>
      <c r="CE284" s="4"/>
      <c r="CF284" s="4">
        <v>142</v>
      </c>
      <c r="CG284" s="4"/>
      <c r="CH284" s="4">
        <v>58</v>
      </c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>
        <v>58</v>
      </c>
      <c r="FQ284" s="4"/>
      <c r="FR284" s="4"/>
      <c r="FS284" s="4"/>
      <c r="FT284" s="4"/>
      <c r="FU284" s="4"/>
      <c r="FV284" s="4"/>
      <c r="FW284" s="4"/>
      <c r="FX284" s="4"/>
      <c r="FY284" s="4"/>
      <c r="FZ284" s="4"/>
      <c r="GA284" s="4"/>
      <c r="GB284" s="4"/>
      <c r="GC284" s="4"/>
      <c r="GD284" s="4"/>
      <c r="GE284" s="4"/>
      <c r="GF284" s="4"/>
    </row>
    <row r="285">
      <c r="A285" s="2" t="s">
        <v>2152</v>
      </c>
      <c r="B285" s="2" t="s">
        <v>461</v>
      </c>
      <c r="C285" s="2" t="s">
        <v>462</v>
      </c>
      <c r="D285" s="2" t="s">
        <v>975</v>
      </c>
      <c r="E285" s="2" t="s">
        <v>976</v>
      </c>
      <c r="F285" s="2" t="s">
        <v>2139</v>
      </c>
      <c r="G285" s="2" t="s">
        <v>2139</v>
      </c>
      <c r="H285" s="2" t="s">
        <v>2139</v>
      </c>
      <c r="I285" s="2" t="s">
        <v>1208</v>
      </c>
      <c r="J285" s="2" t="s">
        <v>434</v>
      </c>
      <c r="K285" s="2" t="s">
        <v>763</v>
      </c>
      <c r="L285" s="3">
        <v>261</v>
      </c>
      <c r="M285" s="3">
        <v>274.05</v>
      </c>
      <c r="N285" s="3">
        <v>549</v>
      </c>
      <c r="O285" s="2" t="s">
        <v>203</v>
      </c>
      <c r="P285" s="2" t="s">
        <v>204</v>
      </c>
      <c r="Q285" s="2" t="s">
        <v>205</v>
      </c>
      <c r="R285" s="2" t="s">
        <v>206</v>
      </c>
      <c r="S285" s="2" t="s">
        <v>2153</v>
      </c>
      <c r="T285" s="2" t="s">
        <v>206</v>
      </c>
      <c r="U285" s="2" t="s">
        <v>206</v>
      </c>
      <c r="V285" s="2" t="s">
        <v>209</v>
      </c>
      <c r="W285" s="2" t="s">
        <v>586</v>
      </c>
      <c r="X285" s="2" t="s">
        <v>206</v>
      </c>
      <c r="Y285" s="2" t="s">
        <v>493</v>
      </c>
      <c r="Z285" s="4">
        <v>78</v>
      </c>
      <c r="AA285" s="4">
        <f>=ROUNDDOWN(15.9183673469388,0)</f>
      </c>
      <c r="AB285" s="5">
        <v>4.9</v>
      </c>
      <c r="AC285" s="2" t="s">
        <v>2154</v>
      </c>
      <c r="AD285" s="4">
        <v>50</v>
      </c>
      <c r="AE285" s="4">
        <v>100</v>
      </c>
      <c r="AF285" s="6">
        <v>66</v>
      </c>
      <c r="AG285" s="6"/>
      <c r="AH285" s="7">
        <v>1</v>
      </c>
      <c r="AI285" s="4"/>
      <c r="AJ285" s="4">
        <f>=ROUNDDOWN({0},0)</f>
      </c>
      <c r="AK285" s="5"/>
      <c r="AL285" s="2" t="s">
        <v>206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206</v>
      </c>
      <c r="BD285" s="8" t="s">
        <v>206</v>
      </c>
      <c r="BE285" s="4" t="s">
        <v>206</v>
      </c>
      <c r="BF285" s="8" t="s">
        <v>206</v>
      </c>
      <c r="BG285" s="7" t="s">
        <v>206</v>
      </c>
      <c r="BH285" s="7" t="s">
        <v>206</v>
      </c>
      <c r="BI285" s="7"/>
      <c r="BJ285" s="4">
        <v>24</v>
      </c>
      <c r="BK285" s="8">
        <v>6157.07</v>
      </c>
      <c r="BL285" s="2" t="s">
        <v>2155</v>
      </c>
      <c r="BM285" s="7"/>
      <c r="BN285" s="7"/>
      <c r="BO285" s="4"/>
      <c r="BP285" s="8"/>
      <c r="BQ285" s="4"/>
      <c r="BR285" s="8"/>
      <c r="BS285" s="7"/>
      <c r="BT285" s="7"/>
      <c r="BU285" s="2" t="s">
        <v>2156</v>
      </c>
      <c r="BV285" s="2" t="s">
        <v>206</v>
      </c>
      <c r="BW285" s="2" t="s">
        <v>206</v>
      </c>
      <c r="BX285" s="2" t="s">
        <v>426</v>
      </c>
      <c r="BY285" s="2" t="s">
        <v>215</v>
      </c>
      <c r="BZ285" s="2" t="s">
        <v>203</v>
      </c>
      <c r="CA285" s="2" t="s">
        <v>2157</v>
      </c>
      <c r="CB285" s="2" t="s">
        <v>2158</v>
      </c>
      <c r="CC285" s="2" t="s">
        <v>218</v>
      </c>
      <c r="CD285" s="2" t="s">
        <v>206</v>
      </c>
      <c r="CE285" s="4"/>
      <c r="CF285" s="4">
        <v>78</v>
      </c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>
        <v>50</v>
      </c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4">
        <v>50</v>
      </c>
      <c r="GA285" s="4"/>
      <c r="GB285" s="4"/>
      <c r="GC285" s="4"/>
      <c r="GD285" s="4"/>
      <c r="GE285" s="4"/>
      <c r="GF285" s="4"/>
    </row>
    <row r="286">
      <c r="A286" s="2" t="s">
        <v>2159</v>
      </c>
      <c r="B286" s="2" t="s">
        <v>461</v>
      </c>
      <c r="C286" s="2" t="s">
        <v>287</v>
      </c>
      <c r="D286" s="2" t="s">
        <v>975</v>
      </c>
      <c r="E286" s="2" t="s">
        <v>976</v>
      </c>
      <c r="F286" s="2" t="s">
        <v>2160</v>
      </c>
      <c r="G286" s="2" t="s">
        <v>2161</v>
      </c>
      <c r="H286" s="2" t="s">
        <v>2162</v>
      </c>
      <c r="I286" s="2" t="s">
        <v>2163</v>
      </c>
      <c r="J286" s="2" t="s">
        <v>434</v>
      </c>
      <c r="K286" s="2" t="s">
        <v>2164</v>
      </c>
      <c r="L286" s="3">
        <v>207</v>
      </c>
      <c r="M286" s="3">
        <v>217.35</v>
      </c>
      <c r="N286" s="3">
        <v>439</v>
      </c>
      <c r="O286" s="2" t="s">
        <v>203</v>
      </c>
      <c r="P286" s="2" t="s">
        <v>467</v>
      </c>
      <c r="Q286" s="2" t="s">
        <v>205</v>
      </c>
      <c r="R286" s="2" t="s">
        <v>206</v>
      </c>
      <c r="S286" s="2" t="s">
        <v>2165</v>
      </c>
      <c r="T286" s="2" t="s">
        <v>206</v>
      </c>
      <c r="U286" s="2" t="s">
        <v>206</v>
      </c>
      <c r="V286" s="2" t="s">
        <v>209</v>
      </c>
      <c r="W286" s="2" t="s">
        <v>586</v>
      </c>
      <c r="X286" s="2" t="s">
        <v>206</v>
      </c>
      <c r="Y286" s="2" t="s">
        <v>211</v>
      </c>
      <c r="Z286" s="4">
        <v>191</v>
      </c>
      <c r="AA286" s="4">
        <f>=ROUNDDOWN(63.6666666666667,0)</f>
      </c>
      <c r="AB286" s="5">
        <v>3</v>
      </c>
      <c r="AC286" s="2" t="s">
        <v>206</v>
      </c>
      <c r="AD286" s="4"/>
      <c r="AE286" s="4"/>
      <c r="AF286" s="6">
        <v>66</v>
      </c>
      <c r="AG286" s="6"/>
      <c r="AH286" s="7">
        <v>1</v>
      </c>
      <c r="AI286" s="4"/>
      <c r="AJ286" s="4">
        <f>=ROUNDDOWN({0},0)</f>
      </c>
      <c r="AK286" s="5"/>
      <c r="AL286" s="2" t="s">
        <v>206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/>
      <c r="BD286" s="8"/>
      <c r="BE286" s="4"/>
      <c r="BF286" s="8"/>
      <c r="BG286" s="7"/>
      <c r="BH286" s="7"/>
      <c r="BI286" s="7"/>
      <c r="BJ286" s="4">
        <v>6</v>
      </c>
      <c r="BK286" s="8">
        <v>1147.31</v>
      </c>
      <c r="BL286" s="2" t="s">
        <v>2166</v>
      </c>
      <c r="BM286" s="7"/>
      <c r="BN286" s="7"/>
      <c r="BO286" s="4"/>
      <c r="BP286" s="8"/>
      <c r="BQ286" s="4"/>
      <c r="BR286" s="8"/>
      <c r="BS286" s="7"/>
      <c r="BT286" s="7"/>
      <c r="BU286" s="2" t="s">
        <v>2167</v>
      </c>
      <c r="BV286" s="2" t="s">
        <v>206</v>
      </c>
      <c r="BW286" s="2" t="s">
        <v>206</v>
      </c>
      <c r="BX286" s="2" t="s">
        <v>214</v>
      </c>
      <c r="BY286" s="2" t="s">
        <v>215</v>
      </c>
      <c r="BZ286" s="2" t="s">
        <v>203</v>
      </c>
      <c r="CA286" s="2" t="s">
        <v>2168</v>
      </c>
      <c r="CB286" s="2" t="s">
        <v>2169</v>
      </c>
      <c r="CC286" s="2" t="s">
        <v>218</v>
      </c>
      <c r="CD286" s="2" t="s">
        <v>206</v>
      </c>
      <c r="CE286" s="4"/>
      <c r="CF286" s="4">
        <v>191</v>
      </c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4"/>
      <c r="GA286" s="4"/>
      <c r="GB286" s="4"/>
      <c r="GC286" s="4"/>
      <c r="GD286" s="4"/>
      <c r="GE286" s="4"/>
      <c r="GF286" s="4"/>
    </row>
    <row r="287">
      <c r="A287" s="2" t="s">
        <v>2170</v>
      </c>
      <c r="B287" s="2" t="s">
        <v>429</v>
      </c>
      <c r="C287" s="2" t="s">
        <v>287</v>
      </c>
      <c r="D287" s="2" t="s">
        <v>895</v>
      </c>
      <c r="E287" s="2" t="s">
        <v>2171</v>
      </c>
      <c r="F287" s="2" t="s">
        <v>2172</v>
      </c>
      <c r="G287" s="2" t="s">
        <v>2172</v>
      </c>
      <c r="H287" s="2" t="s">
        <v>2172</v>
      </c>
      <c r="I287" s="2" t="s">
        <v>2173</v>
      </c>
      <c r="J287" s="2" t="s">
        <v>434</v>
      </c>
      <c r="K287" s="2" t="s">
        <v>2174</v>
      </c>
      <c r="L287" s="3">
        <v>28.22</v>
      </c>
      <c r="M287" s="3">
        <v>29.63</v>
      </c>
      <c r="N287" s="3">
        <v>59.49</v>
      </c>
      <c r="O287" s="2" t="s">
        <v>203</v>
      </c>
      <c r="P287" s="2" t="s">
        <v>204</v>
      </c>
      <c r="Q287" s="2" t="s">
        <v>205</v>
      </c>
      <c r="R287" s="2" t="s">
        <v>206</v>
      </c>
      <c r="S287" s="2" t="s">
        <v>2175</v>
      </c>
      <c r="T287" s="2" t="s">
        <v>206</v>
      </c>
      <c r="U287" s="2" t="s">
        <v>437</v>
      </c>
      <c r="V287" s="2" t="s">
        <v>2176</v>
      </c>
      <c r="W287" s="2" t="s">
        <v>877</v>
      </c>
      <c r="X287" s="2" t="s">
        <v>206</v>
      </c>
      <c r="Y287" s="2" t="s">
        <v>2177</v>
      </c>
      <c r="Z287" s="4">
        <v>127</v>
      </c>
      <c r="AA287" s="4">
        <f>=ROUNDDOWN(12.7,0)</f>
      </c>
      <c r="AB287" s="5">
        <v>10</v>
      </c>
      <c r="AC287" s="2" t="s">
        <v>114</v>
      </c>
      <c r="AD287" s="4">
        <v>50</v>
      </c>
      <c r="AE287" s="4">
        <v>150</v>
      </c>
      <c r="AF287" s="6">
        <v>65</v>
      </c>
      <c r="AG287" s="6">
        <v>48</v>
      </c>
      <c r="AH287" s="7">
        <v>1</v>
      </c>
      <c r="AI287" s="4"/>
      <c r="AJ287" s="4">
        <f>=ROUNDDOWN({0},0)</f>
      </c>
      <c r="AK287" s="5"/>
      <c r="AL287" s="2" t="s">
        <v>206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/>
      <c r="BD287" s="8"/>
      <c r="BE287" s="4"/>
      <c r="BF287" s="8"/>
      <c r="BG287" s="7"/>
      <c r="BH287" s="7"/>
      <c r="BI287" s="7"/>
      <c r="BJ287" s="4">
        <v>47</v>
      </c>
      <c r="BK287" s="8">
        <v>1619.47</v>
      </c>
      <c r="BL287" s="2" t="s">
        <v>2178</v>
      </c>
      <c r="BM287" s="7"/>
      <c r="BN287" s="7"/>
      <c r="BO287" s="4"/>
      <c r="BP287" s="8"/>
      <c r="BQ287" s="4"/>
      <c r="BR287" s="8"/>
      <c r="BS287" s="7"/>
      <c r="BT287" s="7"/>
      <c r="BU287" s="2" t="s">
        <v>2179</v>
      </c>
      <c r="BV287" s="2" t="s">
        <v>206</v>
      </c>
      <c r="BW287" s="2" t="s">
        <v>206</v>
      </c>
      <c r="BX287" s="2" t="s">
        <v>214</v>
      </c>
      <c r="BY287" s="2" t="s">
        <v>215</v>
      </c>
      <c r="BZ287" s="2" t="s">
        <v>203</v>
      </c>
      <c r="CA287" s="2" t="s">
        <v>702</v>
      </c>
      <c r="CB287" s="2" t="s">
        <v>2180</v>
      </c>
      <c r="CC287" s="2" t="s">
        <v>218</v>
      </c>
      <c r="CD287" s="2" t="s">
        <v>206</v>
      </c>
      <c r="CE287" s="4"/>
      <c r="CF287" s="4">
        <v>77</v>
      </c>
      <c r="CG287" s="4"/>
      <c r="CH287" s="4"/>
      <c r="CI287" s="4"/>
      <c r="CJ287" s="4"/>
      <c r="CK287" s="4"/>
      <c r="CL287" s="4"/>
      <c r="CM287" s="4"/>
      <c r="CN287" s="4"/>
      <c r="CO287" s="4">
        <v>50</v>
      </c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>
        <v>50</v>
      </c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>
        <v>100</v>
      </c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4"/>
      <c r="GA287" s="4"/>
      <c r="GB287" s="4"/>
      <c r="GC287" s="4"/>
      <c r="GD287" s="4"/>
      <c r="GE287" s="4"/>
      <c r="GF287" s="4"/>
    </row>
    <row r="288">
      <c r="A288" s="2" t="s">
        <v>2181</v>
      </c>
      <c r="B288" s="2" t="s">
        <v>461</v>
      </c>
      <c r="C288" s="2" t="s">
        <v>447</v>
      </c>
      <c r="D288" s="2" t="s">
        <v>975</v>
      </c>
      <c r="E288" s="2" t="s">
        <v>976</v>
      </c>
      <c r="F288" s="2" t="s">
        <v>2182</v>
      </c>
      <c r="G288" s="2" t="s">
        <v>2182</v>
      </c>
      <c r="H288" s="2" t="s">
        <v>2182</v>
      </c>
      <c r="I288" s="2" t="s">
        <v>1208</v>
      </c>
      <c r="J288" s="2" t="s">
        <v>434</v>
      </c>
      <c r="K288" s="2" t="s">
        <v>1049</v>
      </c>
      <c r="L288" s="3">
        <v>286.69</v>
      </c>
      <c r="M288" s="3">
        <v>301.02</v>
      </c>
      <c r="N288" s="3">
        <v>599</v>
      </c>
      <c r="O288" s="2" t="s">
        <v>203</v>
      </c>
      <c r="P288" s="2" t="s">
        <v>492</v>
      </c>
      <c r="Q288" s="2" t="s">
        <v>205</v>
      </c>
      <c r="R288" s="2" t="s">
        <v>206</v>
      </c>
      <c r="S288" s="2" t="s">
        <v>206</v>
      </c>
      <c r="T288" s="2" t="s">
        <v>206</v>
      </c>
      <c r="U288" s="2" t="s">
        <v>437</v>
      </c>
      <c r="V288" s="2" t="s">
        <v>809</v>
      </c>
      <c r="W288" s="2" t="s">
        <v>539</v>
      </c>
      <c r="X288" s="2" t="s">
        <v>454</v>
      </c>
      <c r="Y288" s="2" t="s">
        <v>2183</v>
      </c>
      <c r="Z288" s="4">
        <v>170</v>
      </c>
      <c r="AA288" s="4">
        <f>=ROUNDDOWN(14.1666666666667,0)</f>
      </c>
      <c r="AB288" s="5">
        <v>12</v>
      </c>
      <c r="AC288" s="2" t="s">
        <v>441</v>
      </c>
      <c r="AD288" s="4">
        <v>182</v>
      </c>
      <c r="AE288" s="4">
        <v>276</v>
      </c>
      <c r="AF288" s="6">
        <v>66</v>
      </c>
      <c r="AG288" s="6">
        <v>49</v>
      </c>
      <c r="AH288" s="7">
        <v>0.5484</v>
      </c>
      <c r="AI288" s="4"/>
      <c r="AJ288" s="4">
        <f>=ROUNDDOWN({0},0)</f>
      </c>
      <c r="AK288" s="5"/>
      <c r="AL288" s="2" t="s">
        <v>206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/>
      <c r="BD288" s="8"/>
      <c r="BE288" s="4"/>
      <c r="BF288" s="8"/>
      <c r="BG288" s="7"/>
      <c r="BH288" s="7"/>
      <c r="BI288" s="7"/>
      <c r="BJ288" s="4">
        <v>28</v>
      </c>
      <c r="BK288" s="8">
        <v>8347.38</v>
      </c>
      <c r="BL288" s="2" t="s">
        <v>2184</v>
      </c>
      <c r="BM288" s="7"/>
      <c r="BN288" s="7"/>
      <c r="BO288" s="4"/>
      <c r="BP288" s="8"/>
      <c r="BQ288" s="4"/>
      <c r="BR288" s="8"/>
      <c r="BS288" s="7"/>
      <c r="BT288" s="7"/>
      <c r="BU288" s="2" t="s">
        <v>2185</v>
      </c>
      <c r="BV288" s="2" t="s">
        <v>206</v>
      </c>
      <c r="BW288" s="2" t="s">
        <v>206</v>
      </c>
      <c r="BX288" s="2" t="s">
        <v>426</v>
      </c>
      <c r="BY288" s="2" t="s">
        <v>215</v>
      </c>
      <c r="BZ288" s="2" t="s">
        <v>203</v>
      </c>
      <c r="CA288" s="2" t="s">
        <v>2186</v>
      </c>
      <c r="CB288" s="2" t="s">
        <v>2187</v>
      </c>
      <c r="CC288" s="2" t="s">
        <v>218</v>
      </c>
      <c r="CD288" s="2" t="s">
        <v>206</v>
      </c>
      <c r="CE288" s="4"/>
      <c r="CF288" s="4">
        <v>170</v>
      </c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>
        <v>182</v>
      </c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>
        <v>94</v>
      </c>
      <c r="FZ288" s="4"/>
      <c r="GA288" s="4"/>
      <c r="GB288" s="4"/>
      <c r="GC288" s="4"/>
      <c r="GD288" s="4"/>
      <c r="GE288" s="4"/>
      <c r="GF288" s="4"/>
    </row>
    <row r="289">
      <c r="A289" s="2" t="s">
        <v>2188</v>
      </c>
      <c r="B289" s="2" t="s">
        <v>429</v>
      </c>
      <c r="C289" s="2" t="s">
        <v>462</v>
      </c>
      <c r="D289" s="2" t="s">
        <v>909</v>
      </c>
      <c r="E289" s="2" t="s">
        <v>910</v>
      </c>
      <c r="F289" s="2" t="s">
        <v>2189</v>
      </c>
      <c r="G289" s="2" t="s">
        <v>2189</v>
      </c>
      <c r="H289" s="2" t="s">
        <v>2189</v>
      </c>
      <c r="I289" s="2" t="s">
        <v>2190</v>
      </c>
      <c r="J289" s="2" t="s">
        <v>434</v>
      </c>
      <c r="K289" s="2" t="s">
        <v>353</v>
      </c>
      <c r="L289" s="3">
        <v>72.85</v>
      </c>
      <c r="M289" s="3">
        <v>76.49</v>
      </c>
      <c r="N289" s="3">
        <v>152.99</v>
      </c>
      <c r="O289" s="2" t="s">
        <v>203</v>
      </c>
      <c r="P289" s="2" t="s">
        <v>204</v>
      </c>
      <c r="Q289" s="2" t="s">
        <v>205</v>
      </c>
      <c r="R289" s="2" t="s">
        <v>206</v>
      </c>
      <c r="S289" s="2" t="s">
        <v>2191</v>
      </c>
      <c r="T289" s="2" t="s">
        <v>206</v>
      </c>
      <c r="U289" s="2" t="s">
        <v>900</v>
      </c>
      <c r="V289" s="2" t="s">
        <v>438</v>
      </c>
      <c r="W289" s="2" t="s">
        <v>439</v>
      </c>
      <c r="X289" s="2" t="s">
        <v>1657</v>
      </c>
      <c r="Y289" s="2" t="s">
        <v>2192</v>
      </c>
      <c r="Z289" s="4">
        <v>64</v>
      </c>
      <c r="AA289" s="4">
        <f>=ROUNDDOWN(32,0)</f>
      </c>
      <c r="AB289" s="5">
        <v>2</v>
      </c>
      <c r="AC289" s="2" t="s">
        <v>206</v>
      </c>
      <c r="AD289" s="4"/>
      <c r="AE289" s="4"/>
      <c r="AF289" s="6">
        <v>63</v>
      </c>
      <c r="AG289" s="6"/>
      <c r="AH289" s="7">
        <v>1</v>
      </c>
      <c r="AI289" s="4"/>
      <c r="AJ289" s="4">
        <f>=ROUNDDOWN({0},0)</f>
      </c>
      <c r="AK289" s="5"/>
      <c r="AL289" s="2" t="s">
        <v>206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/>
      <c r="BD289" s="8"/>
      <c r="BE289" s="4"/>
      <c r="BF289" s="8"/>
      <c r="BG289" s="7"/>
      <c r="BH289" s="7"/>
      <c r="BI289" s="7"/>
      <c r="BJ289" s="4">
        <v>6</v>
      </c>
      <c r="BK289" s="8">
        <v>552.05</v>
      </c>
      <c r="BL289" s="2" t="s">
        <v>2193</v>
      </c>
      <c r="BM289" s="7"/>
      <c r="BN289" s="7"/>
      <c r="BO289" s="4"/>
      <c r="BP289" s="8"/>
      <c r="BQ289" s="4"/>
      <c r="BR289" s="8"/>
      <c r="BS289" s="7"/>
      <c r="BT289" s="7"/>
      <c r="BU289" s="2" t="s">
        <v>2194</v>
      </c>
      <c r="BV289" s="2" t="s">
        <v>206</v>
      </c>
      <c r="BW289" s="2" t="s">
        <v>206</v>
      </c>
      <c r="BX289" s="2" t="s">
        <v>214</v>
      </c>
      <c r="BY289" s="2" t="s">
        <v>215</v>
      </c>
      <c r="BZ289" s="2" t="s">
        <v>203</v>
      </c>
      <c r="CA289" s="2" t="s">
        <v>2195</v>
      </c>
      <c r="CB289" s="2" t="s">
        <v>2196</v>
      </c>
      <c r="CC289" s="2" t="s">
        <v>218</v>
      </c>
      <c r="CD289" s="2" t="s">
        <v>206</v>
      </c>
      <c r="CE289" s="4"/>
      <c r="CF289" s="4">
        <v>64</v>
      </c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4"/>
      <c r="GA289" s="4"/>
      <c r="GB289" s="4"/>
      <c r="GC289" s="4"/>
      <c r="GD289" s="4"/>
      <c r="GE289" s="4"/>
      <c r="GF289" s="4"/>
    </row>
    <row r="290">
      <c r="A290" s="2" t="s">
        <v>2197</v>
      </c>
      <c r="B290" s="2" t="s">
        <v>429</v>
      </c>
      <c r="C290" s="2" t="s">
        <v>287</v>
      </c>
      <c r="D290" s="2" t="s">
        <v>909</v>
      </c>
      <c r="E290" s="2" t="s">
        <v>910</v>
      </c>
      <c r="F290" s="2" t="s">
        <v>2198</v>
      </c>
      <c r="G290" s="2" t="s">
        <v>2198</v>
      </c>
      <c r="H290" s="2" t="s">
        <v>2198</v>
      </c>
      <c r="I290" s="2" t="s">
        <v>2199</v>
      </c>
      <c r="J290" s="2" t="s">
        <v>434</v>
      </c>
      <c r="K290" s="2" t="s">
        <v>315</v>
      </c>
      <c r="L290" s="3">
        <v>45.74</v>
      </c>
      <c r="M290" s="3">
        <v>48.03</v>
      </c>
      <c r="N290" s="3">
        <v>89.24</v>
      </c>
      <c r="O290" s="2" t="s">
        <v>203</v>
      </c>
      <c r="P290" s="2" t="s">
        <v>204</v>
      </c>
      <c r="Q290" s="2" t="s">
        <v>205</v>
      </c>
      <c r="R290" s="2" t="s">
        <v>206</v>
      </c>
      <c r="S290" s="2" t="s">
        <v>2200</v>
      </c>
      <c r="T290" s="2" t="s">
        <v>206</v>
      </c>
      <c r="U290" s="2" t="s">
        <v>556</v>
      </c>
      <c r="V290" s="2" t="s">
        <v>438</v>
      </c>
      <c r="W290" s="2" t="s">
        <v>539</v>
      </c>
      <c r="X290" s="2" t="s">
        <v>206</v>
      </c>
      <c r="Y290" s="2" t="s">
        <v>2201</v>
      </c>
      <c r="Z290" s="4">
        <v>105</v>
      </c>
      <c r="AA290" s="4">
        <f>=ROUNDDOWN(26.25,0)</f>
      </c>
      <c r="AB290" s="5">
        <v>4</v>
      </c>
      <c r="AC290" s="2" t="s">
        <v>206</v>
      </c>
      <c r="AD290" s="4"/>
      <c r="AE290" s="4"/>
      <c r="AF290" s="6">
        <v>63</v>
      </c>
      <c r="AG290" s="6">
        <v>46</v>
      </c>
      <c r="AH290" s="7">
        <v>1</v>
      </c>
      <c r="AI290" s="4"/>
      <c r="AJ290" s="4">
        <f>=ROUNDDOWN({0},0)</f>
      </c>
      <c r="AK290" s="5"/>
      <c r="AL290" s="2" t="s">
        <v>206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/>
      <c r="BD290" s="8"/>
      <c r="BE290" s="4"/>
      <c r="BF290" s="8"/>
      <c r="BG290" s="7"/>
      <c r="BH290" s="7"/>
      <c r="BI290" s="7"/>
      <c r="BJ290" s="4">
        <v>15</v>
      </c>
      <c r="BK290" s="8">
        <v>831.07</v>
      </c>
      <c r="BL290" s="2" t="s">
        <v>2202</v>
      </c>
      <c r="BM290" s="7"/>
      <c r="BN290" s="7"/>
      <c r="BO290" s="4"/>
      <c r="BP290" s="8"/>
      <c r="BQ290" s="4"/>
      <c r="BR290" s="8"/>
      <c r="BS290" s="7"/>
      <c r="BT290" s="7"/>
      <c r="BU290" s="2" t="s">
        <v>2203</v>
      </c>
      <c r="BV290" s="2" t="s">
        <v>206</v>
      </c>
      <c r="BW290" s="2" t="s">
        <v>206</v>
      </c>
      <c r="BX290" s="2" t="s">
        <v>426</v>
      </c>
      <c r="BY290" s="2" t="s">
        <v>215</v>
      </c>
      <c r="BZ290" s="2" t="s">
        <v>203</v>
      </c>
      <c r="CA290" s="2" t="s">
        <v>1114</v>
      </c>
      <c r="CB290" s="2" t="s">
        <v>1984</v>
      </c>
      <c r="CC290" s="2" t="s">
        <v>218</v>
      </c>
      <c r="CD290" s="2" t="s">
        <v>206</v>
      </c>
      <c r="CE290" s="4"/>
      <c r="CF290" s="4">
        <v>5</v>
      </c>
      <c r="CG290" s="4"/>
      <c r="CH290" s="4"/>
      <c r="CI290" s="4"/>
      <c r="CJ290" s="4"/>
      <c r="CK290" s="4"/>
      <c r="CL290" s="4"/>
      <c r="CM290" s="4"/>
      <c r="CN290" s="4"/>
      <c r="CO290" s="4">
        <v>100</v>
      </c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4"/>
      <c r="GA290" s="4"/>
      <c r="GB290" s="4"/>
      <c r="GC290" s="4"/>
      <c r="GD290" s="4"/>
      <c r="GE290" s="4"/>
      <c r="GF290" s="4"/>
    </row>
    <row r="291">
      <c r="A291" s="2" t="s">
        <v>2204</v>
      </c>
      <c r="B291" s="2" t="s">
        <v>461</v>
      </c>
      <c r="C291" s="2" t="s">
        <v>287</v>
      </c>
      <c r="D291" s="2" t="s">
        <v>975</v>
      </c>
      <c r="E291" s="2" t="s">
        <v>976</v>
      </c>
      <c r="F291" s="2" t="s">
        <v>2205</v>
      </c>
      <c r="G291" s="2" t="s">
        <v>2206</v>
      </c>
      <c r="H291" s="2" t="s">
        <v>2207</v>
      </c>
      <c r="I291" s="2" t="s">
        <v>1208</v>
      </c>
      <c r="J291" s="2" t="s">
        <v>434</v>
      </c>
      <c r="K291" s="2" t="s">
        <v>483</v>
      </c>
      <c r="L291" s="3">
        <v>285.94</v>
      </c>
      <c r="M291" s="3">
        <v>300.24</v>
      </c>
      <c r="N291" s="3">
        <v>599</v>
      </c>
      <c r="O291" s="2" t="s">
        <v>203</v>
      </c>
      <c r="P291" s="2" t="s">
        <v>204</v>
      </c>
      <c r="Q291" s="2" t="s">
        <v>205</v>
      </c>
      <c r="R291" s="2" t="s">
        <v>206</v>
      </c>
      <c r="S291" s="2" t="s">
        <v>206</v>
      </c>
      <c r="T291" s="2" t="s">
        <v>206</v>
      </c>
      <c r="U291" s="2" t="s">
        <v>437</v>
      </c>
      <c r="V291" s="2" t="s">
        <v>209</v>
      </c>
      <c r="W291" s="2" t="s">
        <v>539</v>
      </c>
      <c r="X291" s="2" t="s">
        <v>439</v>
      </c>
      <c r="Y291" s="2" t="s">
        <v>2208</v>
      </c>
      <c r="Z291" s="4">
        <v>41</v>
      </c>
      <c r="AA291" s="4">
        <f>=ROUNDDOWN(10.25,0)</f>
      </c>
      <c r="AB291" s="5">
        <v>4</v>
      </c>
      <c r="AC291" s="2" t="s">
        <v>112</v>
      </c>
      <c r="AD291" s="4">
        <v>100</v>
      </c>
      <c r="AE291" s="4">
        <v>100</v>
      </c>
      <c r="AF291" s="6">
        <v>66</v>
      </c>
      <c r="AG291" s="6"/>
      <c r="AH291" s="7">
        <v>1</v>
      </c>
      <c r="AI291" s="4"/>
      <c r="AJ291" s="4">
        <f>=ROUNDDOWN({0},0)</f>
      </c>
      <c r="AK291" s="5"/>
      <c r="AL291" s="2" t="s">
        <v>206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/>
      <c r="BD291" s="8"/>
      <c r="BE291" s="4"/>
      <c r="BF291" s="8"/>
      <c r="BG291" s="7"/>
      <c r="BH291" s="7"/>
      <c r="BI291" s="7"/>
      <c r="BJ291" s="4">
        <v>12</v>
      </c>
      <c r="BK291" s="8">
        <v>3509.63</v>
      </c>
      <c r="BL291" s="2" t="s">
        <v>2209</v>
      </c>
      <c r="BM291" s="7"/>
      <c r="BN291" s="7"/>
      <c r="BO291" s="4"/>
      <c r="BP291" s="8"/>
      <c r="BQ291" s="4"/>
      <c r="BR291" s="8"/>
      <c r="BS291" s="7"/>
      <c r="BT291" s="7"/>
      <c r="BU291" s="2" t="s">
        <v>2210</v>
      </c>
      <c r="BV291" s="2" t="s">
        <v>206</v>
      </c>
      <c r="BW291" s="2" t="s">
        <v>206</v>
      </c>
      <c r="BX291" s="2" t="s">
        <v>426</v>
      </c>
      <c r="BY291" s="2" t="s">
        <v>215</v>
      </c>
      <c r="BZ291" s="2" t="s">
        <v>203</v>
      </c>
      <c r="CA291" s="2" t="s">
        <v>2211</v>
      </c>
      <c r="CB291" s="2" t="s">
        <v>2212</v>
      </c>
      <c r="CC291" s="2" t="s">
        <v>218</v>
      </c>
      <c r="CD291" s="2" t="s">
        <v>206</v>
      </c>
      <c r="CE291" s="4"/>
      <c r="CF291" s="4">
        <v>41</v>
      </c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>
        <v>100</v>
      </c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4"/>
      <c r="GA291" s="4"/>
      <c r="GB291" s="4"/>
      <c r="GC291" s="4"/>
      <c r="GD291" s="4"/>
      <c r="GE291" s="4"/>
      <c r="GF291" s="4"/>
    </row>
    <row r="292">
      <c r="A292" s="2" t="s">
        <v>2213</v>
      </c>
      <c r="B292" s="2" t="s">
        <v>546</v>
      </c>
      <c r="C292" s="2" t="s">
        <v>1145</v>
      </c>
      <c r="D292" s="2" t="s">
        <v>548</v>
      </c>
      <c r="E292" s="2" t="s">
        <v>549</v>
      </c>
      <c r="F292" s="2" t="s">
        <v>2214</v>
      </c>
      <c r="G292" s="2" t="s">
        <v>2215</v>
      </c>
      <c r="H292" s="2" t="s">
        <v>2216</v>
      </c>
      <c r="I292" s="2" t="s">
        <v>2217</v>
      </c>
      <c r="J292" s="2" t="s">
        <v>593</v>
      </c>
      <c r="K292" s="2" t="s">
        <v>2218</v>
      </c>
      <c r="L292" s="3">
        <v>29.9</v>
      </c>
      <c r="M292" s="3">
        <v>31.4</v>
      </c>
      <c r="N292" s="3">
        <v>64.99</v>
      </c>
      <c r="O292" s="2" t="s">
        <v>2219</v>
      </c>
      <c r="P292" s="2" t="s">
        <v>467</v>
      </c>
      <c r="Q292" s="2" t="s">
        <v>205</v>
      </c>
      <c r="R292" s="2" t="s">
        <v>206</v>
      </c>
      <c r="S292" s="2" t="s">
        <v>2220</v>
      </c>
      <c r="T292" s="2" t="s">
        <v>292</v>
      </c>
      <c r="U292" s="2" t="s">
        <v>1177</v>
      </c>
      <c r="V292" s="2" t="s">
        <v>538</v>
      </c>
      <c r="W292" s="2" t="s">
        <v>539</v>
      </c>
      <c r="X292" s="2" t="s">
        <v>587</v>
      </c>
      <c r="Y292" s="2" t="s">
        <v>2221</v>
      </c>
      <c r="Z292" s="4">
        <v>278</v>
      </c>
      <c r="AA292" s="4">
        <f>=ROUNDDOWN(154.444444444444,0)</f>
      </c>
      <c r="AB292" s="5">
        <v>1.8</v>
      </c>
      <c r="AC292" s="2" t="s">
        <v>206</v>
      </c>
      <c r="AD292" s="4"/>
      <c r="AE292" s="4"/>
      <c r="AF292" s="6">
        <v>64</v>
      </c>
      <c r="AG292" s="6"/>
      <c r="AH292" s="7">
        <v>1</v>
      </c>
      <c r="AI292" s="4"/>
      <c r="AJ292" s="4">
        <f>=ROUNDDOWN({0},0)</f>
      </c>
      <c r="AK292" s="5"/>
      <c r="AL292" s="2" t="s">
        <v>206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206</v>
      </c>
      <c r="AW292" s="8" t="s">
        <v>206</v>
      </c>
      <c r="AX292" s="4" t="s">
        <v>206</v>
      </c>
      <c r="AY292" s="8" t="s">
        <v>206</v>
      </c>
      <c r="AZ292" s="7" t="s">
        <v>206</v>
      </c>
      <c r="BA292" s="7" t="s">
        <v>206</v>
      </c>
      <c r="BB292" s="7"/>
      <c r="BC292" s="4" t="s">
        <v>206</v>
      </c>
      <c r="BD292" s="8" t="s">
        <v>206</v>
      </c>
      <c r="BE292" s="4" t="s">
        <v>206</v>
      </c>
      <c r="BF292" s="8" t="s">
        <v>206</v>
      </c>
      <c r="BG292" s="7" t="s">
        <v>206</v>
      </c>
      <c r="BH292" s="7" t="s">
        <v>206</v>
      </c>
      <c r="BI292" s="7"/>
      <c r="BJ292" s="4">
        <v>9</v>
      </c>
      <c r="BK292" s="8">
        <v>290.87</v>
      </c>
      <c r="BL292" s="2" t="s">
        <v>2222</v>
      </c>
      <c r="BM292" s="7"/>
      <c r="BN292" s="7"/>
      <c r="BO292" s="4"/>
      <c r="BP292" s="8"/>
      <c r="BQ292" s="4"/>
      <c r="BR292" s="8"/>
      <c r="BS292" s="7"/>
      <c r="BT292" s="7"/>
      <c r="BU292" s="2" t="s">
        <v>2223</v>
      </c>
      <c r="BV292" s="2" t="s">
        <v>206</v>
      </c>
      <c r="BW292" s="2" t="s">
        <v>206</v>
      </c>
      <c r="BX292" s="2" t="s">
        <v>214</v>
      </c>
      <c r="BY292" s="2" t="s">
        <v>215</v>
      </c>
      <c r="BZ292" s="2" t="s">
        <v>203</v>
      </c>
      <c r="CA292" s="2" t="s">
        <v>2224</v>
      </c>
      <c r="CB292" s="2" t="s">
        <v>2225</v>
      </c>
      <c r="CC292" s="2" t="s">
        <v>218</v>
      </c>
      <c r="CD292" s="2" t="s">
        <v>206</v>
      </c>
      <c r="CE292" s="4">
        <v>278</v>
      </c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</row>
    <row r="293">
      <c r="A293" s="2" t="s">
        <v>2226</v>
      </c>
      <c r="B293" s="2" t="s">
        <v>546</v>
      </c>
      <c r="C293" s="2" t="s">
        <v>1145</v>
      </c>
      <c r="D293" s="2" t="s">
        <v>529</v>
      </c>
      <c r="E293" s="2" t="s">
        <v>816</v>
      </c>
      <c r="F293" s="2" t="s">
        <v>2214</v>
      </c>
      <c r="G293" s="2" t="s">
        <v>2215</v>
      </c>
      <c r="H293" s="2" t="s">
        <v>2216</v>
      </c>
      <c r="I293" s="2" t="s">
        <v>2227</v>
      </c>
      <c r="J293" s="2" t="s">
        <v>582</v>
      </c>
      <c r="K293" s="2" t="s">
        <v>2218</v>
      </c>
      <c r="L293" s="3">
        <v>38.07</v>
      </c>
      <c r="M293" s="3">
        <v>39.97</v>
      </c>
      <c r="N293" s="3">
        <v>84.99</v>
      </c>
      <c r="O293" s="2" t="s">
        <v>203</v>
      </c>
      <c r="P293" s="2" t="s">
        <v>773</v>
      </c>
      <c r="Q293" s="2" t="s">
        <v>205</v>
      </c>
      <c r="R293" s="2" t="s">
        <v>206</v>
      </c>
      <c r="S293" s="2" t="s">
        <v>2228</v>
      </c>
      <c r="T293" s="2" t="s">
        <v>292</v>
      </c>
      <c r="U293" s="2" t="s">
        <v>1177</v>
      </c>
      <c r="V293" s="2" t="s">
        <v>538</v>
      </c>
      <c r="W293" s="2" t="s">
        <v>539</v>
      </c>
      <c r="X293" s="2" t="s">
        <v>587</v>
      </c>
      <c r="Y293" s="2" t="s">
        <v>2229</v>
      </c>
      <c r="Z293" s="4">
        <v>463</v>
      </c>
      <c r="AA293" s="4">
        <f>=ROUNDDOWN(50.8791208791209,0)</f>
      </c>
      <c r="AB293" s="5">
        <v>9.1</v>
      </c>
      <c r="AC293" s="2" t="s">
        <v>206</v>
      </c>
      <c r="AD293" s="4"/>
      <c r="AE293" s="4"/>
      <c r="AF293" s="6">
        <v>64</v>
      </c>
      <c r="AG293" s="6"/>
      <c r="AH293" s="7">
        <v>1</v>
      </c>
      <c r="AI293" s="4"/>
      <c r="AJ293" s="4">
        <f>=ROUNDDOWN({0},0)</f>
      </c>
      <c r="AK293" s="5"/>
      <c r="AL293" s="2" t="s">
        <v>206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206</v>
      </c>
      <c r="AW293" s="8" t="s">
        <v>206</v>
      </c>
      <c r="AX293" s="4" t="s">
        <v>206</v>
      </c>
      <c r="AY293" s="8" t="s">
        <v>206</v>
      </c>
      <c r="AZ293" s="7" t="s">
        <v>206</v>
      </c>
      <c r="BA293" s="7" t="s">
        <v>206</v>
      </c>
      <c r="BB293" s="7" t="s">
        <v>206</v>
      </c>
      <c r="BC293" s="4" t="s">
        <v>206</v>
      </c>
      <c r="BD293" s="8" t="s">
        <v>206</v>
      </c>
      <c r="BE293" s="4" t="s">
        <v>206</v>
      </c>
      <c r="BF293" s="8" t="s">
        <v>206</v>
      </c>
      <c r="BG293" s="7" t="s">
        <v>206</v>
      </c>
      <c r="BH293" s="7" t="s">
        <v>206</v>
      </c>
      <c r="BI293" s="7"/>
      <c r="BJ293" s="4">
        <v>49</v>
      </c>
      <c r="BK293" s="8">
        <v>2286.29</v>
      </c>
      <c r="BL293" s="2" t="s">
        <v>2230</v>
      </c>
      <c r="BM293" s="7"/>
      <c r="BN293" s="7"/>
      <c r="BO293" s="4"/>
      <c r="BP293" s="8"/>
      <c r="BQ293" s="4"/>
      <c r="BR293" s="8"/>
      <c r="BS293" s="7"/>
      <c r="BT293" s="7"/>
      <c r="BU293" s="2" t="s">
        <v>2231</v>
      </c>
      <c r="BV293" s="2" t="s">
        <v>206</v>
      </c>
      <c r="BW293" s="2" t="s">
        <v>206</v>
      </c>
      <c r="BX293" s="2" t="s">
        <v>214</v>
      </c>
      <c r="BY293" s="2" t="s">
        <v>215</v>
      </c>
      <c r="BZ293" s="2" t="s">
        <v>203</v>
      </c>
      <c r="CA293" s="2" t="s">
        <v>2229</v>
      </c>
      <c r="CB293" s="2" t="s">
        <v>2232</v>
      </c>
      <c r="CC293" s="2" t="s">
        <v>218</v>
      </c>
      <c r="CD293" s="2" t="s">
        <v>206</v>
      </c>
      <c r="CE293" s="4">
        <v>463</v>
      </c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4"/>
      <c r="GA293" s="4"/>
      <c r="GB293" s="4"/>
      <c r="GC293" s="4"/>
      <c r="GD293" s="4"/>
      <c r="GE293" s="4"/>
      <c r="GF293" s="4"/>
    </row>
    <row r="294">
      <c r="A294" s="2" t="s">
        <v>2233</v>
      </c>
      <c r="B294" s="2" t="s">
        <v>546</v>
      </c>
      <c r="C294" s="2" t="s">
        <v>1145</v>
      </c>
      <c r="D294" s="2" t="s">
        <v>548</v>
      </c>
      <c r="E294" s="2" t="s">
        <v>549</v>
      </c>
      <c r="F294" s="2" t="s">
        <v>2214</v>
      </c>
      <c r="G294" s="2" t="s">
        <v>2215</v>
      </c>
      <c r="H294" s="2" t="s">
        <v>2216</v>
      </c>
      <c r="I294" s="2" t="s">
        <v>2217</v>
      </c>
      <c r="J294" s="2" t="s">
        <v>582</v>
      </c>
      <c r="K294" s="2" t="s">
        <v>2218</v>
      </c>
      <c r="L294" s="3">
        <v>34.5</v>
      </c>
      <c r="M294" s="3">
        <v>36.22</v>
      </c>
      <c r="N294" s="3">
        <v>74.99</v>
      </c>
      <c r="O294" s="2" t="s">
        <v>2219</v>
      </c>
      <c r="P294" s="2" t="s">
        <v>467</v>
      </c>
      <c r="Q294" s="2" t="s">
        <v>205</v>
      </c>
      <c r="R294" s="2" t="s">
        <v>206</v>
      </c>
      <c r="S294" s="2" t="s">
        <v>2220</v>
      </c>
      <c r="T294" s="2" t="s">
        <v>292</v>
      </c>
      <c r="U294" s="2" t="s">
        <v>1177</v>
      </c>
      <c r="V294" s="2" t="s">
        <v>538</v>
      </c>
      <c r="W294" s="2" t="s">
        <v>539</v>
      </c>
      <c r="X294" s="2" t="s">
        <v>587</v>
      </c>
      <c r="Y294" s="2" t="s">
        <v>2234</v>
      </c>
      <c r="Z294" s="4">
        <v>125</v>
      </c>
      <c r="AA294" s="4">
        <f>=ROUNDDOWN(104.166666666667,0)</f>
      </c>
      <c r="AB294" s="5">
        <v>1.2</v>
      </c>
      <c r="AC294" s="2" t="s">
        <v>206</v>
      </c>
      <c r="AD294" s="4"/>
      <c r="AE294" s="4"/>
      <c r="AF294" s="6">
        <v>64</v>
      </c>
      <c r="AG294" s="6"/>
      <c r="AH294" s="7">
        <v>1</v>
      </c>
      <c r="AI294" s="4"/>
      <c r="AJ294" s="4">
        <f>=ROUNDDOWN({0},0)</f>
      </c>
      <c r="AK294" s="5"/>
      <c r="AL294" s="2" t="s">
        <v>206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206</v>
      </c>
      <c r="AW294" s="8" t="s">
        <v>206</v>
      </c>
      <c r="AX294" s="4" t="s">
        <v>206</v>
      </c>
      <c r="AY294" s="8" t="s">
        <v>206</v>
      </c>
      <c r="AZ294" s="7" t="s">
        <v>206</v>
      </c>
      <c r="BA294" s="7" t="s">
        <v>206</v>
      </c>
      <c r="BB294" s="7" t="s">
        <v>206</v>
      </c>
      <c r="BC294" s="4" t="s">
        <v>206</v>
      </c>
      <c r="BD294" s="8" t="s">
        <v>206</v>
      </c>
      <c r="BE294" s="4" t="s">
        <v>206</v>
      </c>
      <c r="BF294" s="8" t="s">
        <v>206</v>
      </c>
      <c r="BG294" s="7" t="s">
        <v>206</v>
      </c>
      <c r="BH294" s="7" t="s">
        <v>206</v>
      </c>
      <c r="BI294" s="7"/>
      <c r="BJ294" s="4">
        <v>6</v>
      </c>
      <c r="BK294" s="8">
        <v>228.94</v>
      </c>
      <c r="BL294" s="2" t="s">
        <v>2235</v>
      </c>
      <c r="BM294" s="7"/>
      <c r="BN294" s="7"/>
      <c r="BO294" s="4"/>
      <c r="BP294" s="8"/>
      <c r="BQ294" s="4"/>
      <c r="BR294" s="8"/>
      <c r="BS294" s="7"/>
      <c r="BT294" s="7"/>
      <c r="BU294" s="2" t="s">
        <v>2236</v>
      </c>
      <c r="BV294" s="2" t="s">
        <v>206</v>
      </c>
      <c r="BW294" s="2" t="s">
        <v>206</v>
      </c>
      <c r="BX294" s="2" t="s">
        <v>214</v>
      </c>
      <c r="BY294" s="2" t="s">
        <v>215</v>
      </c>
      <c r="BZ294" s="2" t="s">
        <v>203</v>
      </c>
      <c r="CA294" s="2" t="s">
        <v>2237</v>
      </c>
      <c r="CB294" s="2" t="s">
        <v>2238</v>
      </c>
      <c r="CC294" s="2" t="s">
        <v>218</v>
      </c>
      <c r="CD294" s="2" t="s">
        <v>206</v>
      </c>
      <c r="CE294" s="4">
        <v>125</v>
      </c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</row>
    <row r="295">
      <c r="A295" s="2" t="s">
        <v>2239</v>
      </c>
      <c r="B295" s="2" t="s">
        <v>800</v>
      </c>
      <c r="C295" s="2" t="s">
        <v>2240</v>
      </c>
      <c r="D295" s="2" t="s">
        <v>1267</v>
      </c>
      <c r="E295" s="2" t="s">
        <v>1268</v>
      </c>
      <c r="F295" s="2" t="s">
        <v>2241</v>
      </c>
      <c r="G295" s="2" t="s">
        <v>2241</v>
      </c>
      <c r="H295" s="2" t="s">
        <v>2241</v>
      </c>
      <c r="I295" s="2" t="s">
        <v>1268</v>
      </c>
      <c r="J295" s="2" t="s">
        <v>201</v>
      </c>
      <c r="K295" s="2" t="s">
        <v>336</v>
      </c>
      <c r="L295" s="3">
        <v>16.56</v>
      </c>
      <c r="M295" s="3">
        <v>17.39</v>
      </c>
      <c r="N295" s="3">
        <v>36.99</v>
      </c>
      <c r="O295" s="2" t="s">
        <v>203</v>
      </c>
      <c r="P295" s="2" t="s">
        <v>204</v>
      </c>
      <c r="Q295" s="2" t="s">
        <v>205</v>
      </c>
      <c r="R295" s="2" t="s">
        <v>206</v>
      </c>
      <c r="S295" s="2" t="s">
        <v>2242</v>
      </c>
      <c r="T295" s="2" t="s">
        <v>2243</v>
      </c>
      <c r="U295" s="2" t="s">
        <v>437</v>
      </c>
      <c r="V295" s="2" t="s">
        <v>209</v>
      </c>
      <c r="W295" s="2" t="s">
        <v>210</v>
      </c>
      <c r="X295" s="2" t="s">
        <v>206</v>
      </c>
      <c r="Y295" s="2" t="s">
        <v>489</v>
      </c>
      <c r="Z295" s="4">
        <v>297</v>
      </c>
      <c r="AA295" s="4">
        <f>=ROUNDDOWN(42.4285714285714,0)</f>
      </c>
      <c r="AB295" s="5">
        <v>7</v>
      </c>
      <c r="AC295" s="2" t="s">
        <v>206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206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 t="s">
        <v>206</v>
      </c>
      <c r="AW295" s="8" t="s">
        <v>206</v>
      </c>
      <c r="AX295" s="4" t="s">
        <v>206</v>
      </c>
      <c r="AY295" s="8" t="s">
        <v>206</v>
      </c>
      <c r="AZ295" s="7" t="s">
        <v>206</v>
      </c>
      <c r="BA295" s="7" t="s">
        <v>206</v>
      </c>
      <c r="BB295" s="7"/>
      <c r="BC295" s="4" t="s">
        <v>206</v>
      </c>
      <c r="BD295" s="8" t="s">
        <v>206</v>
      </c>
      <c r="BE295" s="4" t="s">
        <v>206</v>
      </c>
      <c r="BF295" s="8" t="s">
        <v>206</v>
      </c>
      <c r="BG295" s="7" t="s">
        <v>206</v>
      </c>
      <c r="BH295" s="7" t="s">
        <v>206</v>
      </c>
      <c r="BI295" s="7"/>
      <c r="BJ295" s="4">
        <v>8</v>
      </c>
      <c r="BK295" s="8">
        <v>148.85</v>
      </c>
      <c r="BL295" s="2" t="s">
        <v>1252</v>
      </c>
      <c r="BM295" s="7"/>
      <c r="BN295" s="7"/>
      <c r="BO295" s="4"/>
      <c r="BP295" s="8"/>
      <c r="BQ295" s="4"/>
      <c r="BR295" s="8"/>
      <c r="BS295" s="7"/>
      <c r="BT295" s="7"/>
      <c r="BU295" s="2" t="s">
        <v>2244</v>
      </c>
      <c r="BV295" s="2" t="s">
        <v>206</v>
      </c>
      <c r="BW295" s="2" t="s">
        <v>206</v>
      </c>
      <c r="BX295" s="2" t="s">
        <v>214</v>
      </c>
      <c r="BY295" s="2" t="s">
        <v>215</v>
      </c>
      <c r="BZ295" s="2" t="s">
        <v>203</v>
      </c>
      <c r="CA295" s="2" t="s">
        <v>1156</v>
      </c>
      <c r="CB295" s="2" t="s">
        <v>206</v>
      </c>
      <c r="CC295" s="2" t="s">
        <v>218</v>
      </c>
      <c r="CD295" s="2" t="s">
        <v>206</v>
      </c>
      <c r="CE295" s="4">
        <v>297</v>
      </c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4"/>
      <c r="GA295" s="4"/>
      <c r="GB295" s="4"/>
      <c r="GC295" s="4"/>
      <c r="GD295" s="4"/>
      <c r="GE295" s="4"/>
      <c r="GF295" s="4"/>
    </row>
    <row r="296">
      <c r="A296" s="2" t="s">
        <v>2245</v>
      </c>
      <c r="B296" s="2" t="s">
        <v>800</v>
      </c>
      <c r="C296" s="2" t="s">
        <v>2240</v>
      </c>
      <c r="D296" s="2" t="s">
        <v>1267</v>
      </c>
      <c r="E296" s="2" t="s">
        <v>1268</v>
      </c>
      <c r="F296" s="2" t="s">
        <v>2241</v>
      </c>
      <c r="G296" s="2" t="s">
        <v>2241</v>
      </c>
      <c r="H296" s="2" t="s">
        <v>2241</v>
      </c>
      <c r="I296" s="2" t="s">
        <v>1268</v>
      </c>
      <c r="J296" s="2" t="s">
        <v>231</v>
      </c>
      <c r="K296" s="2" t="s">
        <v>336</v>
      </c>
      <c r="L296" s="3">
        <v>22.38</v>
      </c>
      <c r="M296" s="3">
        <v>23.5</v>
      </c>
      <c r="N296" s="3">
        <v>46.99</v>
      </c>
      <c r="O296" s="2" t="s">
        <v>203</v>
      </c>
      <c r="P296" s="2" t="s">
        <v>204</v>
      </c>
      <c r="Q296" s="2" t="s">
        <v>205</v>
      </c>
      <c r="R296" s="2" t="s">
        <v>206</v>
      </c>
      <c r="S296" s="2" t="s">
        <v>2242</v>
      </c>
      <c r="T296" s="2" t="s">
        <v>2243</v>
      </c>
      <c r="U296" s="2" t="s">
        <v>437</v>
      </c>
      <c r="V296" s="2" t="s">
        <v>209</v>
      </c>
      <c r="W296" s="2" t="s">
        <v>210</v>
      </c>
      <c r="X296" s="2" t="s">
        <v>206</v>
      </c>
      <c r="Y296" s="2" t="s">
        <v>489</v>
      </c>
      <c r="Z296" s="4">
        <v>267</v>
      </c>
      <c r="AA296" s="4">
        <f>=ROUNDDOWN(24.2727272727273,0)</f>
      </c>
      <c r="AB296" s="5">
        <v>11</v>
      </c>
      <c r="AC296" s="2" t="s">
        <v>514</v>
      </c>
      <c r="AD296" s="4">
        <v>980</v>
      </c>
      <c r="AE296" s="4">
        <v>980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206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206</v>
      </c>
      <c r="AW296" s="8" t="s">
        <v>206</v>
      </c>
      <c r="AX296" s="4" t="s">
        <v>206</v>
      </c>
      <c r="AY296" s="8" t="s">
        <v>206</v>
      </c>
      <c r="AZ296" s="7" t="s">
        <v>206</v>
      </c>
      <c r="BA296" s="7" t="s">
        <v>206</v>
      </c>
      <c r="BB296" s="7"/>
      <c r="BC296" s="4" t="s">
        <v>206</v>
      </c>
      <c r="BD296" s="8" t="s">
        <v>206</v>
      </c>
      <c r="BE296" s="4" t="s">
        <v>206</v>
      </c>
      <c r="BF296" s="8" t="s">
        <v>206</v>
      </c>
      <c r="BG296" s="7" t="s">
        <v>206</v>
      </c>
      <c r="BH296" s="7" t="s">
        <v>206</v>
      </c>
      <c r="BI296" s="7"/>
      <c r="BJ296" s="4">
        <v>66</v>
      </c>
      <c r="BK296" s="8">
        <v>1673.33</v>
      </c>
      <c r="BL296" s="2" t="s">
        <v>1546</v>
      </c>
      <c r="BM296" s="7"/>
      <c r="BN296" s="7"/>
      <c r="BO296" s="4"/>
      <c r="BP296" s="8"/>
      <c r="BQ296" s="4"/>
      <c r="BR296" s="8"/>
      <c r="BS296" s="7"/>
      <c r="BT296" s="7"/>
      <c r="BU296" s="2" t="s">
        <v>2246</v>
      </c>
      <c r="BV296" s="2" t="s">
        <v>206</v>
      </c>
      <c r="BW296" s="2" t="s">
        <v>206</v>
      </c>
      <c r="BX296" s="2" t="s">
        <v>214</v>
      </c>
      <c r="BY296" s="2" t="s">
        <v>215</v>
      </c>
      <c r="BZ296" s="2" t="s">
        <v>203</v>
      </c>
      <c r="CA296" s="2" t="s">
        <v>1156</v>
      </c>
      <c r="CB296" s="2" t="s">
        <v>2247</v>
      </c>
      <c r="CC296" s="2" t="s">
        <v>218</v>
      </c>
      <c r="CD296" s="2" t="s">
        <v>206</v>
      </c>
      <c r="CE296" s="4">
        <v>267</v>
      </c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>
        <v>980</v>
      </c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4"/>
      <c r="GA296" s="4"/>
      <c r="GB296" s="4"/>
      <c r="GC296" s="4"/>
      <c r="GD296" s="4"/>
      <c r="GE296" s="4"/>
      <c r="GF296" s="4"/>
    </row>
    <row r="297">
      <c r="A297" s="2" t="s">
        <v>2248</v>
      </c>
      <c r="B297" s="2" t="s">
        <v>800</v>
      </c>
      <c r="C297" s="2" t="s">
        <v>2240</v>
      </c>
      <c r="D297" s="2" t="s">
        <v>1267</v>
      </c>
      <c r="E297" s="2" t="s">
        <v>1268</v>
      </c>
      <c r="F297" s="2" t="s">
        <v>2241</v>
      </c>
      <c r="G297" s="2" t="s">
        <v>2241</v>
      </c>
      <c r="H297" s="2" t="s">
        <v>2241</v>
      </c>
      <c r="I297" s="2" t="s">
        <v>1268</v>
      </c>
      <c r="J297" s="2" t="s">
        <v>201</v>
      </c>
      <c r="K297" s="2" t="s">
        <v>1060</v>
      </c>
      <c r="L297" s="3">
        <v>16.56</v>
      </c>
      <c r="M297" s="3">
        <v>17.39</v>
      </c>
      <c r="N297" s="3">
        <v>36.99</v>
      </c>
      <c r="O297" s="2" t="s">
        <v>203</v>
      </c>
      <c r="P297" s="2" t="s">
        <v>204</v>
      </c>
      <c r="Q297" s="2" t="s">
        <v>205</v>
      </c>
      <c r="R297" s="2" t="s">
        <v>206</v>
      </c>
      <c r="S297" s="2" t="s">
        <v>2249</v>
      </c>
      <c r="T297" s="2" t="s">
        <v>2243</v>
      </c>
      <c r="U297" s="2" t="s">
        <v>437</v>
      </c>
      <c r="V297" s="2" t="s">
        <v>209</v>
      </c>
      <c r="W297" s="2" t="s">
        <v>210</v>
      </c>
      <c r="X297" s="2" t="s">
        <v>206</v>
      </c>
      <c r="Y297" s="2" t="s">
        <v>1427</v>
      </c>
      <c r="Z297" s="4">
        <v>261</v>
      </c>
      <c r="AA297" s="4">
        <f>=ROUNDDOWN(37.2857142857143,0)</f>
      </c>
      <c r="AB297" s="5">
        <v>7</v>
      </c>
      <c r="AC297" s="2" t="s">
        <v>2250</v>
      </c>
      <c r="AD297" s="4">
        <v>80</v>
      </c>
      <c r="AE297" s="4">
        <v>80</v>
      </c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206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206</v>
      </c>
      <c r="BD297" s="8" t="s">
        <v>206</v>
      </c>
      <c r="BE297" s="4" t="s">
        <v>206</v>
      </c>
      <c r="BF297" s="8" t="s">
        <v>206</v>
      </c>
      <c r="BG297" s="7" t="s">
        <v>206</v>
      </c>
      <c r="BH297" s="7" t="s">
        <v>206</v>
      </c>
      <c r="BI297" s="7"/>
      <c r="BJ297" s="4">
        <v>25</v>
      </c>
      <c r="BK297" s="8">
        <v>468.11</v>
      </c>
      <c r="BL297" s="2" t="s">
        <v>2251</v>
      </c>
      <c r="BM297" s="7"/>
      <c r="BN297" s="7"/>
      <c r="BO297" s="4"/>
      <c r="BP297" s="8"/>
      <c r="BQ297" s="4"/>
      <c r="BR297" s="8"/>
      <c r="BS297" s="7"/>
      <c r="BT297" s="7"/>
      <c r="BU297" s="2" t="s">
        <v>2252</v>
      </c>
      <c r="BV297" s="2" t="s">
        <v>206</v>
      </c>
      <c r="BW297" s="2" t="s">
        <v>206</v>
      </c>
      <c r="BX297" s="2" t="s">
        <v>214</v>
      </c>
      <c r="BY297" s="2" t="s">
        <v>215</v>
      </c>
      <c r="BZ297" s="2" t="s">
        <v>203</v>
      </c>
      <c r="CA297" s="2" t="s">
        <v>1156</v>
      </c>
      <c r="CB297" s="2" t="s">
        <v>2253</v>
      </c>
      <c r="CC297" s="2" t="s">
        <v>218</v>
      </c>
      <c r="CD297" s="2" t="s">
        <v>206</v>
      </c>
      <c r="CE297" s="4">
        <v>261</v>
      </c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>
        <v>80</v>
      </c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4"/>
      <c r="GA297" s="4"/>
      <c r="GB297" s="4"/>
      <c r="GC297" s="4"/>
      <c r="GD297" s="4"/>
      <c r="GE297" s="4"/>
      <c r="GF297" s="4"/>
    </row>
    <row r="298">
      <c r="A298" s="2" t="s">
        <v>2254</v>
      </c>
      <c r="B298" s="2" t="s">
        <v>800</v>
      </c>
      <c r="C298" s="2" t="s">
        <v>2240</v>
      </c>
      <c r="D298" s="2" t="s">
        <v>1267</v>
      </c>
      <c r="E298" s="2" t="s">
        <v>1268</v>
      </c>
      <c r="F298" s="2" t="s">
        <v>2241</v>
      </c>
      <c r="G298" s="2" t="s">
        <v>2241</v>
      </c>
      <c r="H298" s="2" t="s">
        <v>2241</v>
      </c>
      <c r="I298" s="2" t="s">
        <v>1268</v>
      </c>
      <c r="J298" s="2" t="s">
        <v>201</v>
      </c>
      <c r="K298" s="2" t="s">
        <v>202</v>
      </c>
      <c r="L298" s="3">
        <v>16.56</v>
      </c>
      <c r="M298" s="3">
        <v>17.39</v>
      </c>
      <c r="N298" s="3">
        <v>36.99</v>
      </c>
      <c r="O298" s="2" t="s">
        <v>203</v>
      </c>
      <c r="P298" s="2" t="s">
        <v>204</v>
      </c>
      <c r="Q298" s="2" t="s">
        <v>205</v>
      </c>
      <c r="R298" s="2" t="s">
        <v>206</v>
      </c>
      <c r="S298" s="2" t="s">
        <v>2255</v>
      </c>
      <c r="T298" s="2" t="s">
        <v>2243</v>
      </c>
      <c r="U298" s="2" t="s">
        <v>437</v>
      </c>
      <c r="V298" s="2" t="s">
        <v>209</v>
      </c>
      <c r="W298" s="2" t="s">
        <v>210</v>
      </c>
      <c r="X298" s="2" t="s">
        <v>206</v>
      </c>
      <c r="Y298" s="2" t="s">
        <v>1427</v>
      </c>
      <c r="Z298" s="4">
        <v>221</v>
      </c>
      <c r="AA298" s="4">
        <f>=ROUNDDOWN(44.2,0)</f>
      </c>
      <c r="AB298" s="5">
        <v>5</v>
      </c>
      <c r="AC298" s="2" t="s">
        <v>121</v>
      </c>
      <c r="AD298" s="4">
        <v>80</v>
      </c>
      <c r="AE298" s="4">
        <v>80</v>
      </c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206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206</v>
      </c>
      <c r="BD298" s="8" t="s">
        <v>206</v>
      </c>
      <c r="BE298" s="4" t="s">
        <v>206</v>
      </c>
      <c r="BF298" s="8" t="s">
        <v>206</v>
      </c>
      <c r="BG298" s="7" t="s">
        <v>206</v>
      </c>
      <c r="BH298" s="7" t="s">
        <v>206</v>
      </c>
      <c r="BI298" s="7"/>
      <c r="BJ298" s="4">
        <v>17</v>
      </c>
      <c r="BK298" s="8">
        <v>317.7</v>
      </c>
      <c r="BL298" s="2" t="s">
        <v>1534</v>
      </c>
      <c r="BM298" s="7"/>
      <c r="BN298" s="7"/>
      <c r="BO298" s="4"/>
      <c r="BP298" s="8"/>
      <c r="BQ298" s="4"/>
      <c r="BR298" s="8"/>
      <c r="BS298" s="7"/>
      <c r="BT298" s="7"/>
      <c r="BU298" s="2" t="s">
        <v>2256</v>
      </c>
      <c r="BV298" s="2" t="s">
        <v>206</v>
      </c>
      <c r="BW298" s="2" t="s">
        <v>206</v>
      </c>
      <c r="BX298" s="2" t="s">
        <v>214</v>
      </c>
      <c r="BY298" s="2" t="s">
        <v>215</v>
      </c>
      <c r="BZ298" s="2" t="s">
        <v>203</v>
      </c>
      <c r="CA298" s="2" t="s">
        <v>1156</v>
      </c>
      <c r="CB298" s="2" t="s">
        <v>206</v>
      </c>
      <c r="CC298" s="2" t="s">
        <v>218</v>
      </c>
      <c r="CD298" s="2" t="s">
        <v>206</v>
      </c>
      <c r="CE298" s="4">
        <v>221</v>
      </c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>
        <v>80</v>
      </c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4"/>
      <c r="GA298" s="4"/>
      <c r="GB298" s="4"/>
      <c r="GC298" s="4"/>
      <c r="GD298" s="4"/>
      <c r="GE298" s="4"/>
      <c r="GF298" s="4"/>
    </row>
    <row r="299">
      <c r="A299" s="2" t="s">
        <v>2257</v>
      </c>
      <c r="B299" s="2" t="s">
        <v>507</v>
      </c>
      <c r="C299" s="2" t="s">
        <v>828</v>
      </c>
      <c r="D299" s="2" t="s">
        <v>508</v>
      </c>
      <c r="E299" s="2" t="s">
        <v>509</v>
      </c>
      <c r="F299" s="2" t="s">
        <v>2258</v>
      </c>
      <c r="G299" s="2" t="s">
        <v>2258</v>
      </c>
      <c r="H299" s="2" t="s">
        <v>2258</v>
      </c>
      <c r="I299" s="2" t="s">
        <v>2259</v>
      </c>
      <c r="J299" s="2" t="s">
        <v>434</v>
      </c>
      <c r="K299" s="2" t="s">
        <v>2260</v>
      </c>
      <c r="L299" s="3">
        <v>28.87</v>
      </c>
      <c r="M299" s="3">
        <v>30.31</v>
      </c>
      <c r="N299" s="3">
        <v>64.99</v>
      </c>
      <c r="O299" s="2" t="s">
        <v>203</v>
      </c>
      <c r="P299" s="2" t="s">
        <v>204</v>
      </c>
      <c r="Q299" s="2" t="s">
        <v>205</v>
      </c>
      <c r="R299" s="2" t="s">
        <v>206</v>
      </c>
      <c r="S299" s="2" t="s">
        <v>206</v>
      </c>
      <c r="T299" s="2" t="s">
        <v>206</v>
      </c>
      <c r="U299" s="2" t="s">
        <v>437</v>
      </c>
      <c r="V299" s="2" t="s">
        <v>209</v>
      </c>
      <c r="W299" s="2" t="s">
        <v>210</v>
      </c>
      <c r="X299" s="2" t="s">
        <v>206</v>
      </c>
      <c r="Y299" s="2" t="s">
        <v>2225</v>
      </c>
      <c r="Z299" s="4">
        <v>131</v>
      </c>
      <c r="AA299" s="4">
        <f>=ROUNDDOWN(21.8333333333333,0)</f>
      </c>
      <c r="AB299" s="5">
        <v>6</v>
      </c>
      <c r="AC299" s="2" t="s">
        <v>206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206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/>
      <c r="BD299" s="8"/>
      <c r="BE299" s="4"/>
      <c r="BF299" s="8"/>
      <c r="BG299" s="7"/>
      <c r="BH299" s="7"/>
      <c r="BI299" s="7"/>
      <c r="BJ299" s="4">
        <v>21</v>
      </c>
      <c r="BK299" s="8">
        <v>723.04</v>
      </c>
      <c r="BL299" s="2" t="s">
        <v>2261</v>
      </c>
      <c r="BM299" s="7"/>
      <c r="BN299" s="7"/>
      <c r="BO299" s="4"/>
      <c r="BP299" s="8"/>
      <c r="BQ299" s="4"/>
      <c r="BR299" s="8"/>
      <c r="BS299" s="7"/>
      <c r="BT299" s="7"/>
      <c r="BU299" s="2" t="s">
        <v>2262</v>
      </c>
      <c r="BV299" s="2" t="s">
        <v>206</v>
      </c>
      <c r="BW299" s="2" t="s">
        <v>206</v>
      </c>
      <c r="BX299" s="2" t="s">
        <v>214</v>
      </c>
      <c r="BY299" s="2" t="s">
        <v>215</v>
      </c>
      <c r="BZ299" s="2" t="s">
        <v>203</v>
      </c>
      <c r="CA299" s="2" t="s">
        <v>2263</v>
      </c>
      <c r="CB299" s="2" t="s">
        <v>2264</v>
      </c>
      <c r="CC299" s="2" t="s">
        <v>218</v>
      </c>
      <c r="CD299" s="2" t="s">
        <v>206</v>
      </c>
      <c r="CE299" s="4"/>
      <c r="CF299" s="4">
        <v>131</v>
      </c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4"/>
      <c r="GA299" s="4"/>
      <c r="GB299" s="4"/>
      <c r="GC299" s="4"/>
      <c r="GD299" s="4"/>
      <c r="GE299" s="4"/>
      <c r="GF299" s="4"/>
    </row>
    <row r="300">
      <c r="A300" s="2" t="s">
        <v>2265</v>
      </c>
      <c r="B300" s="2" t="s">
        <v>800</v>
      </c>
      <c r="C300" s="2" t="s">
        <v>287</v>
      </c>
      <c r="D300" s="2" t="s">
        <v>1121</v>
      </c>
      <c r="E300" s="2" t="s">
        <v>2266</v>
      </c>
      <c r="F300" s="2" t="s">
        <v>2267</v>
      </c>
      <c r="G300" s="2" t="s">
        <v>2268</v>
      </c>
      <c r="H300" s="2" t="s">
        <v>2268</v>
      </c>
      <c r="I300" s="2" t="s">
        <v>2269</v>
      </c>
      <c r="J300" s="2" t="s">
        <v>1257</v>
      </c>
      <c r="K300" s="2" t="s">
        <v>483</v>
      </c>
      <c r="L300" s="3">
        <v>14.86</v>
      </c>
      <c r="M300" s="3">
        <v>15.6</v>
      </c>
      <c r="N300" s="3">
        <v>34.99</v>
      </c>
      <c r="O300" s="2" t="s">
        <v>203</v>
      </c>
      <c r="P300" s="2" t="s">
        <v>773</v>
      </c>
      <c r="Q300" s="2" t="s">
        <v>205</v>
      </c>
      <c r="R300" s="2" t="s">
        <v>206</v>
      </c>
      <c r="S300" s="2" t="s">
        <v>2270</v>
      </c>
      <c r="T300" s="2" t="s">
        <v>808</v>
      </c>
      <c r="U300" s="2" t="s">
        <v>206</v>
      </c>
      <c r="V300" s="2" t="s">
        <v>209</v>
      </c>
      <c r="W300" s="2" t="s">
        <v>914</v>
      </c>
      <c r="X300" s="2" t="s">
        <v>206</v>
      </c>
      <c r="Y300" s="2" t="s">
        <v>211</v>
      </c>
      <c r="Z300" s="4">
        <v>321</v>
      </c>
      <c r="AA300" s="4">
        <f>=ROUNDDOWN(12.1590909090909,0)</f>
      </c>
      <c r="AB300" s="5">
        <v>26.4</v>
      </c>
      <c r="AC300" s="2" t="s">
        <v>5</v>
      </c>
      <c r="AD300" s="4">
        <v>300</v>
      </c>
      <c r="AE300" s="4">
        <v>1370</v>
      </c>
      <c r="AF300" s="6">
        <v>64</v>
      </c>
      <c r="AG300" s="6"/>
      <c r="AH300" s="7">
        <v>1</v>
      </c>
      <c r="AI300" s="4"/>
      <c r="AJ300" s="4">
        <f>=ROUNDDOWN({0},0)</f>
      </c>
      <c r="AK300" s="5"/>
      <c r="AL300" s="2" t="s">
        <v>206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206</v>
      </c>
      <c r="BD300" s="8" t="s">
        <v>206</v>
      </c>
      <c r="BE300" s="4" t="s">
        <v>206</v>
      </c>
      <c r="BF300" s="8" t="s">
        <v>206</v>
      </c>
      <c r="BG300" s="7" t="s">
        <v>206</v>
      </c>
      <c r="BH300" s="7" t="s">
        <v>206</v>
      </c>
      <c r="BI300" s="7"/>
      <c r="BJ300" s="4">
        <v>197</v>
      </c>
      <c r="BK300" s="8">
        <v>2999.65</v>
      </c>
      <c r="BL300" s="2" t="s">
        <v>2271</v>
      </c>
      <c r="BM300" s="7"/>
      <c r="BN300" s="7"/>
      <c r="BO300" s="4"/>
      <c r="BP300" s="8"/>
      <c r="BQ300" s="4"/>
      <c r="BR300" s="8"/>
      <c r="BS300" s="7"/>
      <c r="BT300" s="7"/>
      <c r="BU300" s="2" t="s">
        <v>2272</v>
      </c>
      <c r="BV300" s="2" t="s">
        <v>206</v>
      </c>
      <c r="BW300" s="2" t="s">
        <v>206</v>
      </c>
      <c r="BX300" s="2" t="s">
        <v>214</v>
      </c>
      <c r="BY300" s="2" t="s">
        <v>215</v>
      </c>
      <c r="BZ300" s="2" t="s">
        <v>203</v>
      </c>
      <c r="CA300" s="2" t="s">
        <v>216</v>
      </c>
      <c r="CB300" s="2" t="s">
        <v>2273</v>
      </c>
      <c r="CC300" s="2" t="s">
        <v>218</v>
      </c>
      <c r="CD300" s="2" t="s">
        <v>206</v>
      </c>
      <c r="CE300" s="4">
        <v>321</v>
      </c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>
        <v>300</v>
      </c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>
        <v>400</v>
      </c>
      <c r="DV300" s="4"/>
      <c r="DW300" s="4"/>
      <c r="DX300" s="4">
        <v>670</v>
      </c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  <c r="FW300" s="4"/>
      <c r="FX300" s="4"/>
      <c r="FY300" s="4"/>
      <c r="FZ300" s="4"/>
      <c r="GA300" s="4"/>
      <c r="GB300" s="4"/>
      <c r="GC300" s="4"/>
      <c r="GD300" s="4"/>
      <c r="GE300" s="4"/>
      <c r="GF300" s="4"/>
    </row>
    <row r="301">
      <c r="A301" s="2" t="s">
        <v>2274</v>
      </c>
      <c r="B301" s="2" t="s">
        <v>800</v>
      </c>
      <c r="C301" s="2" t="s">
        <v>287</v>
      </c>
      <c r="D301" s="2" t="s">
        <v>801</v>
      </c>
      <c r="E301" s="2" t="s">
        <v>1262</v>
      </c>
      <c r="F301" s="2" t="s">
        <v>2267</v>
      </c>
      <c r="G301" s="2" t="s">
        <v>2268</v>
      </c>
      <c r="H301" s="2" t="s">
        <v>2268</v>
      </c>
      <c r="I301" s="2" t="s">
        <v>2275</v>
      </c>
      <c r="J301" s="2" t="s">
        <v>806</v>
      </c>
      <c r="K301" s="2" t="s">
        <v>262</v>
      </c>
      <c r="L301" s="3">
        <v>14.72</v>
      </c>
      <c r="M301" s="3">
        <v>15.46</v>
      </c>
      <c r="N301" s="3">
        <v>31.99</v>
      </c>
      <c r="O301" s="2" t="s">
        <v>203</v>
      </c>
      <c r="P301" s="2" t="s">
        <v>204</v>
      </c>
      <c r="Q301" s="2" t="s">
        <v>205</v>
      </c>
      <c r="R301" s="2" t="s">
        <v>206</v>
      </c>
      <c r="S301" s="2" t="s">
        <v>2276</v>
      </c>
      <c r="T301" s="2" t="s">
        <v>808</v>
      </c>
      <c r="U301" s="2" t="s">
        <v>437</v>
      </c>
      <c r="V301" s="2" t="s">
        <v>209</v>
      </c>
      <c r="W301" s="2" t="s">
        <v>914</v>
      </c>
      <c r="X301" s="2" t="s">
        <v>206</v>
      </c>
      <c r="Y301" s="2" t="s">
        <v>2277</v>
      </c>
      <c r="Z301" s="4">
        <v>864</v>
      </c>
      <c r="AA301" s="4">
        <f>=ROUNDDOWN(20.5714285714286,0)</f>
      </c>
      <c r="AB301" s="5">
        <v>42</v>
      </c>
      <c r="AC301" s="2" t="s">
        <v>5</v>
      </c>
      <c r="AD301" s="4">
        <v>500</v>
      </c>
      <c r="AE301" s="4">
        <v>2950</v>
      </c>
      <c r="AF301" s="6">
        <v>64</v>
      </c>
      <c r="AG301" s="6"/>
      <c r="AH301" s="7">
        <v>1</v>
      </c>
      <c r="AI301" s="4"/>
      <c r="AJ301" s="4">
        <f>=ROUNDDOWN({0},0)</f>
      </c>
      <c r="AK301" s="5"/>
      <c r="AL301" s="2" t="s">
        <v>206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206</v>
      </c>
      <c r="BD301" s="8" t="s">
        <v>206</v>
      </c>
      <c r="BE301" s="4" t="s">
        <v>206</v>
      </c>
      <c r="BF301" s="8" t="s">
        <v>206</v>
      </c>
      <c r="BG301" s="7" t="s">
        <v>206</v>
      </c>
      <c r="BH301" s="7" t="s">
        <v>206</v>
      </c>
      <c r="BI301" s="7"/>
      <c r="BJ301" s="4">
        <v>399</v>
      </c>
      <c r="BK301" s="8">
        <v>5941.29</v>
      </c>
      <c r="BL301" s="2" t="s">
        <v>2278</v>
      </c>
      <c r="BM301" s="7"/>
      <c r="BN301" s="7"/>
      <c r="BO301" s="4"/>
      <c r="BP301" s="8"/>
      <c r="BQ301" s="4"/>
      <c r="BR301" s="8"/>
      <c r="BS301" s="7"/>
      <c r="BT301" s="7"/>
      <c r="BU301" s="2" t="s">
        <v>2279</v>
      </c>
      <c r="BV301" s="2" t="s">
        <v>206</v>
      </c>
      <c r="BW301" s="2" t="s">
        <v>206</v>
      </c>
      <c r="BX301" s="2" t="s">
        <v>214</v>
      </c>
      <c r="BY301" s="2" t="s">
        <v>215</v>
      </c>
      <c r="BZ301" s="2" t="s">
        <v>203</v>
      </c>
      <c r="CA301" s="2" t="s">
        <v>2280</v>
      </c>
      <c r="CB301" s="2" t="s">
        <v>2281</v>
      </c>
      <c r="CC301" s="2" t="s">
        <v>218</v>
      </c>
      <c r="CD301" s="2" t="s">
        <v>206</v>
      </c>
      <c r="CE301" s="4">
        <v>864</v>
      </c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>
        <v>500</v>
      </c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>
        <v>600</v>
      </c>
      <c r="DO301" s="4">
        <v>480</v>
      </c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>
        <v>370</v>
      </c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>
        <v>500</v>
      </c>
      <c r="FA301" s="4"/>
      <c r="FB301" s="4"/>
      <c r="FC301" s="4"/>
      <c r="FD301" s="4"/>
      <c r="FE301" s="4"/>
      <c r="FF301" s="4"/>
      <c r="FG301" s="4"/>
      <c r="FH301" s="4">
        <v>500</v>
      </c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  <c r="FW301" s="4"/>
      <c r="FX301" s="4"/>
      <c r="FY301" s="4"/>
      <c r="FZ301" s="4"/>
      <c r="GA301" s="4"/>
      <c r="GB301" s="4"/>
      <c r="GC301" s="4"/>
      <c r="GD301" s="4"/>
      <c r="GE301" s="4"/>
      <c r="GF301" s="4"/>
    </row>
    <row r="302">
      <c r="A302" s="2" t="s">
        <v>2282</v>
      </c>
      <c r="B302" s="2" t="s">
        <v>800</v>
      </c>
      <c r="C302" s="2" t="s">
        <v>287</v>
      </c>
      <c r="D302" s="2" t="s">
        <v>1121</v>
      </c>
      <c r="E302" s="2" t="s">
        <v>2266</v>
      </c>
      <c r="F302" s="2" t="s">
        <v>2267</v>
      </c>
      <c r="G302" s="2" t="s">
        <v>2268</v>
      </c>
      <c r="H302" s="2" t="s">
        <v>2268</v>
      </c>
      <c r="I302" s="2" t="s">
        <v>2269</v>
      </c>
      <c r="J302" s="2" t="s">
        <v>1257</v>
      </c>
      <c r="K302" s="2" t="s">
        <v>315</v>
      </c>
      <c r="L302" s="3">
        <v>14.86</v>
      </c>
      <c r="M302" s="3">
        <v>15.6</v>
      </c>
      <c r="N302" s="3">
        <v>34.99</v>
      </c>
      <c r="O302" s="2" t="s">
        <v>203</v>
      </c>
      <c r="P302" s="2" t="s">
        <v>204</v>
      </c>
      <c r="Q302" s="2" t="s">
        <v>205</v>
      </c>
      <c r="R302" s="2" t="s">
        <v>206</v>
      </c>
      <c r="S302" s="2" t="s">
        <v>2283</v>
      </c>
      <c r="T302" s="2" t="s">
        <v>808</v>
      </c>
      <c r="U302" s="2" t="s">
        <v>206</v>
      </c>
      <c r="V302" s="2" t="s">
        <v>209</v>
      </c>
      <c r="W302" s="2" t="s">
        <v>914</v>
      </c>
      <c r="X302" s="2" t="s">
        <v>206</v>
      </c>
      <c r="Y302" s="2" t="s">
        <v>2284</v>
      </c>
      <c r="Z302" s="4">
        <v>596</v>
      </c>
      <c r="AA302" s="4">
        <f>=ROUNDDOWN(45.8461538461538,0)</f>
      </c>
      <c r="AB302" s="5">
        <v>13</v>
      </c>
      <c r="AC302" s="2" t="s">
        <v>318</v>
      </c>
      <c r="AD302" s="4">
        <v>200</v>
      </c>
      <c r="AE302" s="4">
        <v>200</v>
      </c>
      <c r="AF302" s="6">
        <v>64</v>
      </c>
      <c r="AG302" s="6"/>
      <c r="AH302" s="7">
        <v>1</v>
      </c>
      <c r="AI302" s="4"/>
      <c r="AJ302" s="4">
        <f>=ROUNDDOWN({0},0)</f>
      </c>
      <c r="AK302" s="5"/>
      <c r="AL302" s="2" t="s">
        <v>206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206</v>
      </c>
      <c r="BD302" s="8" t="s">
        <v>206</v>
      </c>
      <c r="BE302" s="4" t="s">
        <v>206</v>
      </c>
      <c r="BF302" s="8" t="s">
        <v>206</v>
      </c>
      <c r="BG302" s="7" t="s">
        <v>206</v>
      </c>
      <c r="BH302" s="7" t="s">
        <v>206</v>
      </c>
      <c r="BI302" s="7"/>
      <c r="BJ302" s="4">
        <v>75</v>
      </c>
      <c r="BK302" s="8">
        <v>1131.88</v>
      </c>
      <c r="BL302" s="2" t="s">
        <v>2285</v>
      </c>
      <c r="BM302" s="7"/>
      <c r="BN302" s="7"/>
      <c r="BO302" s="4"/>
      <c r="BP302" s="8"/>
      <c r="BQ302" s="4"/>
      <c r="BR302" s="8"/>
      <c r="BS302" s="7"/>
      <c r="BT302" s="7"/>
      <c r="BU302" s="2" t="s">
        <v>2286</v>
      </c>
      <c r="BV302" s="2" t="s">
        <v>206</v>
      </c>
      <c r="BW302" s="2" t="s">
        <v>206</v>
      </c>
      <c r="BX302" s="2" t="s">
        <v>214</v>
      </c>
      <c r="BY302" s="2" t="s">
        <v>215</v>
      </c>
      <c r="BZ302" s="2" t="s">
        <v>203</v>
      </c>
      <c r="CA302" s="2" t="s">
        <v>2287</v>
      </c>
      <c r="CB302" s="2" t="s">
        <v>654</v>
      </c>
      <c r="CC302" s="2" t="s">
        <v>218</v>
      </c>
      <c r="CD302" s="2" t="s">
        <v>206</v>
      </c>
      <c r="CE302" s="4">
        <v>596</v>
      </c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>
        <v>200</v>
      </c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  <c r="FW302" s="4"/>
      <c r="FX302" s="4"/>
      <c r="FY302" s="4"/>
      <c r="FZ302" s="4"/>
      <c r="GA302" s="4"/>
      <c r="GB302" s="4"/>
      <c r="GC302" s="4"/>
      <c r="GD302" s="4"/>
      <c r="GE302" s="4"/>
      <c r="GF302" s="4"/>
    </row>
    <row r="303">
      <c r="A303" s="2" t="s">
        <v>2288</v>
      </c>
      <c r="B303" s="2" t="s">
        <v>800</v>
      </c>
      <c r="C303" s="2" t="s">
        <v>287</v>
      </c>
      <c r="D303" s="2" t="s">
        <v>801</v>
      </c>
      <c r="E303" s="2" t="s">
        <v>1262</v>
      </c>
      <c r="F303" s="2" t="s">
        <v>2267</v>
      </c>
      <c r="G303" s="2" t="s">
        <v>2268</v>
      </c>
      <c r="H303" s="2" t="s">
        <v>2268</v>
      </c>
      <c r="I303" s="2" t="s">
        <v>2275</v>
      </c>
      <c r="J303" s="2" t="s">
        <v>806</v>
      </c>
      <c r="K303" s="2" t="s">
        <v>696</v>
      </c>
      <c r="L303" s="3">
        <v>14.72</v>
      </c>
      <c r="M303" s="3">
        <v>15.46</v>
      </c>
      <c r="N303" s="3">
        <v>31.99</v>
      </c>
      <c r="O303" s="2" t="s">
        <v>203</v>
      </c>
      <c r="P303" s="2" t="s">
        <v>204</v>
      </c>
      <c r="Q303" s="2" t="s">
        <v>205</v>
      </c>
      <c r="R303" s="2" t="s">
        <v>206</v>
      </c>
      <c r="S303" s="2" t="s">
        <v>2289</v>
      </c>
      <c r="T303" s="2" t="s">
        <v>808</v>
      </c>
      <c r="U303" s="2" t="s">
        <v>437</v>
      </c>
      <c r="V303" s="2" t="s">
        <v>209</v>
      </c>
      <c r="W303" s="2" t="s">
        <v>914</v>
      </c>
      <c r="X303" s="2" t="s">
        <v>206</v>
      </c>
      <c r="Y303" s="2" t="s">
        <v>211</v>
      </c>
      <c r="Z303" s="4">
        <v>466</v>
      </c>
      <c r="AA303" s="4">
        <f>=ROUNDDOWN(15.5333333333333,0)</f>
      </c>
      <c r="AB303" s="5">
        <v>30</v>
      </c>
      <c r="AC303" s="2" t="s">
        <v>5</v>
      </c>
      <c r="AD303" s="4">
        <v>930</v>
      </c>
      <c r="AE303" s="4">
        <v>1930</v>
      </c>
      <c r="AF303" s="6">
        <v>64</v>
      </c>
      <c r="AG303" s="6"/>
      <c r="AH303" s="7">
        <v>1</v>
      </c>
      <c r="AI303" s="4"/>
      <c r="AJ303" s="4">
        <f>=ROUNDDOWN({0},0)</f>
      </c>
      <c r="AK303" s="5"/>
      <c r="AL303" s="2" t="s">
        <v>206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206</v>
      </c>
      <c r="BD303" s="8" t="s">
        <v>206</v>
      </c>
      <c r="BE303" s="4" t="s">
        <v>206</v>
      </c>
      <c r="BF303" s="8" t="s">
        <v>206</v>
      </c>
      <c r="BG303" s="7" t="s">
        <v>206</v>
      </c>
      <c r="BH303" s="7" t="s">
        <v>206</v>
      </c>
      <c r="BI303" s="7"/>
      <c r="BJ303" s="4">
        <v>385</v>
      </c>
      <c r="BK303" s="8">
        <v>5841.61</v>
      </c>
      <c r="BL303" s="2" t="s">
        <v>2290</v>
      </c>
      <c r="BM303" s="7"/>
      <c r="BN303" s="7"/>
      <c r="BO303" s="4"/>
      <c r="BP303" s="8"/>
      <c r="BQ303" s="4"/>
      <c r="BR303" s="8"/>
      <c r="BS303" s="7"/>
      <c r="BT303" s="7"/>
      <c r="BU303" s="2" t="s">
        <v>2291</v>
      </c>
      <c r="BV303" s="2" t="s">
        <v>206</v>
      </c>
      <c r="BW303" s="2" t="s">
        <v>206</v>
      </c>
      <c r="BX303" s="2" t="s">
        <v>214</v>
      </c>
      <c r="BY303" s="2" t="s">
        <v>215</v>
      </c>
      <c r="BZ303" s="2" t="s">
        <v>203</v>
      </c>
      <c r="CA303" s="2" t="s">
        <v>216</v>
      </c>
      <c r="CB303" s="2" t="s">
        <v>2292</v>
      </c>
      <c r="CC303" s="2" t="s">
        <v>218</v>
      </c>
      <c r="CD303" s="2" t="s">
        <v>206</v>
      </c>
      <c r="CE303" s="4">
        <v>466</v>
      </c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>
        <v>930</v>
      </c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>
        <v>500</v>
      </c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>
        <v>500</v>
      </c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  <c r="FW303" s="4"/>
      <c r="FX303" s="4"/>
      <c r="FY303" s="4"/>
      <c r="FZ303" s="4"/>
      <c r="GA303" s="4"/>
      <c r="GB303" s="4"/>
      <c r="GC303" s="4"/>
      <c r="GD303" s="4"/>
      <c r="GE303" s="4"/>
      <c r="GF303" s="4"/>
    </row>
    <row r="304">
      <c r="A304" s="2" t="s">
        <v>2293</v>
      </c>
      <c r="B304" s="2" t="s">
        <v>800</v>
      </c>
      <c r="C304" s="2" t="s">
        <v>287</v>
      </c>
      <c r="D304" s="2" t="s">
        <v>1121</v>
      </c>
      <c r="E304" s="2" t="s">
        <v>2266</v>
      </c>
      <c r="F304" s="2" t="s">
        <v>2267</v>
      </c>
      <c r="G304" s="2" t="s">
        <v>2268</v>
      </c>
      <c r="H304" s="2" t="s">
        <v>2268</v>
      </c>
      <c r="I304" s="2" t="s">
        <v>2269</v>
      </c>
      <c r="J304" s="2" t="s">
        <v>1257</v>
      </c>
      <c r="K304" s="2" t="s">
        <v>336</v>
      </c>
      <c r="L304" s="3">
        <v>14.86</v>
      </c>
      <c r="M304" s="3">
        <v>15.6</v>
      </c>
      <c r="N304" s="3">
        <v>34.99</v>
      </c>
      <c r="O304" s="2" t="s">
        <v>203</v>
      </c>
      <c r="P304" s="2" t="s">
        <v>492</v>
      </c>
      <c r="Q304" s="2" t="s">
        <v>205</v>
      </c>
      <c r="R304" s="2" t="s">
        <v>206</v>
      </c>
      <c r="S304" s="2" t="s">
        <v>2294</v>
      </c>
      <c r="T304" s="2" t="s">
        <v>808</v>
      </c>
      <c r="U304" s="2" t="s">
        <v>206</v>
      </c>
      <c r="V304" s="2" t="s">
        <v>209</v>
      </c>
      <c r="W304" s="2" t="s">
        <v>914</v>
      </c>
      <c r="X304" s="2" t="s">
        <v>206</v>
      </c>
      <c r="Y304" s="2" t="s">
        <v>211</v>
      </c>
      <c r="Z304" s="4">
        <v>1138</v>
      </c>
      <c r="AA304" s="4">
        <f>=ROUNDDOWN(30.7567567567568,0)</f>
      </c>
      <c r="AB304" s="5">
        <v>37</v>
      </c>
      <c r="AC304" s="2" t="s">
        <v>126</v>
      </c>
      <c r="AD304" s="4">
        <v>300</v>
      </c>
      <c r="AE304" s="4">
        <v>1600</v>
      </c>
      <c r="AF304" s="6">
        <v>64</v>
      </c>
      <c r="AG304" s="6"/>
      <c r="AH304" s="7">
        <v>1</v>
      </c>
      <c r="AI304" s="4"/>
      <c r="AJ304" s="4">
        <f>=ROUNDDOWN({0},0)</f>
      </c>
      <c r="AK304" s="5"/>
      <c r="AL304" s="2" t="s">
        <v>206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206</v>
      </c>
      <c r="BD304" s="8" t="s">
        <v>206</v>
      </c>
      <c r="BE304" s="4" t="s">
        <v>206</v>
      </c>
      <c r="BF304" s="8" t="s">
        <v>206</v>
      </c>
      <c r="BG304" s="7" t="s">
        <v>206</v>
      </c>
      <c r="BH304" s="7" t="s">
        <v>206</v>
      </c>
      <c r="BI304" s="7"/>
      <c r="BJ304" s="4">
        <v>334</v>
      </c>
      <c r="BK304" s="8">
        <v>5031.89</v>
      </c>
      <c r="BL304" s="2" t="s">
        <v>2295</v>
      </c>
      <c r="BM304" s="7"/>
      <c r="BN304" s="7"/>
      <c r="BO304" s="4"/>
      <c r="BP304" s="8"/>
      <c r="BQ304" s="4"/>
      <c r="BR304" s="8"/>
      <c r="BS304" s="7"/>
      <c r="BT304" s="7"/>
      <c r="BU304" s="2" t="s">
        <v>2296</v>
      </c>
      <c r="BV304" s="2" t="s">
        <v>206</v>
      </c>
      <c r="BW304" s="2" t="s">
        <v>206</v>
      </c>
      <c r="BX304" s="2" t="s">
        <v>214</v>
      </c>
      <c r="BY304" s="2" t="s">
        <v>215</v>
      </c>
      <c r="BZ304" s="2" t="s">
        <v>203</v>
      </c>
      <c r="CA304" s="2" t="s">
        <v>216</v>
      </c>
      <c r="CB304" s="2" t="s">
        <v>2297</v>
      </c>
      <c r="CC304" s="2" t="s">
        <v>218</v>
      </c>
      <c r="CD304" s="2" t="s">
        <v>206</v>
      </c>
      <c r="CE304" s="4">
        <v>1138</v>
      </c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>
        <v>300</v>
      </c>
      <c r="DO304" s="4"/>
      <c r="DP304" s="4"/>
      <c r="DQ304" s="4"/>
      <c r="DR304" s="4"/>
      <c r="DS304" s="4"/>
      <c r="DT304" s="4"/>
      <c r="DU304" s="4"/>
      <c r="DV304" s="4"/>
      <c r="DW304" s="4"/>
      <c r="DX304" s="4">
        <v>1300</v>
      </c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  <c r="FW304" s="4"/>
      <c r="FX304" s="4"/>
      <c r="FY304" s="4"/>
      <c r="FZ304" s="4"/>
      <c r="GA304" s="4"/>
      <c r="GB304" s="4"/>
      <c r="GC304" s="4"/>
      <c r="GD304" s="4"/>
      <c r="GE304" s="4"/>
      <c r="GF304" s="4"/>
    </row>
    <row r="305">
      <c r="A305" s="2" t="s">
        <v>2298</v>
      </c>
      <c r="B305" s="2" t="s">
        <v>800</v>
      </c>
      <c r="C305" s="2" t="s">
        <v>287</v>
      </c>
      <c r="D305" s="2" t="s">
        <v>801</v>
      </c>
      <c r="E305" s="2" t="s">
        <v>1262</v>
      </c>
      <c r="F305" s="2" t="s">
        <v>2267</v>
      </c>
      <c r="G305" s="2" t="s">
        <v>2268</v>
      </c>
      <c r="H305" s="2" t="s">
        <v>2268</v>
      </c>
      <c r="I305" s="2" t="s">
        <v>2275</v>
      </c>
      <c r="J305" s="2" t="s">
        <v>806</v>
      </c>
      <c r="K305" s="2" t="s">
        <v>353</v>
      </c>
      <c r="L305" s="3">
        <v>14.72</v>
      </c>
      <c r="M305" s="3">
        <v>15.46</v>
      </c>
      <c r="N305" s="3">
        <v>31.99</v>
      </c>
      <c r="O305" s="2" t="s">
        <v>203</v>
      </c>
      <c r="P305" s="2" t="s">
        <v>204</v>
      </c>
      <c r="Q305" s="2" t="s">
        <v>205</v>
      </c>
      <c r="R305" s="2" t="s">
        <v>206</v>
      </c>
      <c r="S305" s="2" t="s">
        <v>2299</v>
      </c>
      <c r="T305" s="2" t="s">
        <v>808</v>
      </c>
      <c r="U305" s="2" t="s">
        <v>437</v>
      </c>
      <c r="V305" s="2" t="s">
        <v>209</v>
      </c>
      <c r="W305" s="2" t="s">
        <v>914</v>
      </c>
      <c r="X305" s="2" t="s">
        <v>206</v>
      </c>
      <c r="Y305" s="2" t="s">
        <v>211</v>
      </c>
      <c r="Z305" s="4">
        <v>615</v>
      </c>
      <c r="AA305" s="4">
        <f>=ROUNDDOWN(11.1818181818182,0)</f>
      </c>
      <c r="AB305" s="5">
        <v>55</v>
      </c>
      <c r="AC305" s="2" t="s">
        <v>109</v>
      </c>
      <c r="AD305" s="4">
        <v>1493</v>
      </c>
      <c r="AE305" s="4">
        <v>4233</v>
      </c>
      <c r="AF305" s="6">
        <v>64</v>
      </c>
      <c r="AG305" s="6"/>
      <c r="AH305" s="7">
        <v>1</v>
      </c>
      <c r="AI305" s="4"/>
      <c r="AJ305" s="4">
        <f>=ROUNDDOWN({0},0)</f>
      </c>
      <c r="AK305" s="5"/>
      <c r="AL305" s="2" t="s">
        <v>206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206</v>
      </c>
      <c r="BD305" s="8" t="s">
        <v>206</v>
      </c>
      <c r="BE305" s="4" t="s">
        <v>206</v>
      </c>
      <c r="BF305" s="8" t="s">
        <v>206</v>
      </c>
      <c r="BG305" s="7" t="s">
        <v>206</v>
      </c>
      <c r="BH305" s="7" t="s">
        <v>206</v>
      </c>
      <c r="BI305" s="7"/>
      <c r="BJ305" s="4">
        <v>546</v>
      </c>
      <c r="BK305" s="8">
        <v>8205.53</v>
      </c>
      <c r="BL305" s="2" t="s">
        <v>2300</v>
      </c>
      <c r="BM305" s="7"/>
      <c r="BN305" s="7"/>
      <c r="BO305" s="4"/>
      <c r="BP305" s="8"/>
      <c r="BQ305" s="4"/>
      <c r="BR305" s="8"/>
      <c r="BS305" s="7"/>
      <c r="BT305" s="7"/>
      <c r="BU305" s="2" t="s">
        <v>2301</v>
      </c>
      <c r="BV305" s="2" t="s">
        <v>206</v>
      </c>
      <c r="BW305" s="2" t="s">
        <v>206</v>
      </c>
      <c r="BX305" s="2" t="s">
        <v>214</v>
      </c>
      <c r="BY305" s="2" t="s">
        <v>215</v>
      </c>
      <c r="BZ305" s="2" t="s">
        <v>203</v>
      </c>
      <c r="CA305" s="2" t="s">
        <v>216</v>
      </c>
      <c r="CB305" s="2" t="s">
        <v>2292</v>
      </c>
      <c r="CC305" s="2" t="s">
        <v>218</v>
      </c>
      <c r="CD305" s="2" t="s">
        <v>206</v>
      </c>
      <c r="CE305" s="4">
        <v>615</v>
      </c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>
        <v>1493</v>
      </c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>
        <v>790</v>
      </c>
      <c r="DP305" s="4"/>
      <c r="DQ305" s="4"/>
      <c r="DR305" s="4"/>
      <c r="DS305" s="4"/>
      <c r="DT305" s="4"/>
      <c r="DU305" s="4"/>
      <c r="DV305" s="4"/>
      <c r="DW305" s="4"/>
      <c r="DX305" s="4">
        <v>700</v>
      </c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>
        <v>250</v>
      </c>
      <c r="ER305" s="4"/>
      <c r="ES305" s="4"/>
      <c r="ET305" s="4"/>
      <c r="EU305" s="4"/>
      <c r="EV305" s="4"/>
      <c r="EW305" s="4"/>
      <c r="EX305" s="4"/>
      <c r="EY305" s="4"/>
      <c r="EZ305" s="4">
        <v>500</v>
      </c>
      <c r="FA305" s="4"/>
      <c r="FB305" s="4"/>
      <c r="FC305" s="4"/>
      <c r="FD305" s="4"/>
      <c r="FE305" s="4"/>
      <c r="FF305" s="4"/>
      <c r="FG305" s="4"/>
      <c r="FH305" s="4">
        <v>500</v>
      </c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</row>
    <row r="306">
      <c r="A306" s="2" t="s">
        <v>2302</v>
      </c>
      <c r="B306" s="2" t="s">
        <v>613</v>
      </c>
      <c r="C306" s="2" t="s">
        <v>287</v>
      </c>
      <c r="D306" s="2" t="s">
        <v>628</v>
      </c>
      <c r="E306" s="2" t="s">
        <v>1802</v>
      </c>
      <c r="F306" s="2" t="s">
        <v>2303</v>
      </c>
      <c r="G306" s="2" t="s">
        <v>2304</v>
      </c>
      <c r="H306" s="2" t="s">
        <v>2305</v>
      </c>
      <c r="I306" s="2" t="s">
        <v>2306</v>
      </c>
      <c r="J306" s="2" t="s">
        <v>1804</v>
      </c>
      <c r="K306" s="2" t="s">
        <v>2307</v>
      </c>
      <c r="L306" s="3">
        <v>23.2</v>
      </c>
      <c r="M306" s="3">
        <v>24.36</v>
      </c>
      <c r="N306" s="3">
        <v>54.99</v>
      </c>
      <c r="O306" s="2" t="s">
        <v>203</v>
      </c>
      <c r="P306" s="2" t="s">
        <v>204</v>
      </c>
      <c r="Q306" s="2" t="s">
        <v>205</v>
      </c>
      <c r="R306" s="2" t="s">
        <v>206</v>
      </c>
      <c r="S306" s="2" t="s">
        <v>2308</v>
      </c>
      <c r="T306" s="2" t="s">
        <v>2309</v>
      </c>
      <c r="U306" s="2" t="s">
        <v>437</v>
      </c>
      <c r="V306" s="2" t="s">
        <v>209</v>
      </c>
      <c r="W306" s="2" t="s">
        <v>210</v>
      </c>
      <c r="X306" s="2" t="s">
        <v>206</v>
      </c>
      <c r="Y306" s="2" t="s">
        <v>2310</v>
      </c>
      <c r="Z306" s="4"/>
      <c r="AA306" s="4">
        <f>=ROUNDDOWN({0},0)</f>
      </c>
      <c r="AB306" s="5">
        <v>14</v>
      </c>
      <c r="AC306" s="2" t="s">
        <v>122</v>
      </c>
      <c r="AD306" s="4">
        <v>252</v>
      </c>
      <c r="AE306" s="4">
        <v>424</v>
      </c>
      <c r="AF306" s="6">
        <v>75</v>
      </c>
      <c r="AG306" s="6"/>
      <c r="AH306" s="7">
        <v>0</v>
      </c>
      <c r="AI306" s="4"/>
      <c r="AJ306" s="4">
        <f>=ROUNDDOWN({0},0)</f>
      </c>
      <c r="AK306" s="5"/>
      <c r="AL306" s="2" t="s">
        <v>206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/>
      <c r="BK306" s="8"/>
      <c r="BL306" s="2" t="s">
        <v>2311</v>
      </c>
      <c r="BM306" s="7"/>
      <c r="BN306" s="7"/>
      <c r="BO306" s="4"/>
      <c r="BP306" s="8"/>
      <c r="BQ306" s="4"/>
      <c r="BR306" s="8"/>
      <c r="BS306" s="7"/>
      <c r="BT306" s="7"/>
      <c r="BU306" s="2" t="s">
        <v>2312</v>
      </c>
      <c r="BV306" s="2" t="s">
        <v>206</v>
      </c>
      <c r="BW306" s="2" t="s">
        <v>206</v>
      </c>
      <c r="BX306" s="2" t="s">
        <v>214</v>
      </c>
      <c r="BY306" s="2" t="s">
        <v>215</v>
      </c>
      <c r="BZ306" s="2" t="s">
        <v>203</v>
      </c>
      <c r="CA306" s="2" t="s">
        <v>2313</v>
      </c>
      <c r="CB306" s="2" t="s">
        <v>834</v>
      </c>
      <c r="CC306" s="2" t="s">
        <v>218</v>
      </c>
      <c r="CD306" s="2" t="s">
        <v>206</v>
      </c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>
        <v>252</v>
      </c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>
        <v>172</v>
      </c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  <c r="FW306" s="4"/>
      <c r="FX306" s="4"/>
      <c r="FY306" s="4"/>
      <c r="FZ306" s="4"/>
      <c r="GA306" s="4"/>
      <c r="GB306" s="4"/>
      <c r="GC306" s="4"/>
      <c r="GD306" s="4"/>
      <c r="GE306" s="4"/>
      <c r="GF306" s="4"/>
    </row>
    <row r="307">
      <c r="A307" s="2" t="s">
        <v>2314</v>
      </c>
      <c r="B307" s="2" t="s">
        <v>461</v>
      </c>
      <c r="C307" s="2" t="s">
        <v>447</v>
      </c>
      <c r="D307" s="2" t="s">
        <v>2315</v>
      </c>
      <c r="E307" s="2" t="s">
        <v>2316</v>
      </c>
      <c r="F307" s="2" t="s">
        <v>2317</v>
      </c>
      <c r="G307" s="2" t="s">
        <v>2317</v>
      </c>
      <c r="H307" s="2" t="s">
        <v>2317</v>
      </c>
      <c r="I307" s="2" t="s">
        <v>2316</v>
      </c>
      <c r="J307" s="2" t="s">
        <v>434</v>
      </c>
      <c r="K307" s="2" t="s">
        <v>656</v>
      </c>
      <c r="L307" s="3">
        <v>144</v>
      </c>
      <c r="M307" s="3">
        <v>151.2</v>
      </c>
      <c r="N307" s="3">
        <v>299</v>
      </c>
      <c r="O307" s="2" t="s">
        <v>203</v>
      </c>
      <c r="P307" s="2" t="s">
        <v>467</v>
      </c>
      <c r="Q307" s="2" t="s">
        <v>205</v>
      </c>
      <c r="R307" s="2" t="s">
        <v>206</v>
      </c>
      <c r="S307" s="2" t="s">
        <v>2318</v>
      </c>
      <c r="T307" s="2" t="s">
        <v>206</v>
      </c>
      <c r="U307" s="2" t="s">
        <v>437</v>
      </c>
      <c r="V307" s="2" t="s">
        <v>209</v>
      </c>
      <c r="W307" s="2" t="s">
        <v>877</v>
      </c>
      <c r="X307" s="2" t="s">
        <v>454</v>
      </c>
      <c r="Y307" s="2" t="s">
        <v>2201</v>
      </c>
      <c r="Z307" s="4">
        <v>95</v>
      </c>
      <c r="AA307" s="4">
        <f>=ROUNDDOWN(31.6666666666667,0)</f>
      </c>
      <c r="AB307" s="5">
        <v>3</v>
      </c>
      <c r="AC307" s="2" t="s">
        <v>2250</v>
      </c>
      <c r="AD307" s="4">
        <v>100</v>
      </c>
      <c r="AE307" s="4">
        <v>100</v>
      </c>
      <c r="AF307" s="6">
        <v>66</v>
      </c>
      <c r="AG307" s="6">
        <v>49</v>
      </c>
      <c r="AH307" s="7">
        <v>1</v>
      </c>
      <c r="AI307" s="4"/>
      <c r="AJ307" s="4">
        <f>=ROUNDDOWN({0},0)</f>
      </c>
      <c r="AK307" s="5"/>
      <c r="AL307" s="2" t="s">
        <v>206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>
        <v>12</v>
      </c>
      <c r="BK307" s="8">
        <v>1632.64</v>
      </c>
      <c r="BL307" s="2" t="s">
        <v>2319</v>
      </c>
      <c r="BM307" s="7"/>
      <c r="BN307" s="7"/>
      <c r="BO307" s="4"/>
      <c r="BP307" s="8"/>
      <c r="BQ307" s="4"/>
      <c r="BR307" s="8"/>
      <c r="BS307" s="7"/>
      <c r="BT307" s="7"/>
      <c r="BU307" s="2" t="s">
        <v>2320</v>
      </c>
      <c r="BV307" s="2" t="s">
        <v>206</v>
      </c>
      <c r="BW307" s="2" t="s">
        <v>206</v>
      </c>
      <c r="BX307" s="2" t="s">
        <v>214</v>
      </c>
      <c r="BY307" s="2" t="s">
        <v>215</v>
      </c>
      <c r="BZ307" s="2" t="s">
        <v>203</v>
      </c>
      <c r="CA307" s="2" t="s">
        <v>2321</v>
      </c>
      <c r="CB307" s="2" t="s">
        <v>1831</v>
      </c>
      <c r="CC307" s="2" t="s">
        <v>218</v>
      </c>
      <c r="CD307" s="2" t="s">
        <v>206</v>
      </c>
      <c r="CE307" s="4"/>
      <c r="CF307" s="4">
        <v>95</v>
      </c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>
        <v>100</v>
      </c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  <c r="GE307" s="4"/>
      <c r="GF307" s="4"/>
    </row>
    <row r="308">
      <c r="A308" s="2" t="s">
        <v>2322</v>
      </c>
      <c r="B308" s="2" t="s">
        <v>613</v>
      </c>
      <c r="C308" s="2" t="s">
        <v>287</v>
      </c>
      <c r="D308" s="2" t="s">
        <v>628</v>
      </c>
      <c r="E308" s="2" t="s">
        <v>629</v>
      </c>
      <c r="F308" s="2" t="s">
        <v>2323</v>
      </c>
      <c r="G308" s="2" t="s">
        <v>2324</v>
      </c>
      <c r="H308" s="2" t="s">
        <v>2325</v>
      </c>
      <c r="I308" s="2" t="s">
        <v>2326</v>
      </c>
      <c r="J308" s="2" t="s">
        <v>631</v>
      </c>
      <c r="K308" s="2" t="s">
        <v>483</v>
      </c>
      <c r="L308" s="3">
        <v>16</v>
      </c>
      <c r="M308" s="3">
        <v>16.8</v>
      </c>
      <c r="N308" s="3">
        <v>39.99</v>
      </c>
      <c r="O308" s="2" t="s">
        <v>203</v>
      </c>
      <c r="P308" s="2" t="s">
        <v>204</v>
      </c>
      <c r="Q308" s="2" t="s">
        <v>205</v>
      </c>
      <c r="R308" s="2" t="s">
        <v>206</v>
      </c>
      <c r="S308" s="2" t="s">
        <v>2327</v>
      </c>
      <c r="T308" s="2" t="s">
        <v>206</v>
      </c>
      <c r="U308" s="2" t="s">
        <v>437</v>
      </c>
      <c r="V308" s="2" t="s">
        <v>209</v>
      </c>
      <c r="W308" s="2" t="s">
        <v>539</v>
      </c>
      <c r="X308" s="2" t="s">
        <v>1722</v>
      </c>
      <c r="Y308" s="2" t="s">
        <v>2328</v>
      </c>
      <c r="Z308" s="4">
        <v>351</v>
      </c>
      <c r="AA308" s="4">
        <f>=ROUNDDOWN(31.9090909090909,0)</f>
      </c>
      <c r="AB308" s="5">
        <v>11</v>
      </c>
      <c r="AC308" s="2" t="s">
        <v>1555</v>
      </c>
      <c r="AD308" s="4">
        <v>120</v>
      </c>
      <c r="AE308" s="4">
        <v>120</v>
      </c>
      <c r="AF308" s="6">
        <v>64</v>
      </c>
      <c r="AG308" s="6"/>
      <c r="AH308" s="7">
        <v>1</v>
      </c>
      <c r="AI308" s="4"/>
      <c r="AJ308" s="4">
        <f>=ROUNDDOWN({0},0)</f>
      </c>
      <c r="AK308" s="5"/>
      <c r="AL308" s="2" t="s">
        <v>206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206</v>
      </c>
      <c r="AW308" s="8" t="s">
        <v>206</v>
      </c>
      <c r="AX308" s="4" t="s">
        <v>206</v>
      </c>
      <c r="AY308" s="8" t="s">
        <v>206</v>
      </c>
      <c r="AZ308" s="7" t="s">
        <v>206</v>
      </c>
      <c r="BA308" s="7" t="s">
        <v>206</v>
      </c>
      <c r="BB308" s="7"/>
      <c r="BC308" s="4" t="s">
        <v>206</v>
      </c>
      <c r="BD308" s="8" t="s">
        <v>206</v>
      </c>
      <c r="BE308" s="4" t="s">
        <v>206</v>
      </c>
      <c r="BF308" s="8" t="s">
        <v>206</v>
      </c>
      <c r="BG308" s="7" t="s">
        <v>206</v>
      </c>
      <c r="BH308" s="7" t="s">
        <v>206</v>
      </c>
      <c r="BI308" s="7"/>
      <c r="BJ308" s="4">
        <v>23</v>
      </c>
      <c r="BK308" s="8">
        <v>328.36</v>
      </c>
      <c r="BL308" s="2" t="s">
        <v>1864</v>
      </c>
      <c r="BM308" s="7"/>
      <c r="BN308" s="7"/>
      <c r="BO308" s="4"/>
      <c r="BP308" s="8"/>
      <c r="BQ308" s="4"/>
      <c r="BR308" s="8"/>
      <c r="BS308" s="7"/>
      <c r="BT308" s="7"/>
      <c r="BU308" s="2" t="s">
        <v>2329</v>
      </c>
      <c r="BV308" s="2" t="s">
        <v>206</v>
      </c>
      <c r="BW308" s="2" t="s">
        <v>206</v>
      </c>
      <c r="BX308" s="2" t="s">
        <v>426</v>
      </c>
      <c r="BY308" s="2" t="s">
        <v>215</v>
      </c>
      <c r="BZ308" s="2" t="s">
        <v>203</v>
      </c>
      <c r="CA308" s="2" t="s">
        <v>2330</v>
      </c>
      <c r="CB308" s="2" t="s">
        <v>2331</v>
      </c>
      <c r="CC308" s="2" t="s">
        <v>218</v>
      </c>
      <c r="CD308" s="2" t="s">
        <v>206</v>
      </c>
      <c r="CE308" s="4">
        <v>351</v>
      </c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4"/>
      <c r="GA308" s="4">
        <v>120</v>
      </c>
      <c r="GB308" s="4"/>
      <c r="GC308" s="4"/>
      <c r="GD308" s="4"/>
      <c r="GE308" s="4"/>
      <c r="GF308" s="4"/>
    </row>
    <row r="309">
      <c r="A309" s="2" t="s">
        <v>2332</v>
      </c>
      <c r="B309" s="2" t="s">
        <v>613</v>
      </c>
      <c r="C309" s="2" t="s">
        <v>287</v>
      </c>
      <c r="D309" s="2" t="s">
        <v>628</v>
      </c>
      <c r="E309" s="2" t="s">
        <v>629</v>
      </c>
      <c r="F309" s="2" t="s">
        <v>2323</v>
      </c>
      <c r="G309" s="2" t="s">
        <v>2324</v>
      </c>
      <c r="H309" s="2" t="s">
        <v>2325</v>
      </c>
      <c r="I309" s="2" t="s">
        <v>2326</v>
      </c>
      <c r="J309" s="2" t="s">
        <v>731</v>
      </c>
      <c r="K309" s="2" t="s">
        <v>483</v>
      </c>
      <c r="L309" s="3">
        <v>17.1</v>
      </c>
      <c r="M309" s="3">
        <v>17.96</v>
      </c>
      <c r="N309" s="3">
        <v>44.99</v>
      </c>
      <c r="O309" s="2" t="s">
        <v>203</v>
      </c>
      <c r="P309" s="2" t="s">
        <v>204</v>
      </c>
      <c r="Q309" s="2" t="s">
        <v>205</v>
      </c>
      <c r="R309" s="2" t="s">
        <v>206</v>
      </c>
      <c r="S309" s="2" t="s">
        <v>2327</v>
      </c>
      <c r="T309" s="2" t="s">
        <v>206</v>
      </c>
      <c r="U309" s="2" t="s">
        <v>437</v>
      </c>
      <c r="V309" s="2" t="s">
        <v>209</v>
      </c>
      <c r="W309" s="2" t="s">
        <v>539</v>
      </c>
      <c r="X309" s="2" t="s">
        <v>1722</v>
      </c>
      <c r="Y309" s="2" t="s">
        <v>2328</v>
      </c>
      <c r="Z309" s="4">
        <v>164</v>
      </c>
      <c r="AA309" s="4">
        <f>=ROUNDDOWN(20.5,0)</f>
      </c>
      <c r="AB309" s="5">
        <v>8</v>
      </c>
      <c r="AC309" s="2" t="s">
        <v>318</v>
      </c>
      <c r="AD309" s="4">
        <v>100</v>
      </c>
      <c r="AE309" s="4">
        <v>292</v>
      </c>
      <c r="AF309" s="6">
        <v>64</v>
      </c>
      <c r="AG309" s="6"/>
      <c r="AH309" s="7">
        <v>1</v>
      </c>
      <c r="AI309" s="4"/>
      <c r="AJ309" s="4">
        <f>=ROUNDDOWN({0},0)</f>
      </c>
      <c r="AK309" s="5"/>
      <c r="AL309" s="2" t="s">
        <v>206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206</v>
      </c>
      <c r="AW309" s="8" t="s">
        <v>206</v>
      </c>
      <c r="AX309" s="4" t="s">
        <v>206</v>
      </c>
      <c r="AY309" s="8" t="s">
        <v>206</v>
      </c>
      <c r="AZ309" s="7" t="s">
        <v>206</v>
      </c>
      <c r="BA309" s="7" t="s">
        <v>206</v>
      </c>
      <c r="BB309" s="7"/>
      <c r="BC309" s="4" t="s">
        <v>206</v>
      </c>
      <c r="BD309" s="8" t="s">
        <v>206</v>
      </c>
      <c r="BE309" s="4" t="s">
        <v>206</v>
      </c>
      <c r="BF309" s="8" t="s">
        <v>206</v>
      </c>
      <c r="BG309" s="7" t="s">
        <v>206</v>
      </c>
      <c r="BH309" s="7" t="s">
        <v>206</v>
      </c>
      <c r="BI309" s="7"/>
      <c r="BJ309" s="4">
        <v>11</v>
      </c>
      <c r="BK309" s="8">
        <v>174.77</v>
      </c>
      <c r="BL309" s="2" t="s">
        <v>1864</v>
      </c>
      <c r="BM309" s="7"/>
      <c r="BN309" s="7"/>
      <c r="BO309" s="4"/>
      <c r="BP309" s="8"/>
      <c r="BQ309" s="4"/>
      <c r="BR309" s="8"/>
      <c r="BS309" s="7"/>
      <c r="BT309" s="7"/>
      <c r="BU309" s="2" t="s">
        <v>2333</v>
      </c>
      <c r="BV309" s="2" t="s">
        <v>206</v>
      </c>
      <c r="BW309" s="2" t="s">
        <v>206</v>
      </c>
      <c r="BX309" s="2" t="s">
        <v>426</v>
      </c>
      <c r="BY309" s="2" t="s">
        <v>215</v>
      </c>
      <c r="BZ309" s="2" t="s">
        <v>203</v>
      </c>
      <c r="CA309" s="2" t="s">
        <v>2330</v>
      </c>
      <c r="CB309" s="2" t="s">
        <v>2334</v>
      </c>
      <c r="CC309" s="2" t="s">
        <v>218</v>
      </c>
      <c r="CD309" s="2" t="s">
        <v>206</v>
      </c>
      <c r="CE309" s="4">
        <v>164</v>
      </c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>
        <v>100</v>
      </c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4"/>
      <c r="GA309" s="4">
        <v>192</v>
      </c>
      <c r="GB309" s="4"/>
      <c r="GC309" s="4"/>
      <c r="GD309" s="4"/>
      <c r="GE309" s="4"/>
      <c r="GF309" s="4"/>
    </row>
    <row r="310">
      <c r="A310" s="2" t="s">
        <v>2335</v>
      </c>
      <c r="B310" s="2" t="s">
        <v>613</v>
      </c>
      <c r="C310" s="2" t="s">
        <v>287</v>
      </c>
      <c r="D310" s="2" t="s">
        <v>628</v>
      </c>
      <c r="E310" s="2" t="s">
        <v>629</v>
      </c>
      <c r="F310" s="2" t="s">
        <v>2323</v>
      </c>
      <c r="G310" s="2" t="s">
        <v>2324</v>
      </c>
      <c r="H310" s="2" t="s">
        <v>2325</v>
      </c>
      <c r="I310" s="2" t="s">
        <v>2326</v>
      </c>
      <c r="J310" s="2" t="s">
        <v>853</v>
      </c>
      <c r="K310" s="2" t="s">
        <v>483</v>
      </c>
      <c r="L310" s="3">
        <v>21</v>
      </c>
      <c r="M310" s="3">
        <v>22.05</v>
      </c>
      <c r="N310" s="3">
        <v>49.99</v>
      </c>
      <c r="O310" s="2" t="s">
        <v>203</v>
      </c>
      <c r="P310" s="2" t="s">
        <v>204</v>
      </c>
      <c r="Q310" s="2" t="s">
        <v>205</v>
      </c>
      <c r="R310" s="2" t="s">
        <v>206</v>
      </c>
      <c r="S310" s="2" t="s">
        <v>2327</v>
      </c>
      <c r="T310" s="2" t="s">
        <v>206</v>
      </c>
      <c r="U310" s="2" t="s">
        <v>437</v>
      </c>
      <c r="V310" s="2" t="s">
        <v>209</v>
      </c>
      <c r="W310" s="2" t="s">
        <v>539</v>
      </c>
      <c r="X310" s="2" t="s">
        <v>1722</v>
      </c>
      <c r="Y310" s="2" t="s">
        <v>2328</v>
      </c>
      <c r="Z310" s="4">
        <v>93</v>
      </c>
      <c r="AA310" s="4">
        <f>=ROUNDDOWN(18.6,0)</f>
      </c>
      <c r="AB310" s="5">
        <v>5</v>
      </c>
      <c r="AC310" s="2" t="s">
        <v>318</v>
      </c>
      <c r="AD310" s="4">
        <v>112</v>
      </c>
      <c r="AE310" s="4">
        <v>260</v>
      </c>
      <c r="AF310" s="6">
        <v>64</v>
      </c>
      <c r="AG310" s="6"/>
      <c r="AH310" s="7">
        <v>1</v>
      </c>
      <c r="AI310" s="4"/>
      <c r="AJ310" s="4">
        <f>=ROUNDDOWN({0},0)</f>
      </c>
      <c r="AK310" s="5"/>
      <c r="AL310" s="2" t="s">
        <v>206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206</v>
      </c>
      <c r="AW310" s="8" t="s">
        <v>206</v>
      </c>
      <c r="AX310" s="4" t="s">
        <v>206</v>
      </c>
      <c r="AY310" s="8" t="s">
        <v>206</v>
      </c>
      <c r="AZ310" s="7" t="s">
        <v>206</v>
      </c>
      <c r="BA310" s="7" t="s">
        <v>206</v>
      </c>
      <c r="BB310" s="7"/>
      <c r="BC310" s="4" t="s">
        <v>206</v>
      </c>
      <c r="BD310" s="8" t="s">
        <v>206</v>
      </c>
      <c r="BE310" s="4" t="s">
        <v>206</v>
      </c>
      <c r="BF310" s="8" t="s">
        <v>206</v>
      </c>
      <c r="BG310" s="7" t="s">
        <v>206</v>
      </c>
      <c r="BH310" s="7" t="s">
        <v>206</v>
      </c>
      <c r="BI310" s="7"/>
      <c r="BJ310" s="4">
        <v>10</v>
      </c>
      <c r="BK310" s="8">
        <v>189.96</v>
      </c>
      <c r="BL310" s="2" t="s">
        <v>1864</v>
      </c>
      <c r="BM310" s="7"/>
      <c r="BN310" s="7"/>
      <c r="BO310" s="4"/>
      <c r="BP310" s="8"/>
      <c r="BQ310" s="4"/>
      <c r="BR310" s="8"/>
      <c r="BS310" s="7"/>
      <c r="BT310" s="7"/>
      <c r="BU310" s="2" t="s">
        <v>2336</v>
      </c>
      <c r="BV310" s="2" t="s">
        <v>206</v>
      </c>
      <c r="BW310" s="2" t="s">
        <v>206</v>
      </c>
      <c r="BX310" s="2" t="s">
        <v>426</v>
      </c>
      <c r="BY310" s="2" t="s">
        <v>215</v>
      </c>
      <c r="BZ310" s="2" t="s">
        <v>203</v>
      </c>
      <c r="CA310" s="2" t="s">
        <v>2330</v>
      </c>
      <c r="CB310" s="2" t="s">
        <v>514</v>
      </c>
      <c r="CC310" s="2" t="s">
        <v>218</v>
      </c>
      <c r="CD310" s="2" t="s">
        <v>206</v>
      </c>
      <c r="CE310" s="4">
        <v>93</v>
      </c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>
        <v>112</v>
      </c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4"/>
      <c r="GA310" s="4">
        <v>148</v>
      </c>
      <c r="GB310" s="4"/>
      <c r="GC310" s="4"/>
      <c r="GD310" s="4"/>
      <c r="GE310" s="4"/>
      <c r="GF310" s="4"/>
    </row>
    <row r="311">
      <c r="A311" s="2" t="s">
        <v>2337</v>
      </c>
      <c r="B311" s="2" t="s">
        <v>613</v>
      </c>
      <c r="C311" s="2" t="s">
        <v>287</v>
      </c>
      <c r="D311" s="2" t="s">
        <v>628</v>
      </c>
      <c r="E311" s="2" t="s">
        <v>629</v>
      </c>
      <c r="F311" s="2" t="s">
        <v>2323</v>
      </c>
      <c r="G311" s="2" t="s">
        <v>2324</v>
      </c>
      <c r="H311" s="2" t="s">
        <v>2325</v>
      </c>
      <c r="I311" s="2" t="s">
        <v>2326</v>
      </c>
      <c r="J311" s="2" t="s">
        <v>2338</v>
      </c>
      <c r="K311" s="2" t="s">
        <v>483</v>
      </c>
      <c r="L311" s="3">
        <v>23.1</v>
      </c>
      <c r="M311" s="3">
        <v>24.26</v>
      </c>
      <c r="N311" s="3">
        <v>54.99</v>
      </c>
      <c r="O311" s="2" t="s">
        <v>203</v>
      </c>
      <c r="P311" s="2" t="s">
        <v>204</v>
      </c>
      <c r="Q311" s="2" t="s">
        <v>205</v>
      </c>
      <c r="R311" s="2" t="s">
        <v>206</v>
      </c>
      <c r="S311" s="2" t="s">
        <v>2327</v>
      </c>
      <c r="T311" s="2" t="s">
        <v>206</v>
      </c>
      <c r="U311" s="2" t="s">
        <v>437</v>
      </c>
      <c r="V311" s="2" t="s">
        <v>209</v>
      </c>
      <c r="W311" s="2" t="s">
        <v>539</v>
      </c>
      <c r="X311" s="2" t="s">
        <v>1722</v>
      </c>
      <c r="Y311" s="2" t="s">
        <v>2328</v>
      </c>
      <c r="Z311" s="4">
        <v>87</v>
      </c>
      <c r="AA311" s="4">
        <f>=ROUNDDOWN(43.5,0)</f>
      </c>
      <c r="AB311" s="5">
        <v>2</v>
      </c>
      <c r="AC311" s="2" t="s">
        <v>1555</v>
      </c>
      <c r="AD311" s="4">
        <v>68</v>
      </c>
      <c r="AE311" s="4">
        <v>68</v>
      </c>
      <c r="AF311" s="6">
        <v>64</v>
      </c>
      <c r="AG311" s="6"/>
      <c r="AH311" s="7">
        <v>1</v>
      </c>
      <c r="AI311" s="4"/>
      <c r="AJ311" s="4">
        <f>=ROUNDDOWN({0},0)</f>
      </c>
      <c r="AK311" s="5"/>
      <c r="AL311" s="2" t="s">
        <v>206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206</v>
      </c>
      <c r="AW311" s="8" t="s">
        <v>206</v>
      </c>
      <c r="AX311" s="4" t="s">
        <v>206</v>
      </c>
      <c r="AY311" s="8" t="s">
        <v>206</v>
      </c>
      <c r="AZ311" s="7" t="s">
        <v>206</v>
      </c>
      <c r="BA311" s="7" t="s">
        <v>206</v>
      </c>
      <c r="BB311" s="7"/>
      <c r="BC311" s="4" t="s">
        <v>206</v>
      </c>
      <c r="BD311" s="8" t="s">
        <v>206</v>
      </c>
      <c r="BE311" s="4" t="s">
        <v>206</v>
      </c>
      <c r="BF311" s="8" t="s">
        <v>206</v>
      </c>
      <c r="BG311" s="7" t="s">
        <v>206</v>
      </c>
      <c r="BH311" s="7" t="s">
        <v>206</v>
      </c>
      <c r="BI311" s="7"/>
      <c r="BJ311" s="4">
        <v>10</v>
      </c>
      <c r="BK311" s="8">
        <v>189.9</v>
      </c>
      <c r="BL311" s="2" t="s">
        <v>1417</v>
      </c>
      <c r="BM311" s="7"/>
      <c r="BN311" s="7"/>
      <c r="BO311" s="4"/>
      <c r="BP311" s="8"/>
      <c r="BQ311" s="4"/>
      <c r="BR311" s="8"/>
      <c r="BS311" s="7"/>
      <c r="BT311" s="7"/>
      <c r="BU311" s="2" t="s">
        <v>2339</v>
      </c>
      <c r="BV311" s="2" t="s">
        <v>206</v>
      </c>
      <c r="BW311" s="2" t="s">
        <v>206</v>
      </c>
      <c r="BX311" s="2" t="s">
        <v>426</v>
      </c>
      <c r="BY311" s="2" t="s">
        <v>215</v>
      </c>
      <c r="BZ311" s="2" t="s">
        <v>203</v>
      </c>
      <c r="CA311" s="2" t="s">
        <v>2330</v>
      </c>
      <c r="CB311" s="2" t="s">
        <v>2340</v>
      </c>
      <c r="CC311" s="2" t="s">
        <v>218</v>
      </c>
      <c r="CD311" s="2" t="s">
        <v>206</v>
      </c>
      <c r="CE311" s="4">
        <v>87</v>
      </c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4"/>
      <c r="GA311" s="4">
        <v>68</v>
      </c>
      <c r="GB311" s="4"/>
      <c r="GC311" s="4"/>
      <c r="GD311" s="4"/>
      <c r="GE311" s="4"/>
      <c r="GF311" s="4"/>
    </row>
    <row r="312">
      <c r="A312" s="2" t="s">
        <v>2341</v>
      </c>
      <c r="B312" s="2" t="s">
        <v>613</v>
      </c>
      <c r="C312" s="2" t="s">
        <v>287</v>
      </c>
      <c r="D312" s="2" t="s">
        <v>628</v>
      </c>
      <c r="E312" s="2" t="s">
        <v>629</v>
      </c>
      <c r="F312" s="2" t="s">
        <v>2323</v>
      </c>
      <c r="G312" s="2" t="s">
        <v>2324</v>
      </c>
      <c r="H312" s="2" t="s">
        <v>2325</v>
      </c>
      <c r="I312" s="2" t="s">
        <v>2342</v>
      </c>
      <c r="J312" s="2" t="s">
        <v>2343</v>
      </c>
      <c r="K312" s="2" t="s">
        <v>483</v>
      </c>
      <c r="L312" s="3">
        <v>18.4</v>
      </c>
      <c r="M312" s="3">
        <v>19.32</v>
      </c>
      <c r="N312" s="3">
        <v>39.99</v>
      </c>
      <c r="O312" s="2" t="s">
        <v>203</v>
      </c>
      <c r="P312" s="2" t="s">
        <v>204</v>
      </c>
      <c r="Q312" s="2" t="s">
        <v>205</v>
      </c>
      <c r="R312" s="2" t="s">
        <v>206</v>
      </c>
      <c r="S312" s="2" t="s">
        <v>2327</v>
      </c>
      <c r="T312" s="2" t="s">
        <v>206</v>
      </c>
      <c r="U312" s="2" t="s">
        <v>437</v>
      </c>
      <c r="V312" s="2" t="s">
        <v>209</v>
      </c>
      <c r="W312" s="2" t="s">
        <v>539</v>
      </c>
      <c r="X312" s="2" t="s">
        <v>1051</v>
      </c>
      <c r="Y312" s="2" t="s">
        <v>2328</v>
      </c>
      <c r="Z312" s="4">
        <v>103</v>
      </c>
      <c r="AA312" s="4">
        <f>=ROUNDDOWN(20.6,0)</f>
      </c>
      <c r="AB312" s="5">
        <v>5</v>
      </c>
      <c r="AC312" s="2" t="s">
        <v>318</v>
      </c>
      <c r="AD312" s="4">
        <v>72</v>
      </c>
      <c r="AE312" s="4">
        <v>212</v>
      </c>
      <c r="AF312" s="6">
        <v>64</v>
      </c>
      <c r="AG312" s="6"/>
      <c r="AH312" s="7">
        <v>1</v>
      </c>
      <c r="AI312" s="4"/>
      <c r="AJ312" s="4">
        <f>=ROUNDDOWN({0},0)</f>
      </c>
      <c r="AK312" s="5"/>
      <c r="AL312" s="2" t="s">
        <v>206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206</v>
      </c>
      <c r="AW312" s="8" t="s">
        <v>206</v>
      </c>
      <c r="AX312" s="4" t="s">
        <v>206</v>
      </c>
      <c r="AY312" s="8" t="s">
        <v>206</v>
      </c>
      <c r="AZ312" s="7" t="s">
        <v>206</v>
      </c>
      <c r="BA312" s="7" t="s">
        <v>206</v>
      </c>
      <c r="BB312" s="7"/>
      <c r="BC312" s="4" t="s">
        <v>206</v>
      </c>
      <c r="BD312" s="8" t="s">
        <v>206</v>
      </c>
      <c r="BE312" s="4" t="s">
        <v>206</v>
      </c>
      <c r="BF312" s="8" t="s">
        <v>206</v>
      </c>
      <c r="BG312" s="7" t="s">
        <v>206</v>
      </c>
      <c r="BH312" s="7" t="s">
        <v>206</v>
      </c>
      <c r="BI312" s="7"/>
      <c r="BJ312" s="4">
        <v>11</v>
      </c>
      <c r="BK312" s="8">
        <v>225.99</v>
      </c>
      <c r="BL312" s="2" t="s">
        <v>2344</v>
      </c>
      <c r="BM312" s="7"/>
      <c r="BN312" s="7"/>
      <c r="BO312" s="4"/>
      <c r="BP312" s="8"/>
      <c r="BQ312" s="4"/>
      <c r="BR312" s="8"/>
      <c r="BS312" s="7"/>
      <c r="BT312" s="7"/>
      <c r="BU312" s="2" t="s">
        <v>2345</v>
      </c>
      <c r="BV312" s="2" t="s">
        <v>206</v>
      </c>
      <c r="BW312" s="2" t="s">
        <v>206</v>
      </c>
      <c r="BX312" s="2" t="s">
        <v>426</v>
      </c>
      <c r="BY312" s="2" t="s">
        <v>215</v>
      </c>
      <c r="BZ312" s="2" t="s">
        <v>203</v>
      </c>
      <c r="CA312" s="2" t="s">
        <v>2330</v>
      </c>
      <c r="CB312" s="2" t="s">
        <v>2346</v>
      </c>
      <c r="CC312" s="2" t="s">
        <v>218</v>
      </c>
      <c r="CD312" s="2" t="s">
        <v>206</v>
      </c>
      <c r="CE312" s="4">
        <v>103</v>
      </c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>
        <v>72</v>
      </c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4"/>
      <c r="GA312" s="4">
        <v>140</v>
      </c>
      <c r="GB312" s="4"/>
      <c r="GC312" s="4"/>
      <c r="GD312" s="4"/>
      <c r="GE312" s="4"/>
      <c r="GF312" s="4"/>
    </row>
    <row r="313">
      <c r="A313" s="2" t="s">
        <v>2347</v>
      </c>
      <c r="B313" s="2" t="s">
        <v>613</v>
      </c>
      <c r="C313" s="2" t="s">
        <v>287</v>
      </c>
      <c r="D313" s="2" t="s">
        <v>628</v>
      </c>
      <c r="E313" s="2" t="s">
        <v>629</v>
      </c>
      <c r="F313" s="2" t="s">
        <v>2323</v>
      </c>
      <c r="G313" s="2" t="s">
        <v>2324</v>
      </c>
      <c r="H313" s="2" t="s">
        <v>2325</v>
      </c>
      <c r="I313" s="2" t="s">
        <v>2342</v>
      </c>
      <c r="J313" s="2" t="s">
        <v>2348</v>
      </c>
      <c r="K313" s="2" t="s">
        <v>483</v>
      </c>
      <c r="L313" s="3">
        <v>20.25</v>
      </c>
      <c r="M313" s="3">
        <v>21.26</v>
      </c>
      <c r="N313" s="3">
        <v>44.99</v>
      </c>
      <c r="O313" s="2" t="s">
        <v>203</v>
      </c>
      <c r="P313" s="2" t="s">
        <v>204</v>
      </c>
      <c r="Q313" s="2" t="s">
        <v>205</v>
      </c>
      <c r="R313" s="2" t="s">
        <v>206</v>
      </c>
      <c r="S313" s="2" t="s">
        <v>2327</v>
      </c>
      <c r="T313" s="2" t="s">
        <v>206</v>
      </c>
      <c r="U313" s="2" t="s">
        <v>437</v>
      </c>
      <c r="V313" s="2" t="s">
        <v>209</v>
      </c>
      <c r="W313" s="2" t="s">
        <v>539</v>
      </c>
      <c r="X313" s="2" t="s">
        <v>1051</v>
      </c>
      <c r="Y313" s="2" t="s">
        <v>2328</v>
      </c>
      <c r="Z313" s="4">
        <v>179</v>
      </c>
      <c r="AA313" s="4">
        <f>=ROUNDDOWN(35.8,0)</f>
      </c>
      <c r="AB313" s="5">
        <v>5</v>
      </c>
      <c r="AC313" s="2" t="s">
        <v>1555</v>
      </c>
      <c r="AD313" s="4">
        <v>48</v>
      </c>
      <c r="AE313" s="4">
        <v>48</v>
      </c>
      <c r="AF313" s="6">
        <v>64</v>
      </c>
      <c r="AG313" s="6"/>
      <c r="AH313" s="7">
        <v>1</v>
      </c>
      <c r="AI313" s="4"/>
      <c r="AJ313" s="4">
        <f>=ROUNDDOWN({0},0)</f>
      </c>
      <c r="AK313" s="5"/>
      <c r="AL313" s="2" t="s">
        <v>206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206</v>
      </c>
      <c r="AW313" s="8" t="s">
        <v>206</v>
      </c>
      <c r="AX313" s="4" t="s">
        <v>206</v>
      </c>
      <c r="AY313" s="8" t="s">
        <v>206</v>
      </c>
      <c r="AZ313" s="7" t="s">
        <v>206</v>
      </c>
      <c r="BA313" s="7" t="s">
        <v>206</v>
      </c>
      <c r="BB313" s="7"/>
      <c r="BC313" s="4" t="s">
        <v>206</v>
      </c>
      <c r="BD313" s="8" t="s">
        <v>206</v>
      </c>
      <c r="BE313" s="4" t="s">
        <v>206</v>
      </c>
      <c r="BF313" s="8" t="s">
        <v>206</v>
      </c>
      <c r="BG313" s="7" t="s">
        <v>206</v>
      </c>
      <c r="BH313" s="7" t="s">
        <v>206</v>
      </c>
      <c r="BI313" s="7"/>
      <c r="BJ313" s="4">
        <v>12</v>
      </c>
      <c r="BK313" s="8">
        <v>230.92</v>
      </c>
      <c r="BL313" s="2" t="s">
        <v>2349</v>
      </c>
      <c r="BM313" s="7"/>
      <c r="BN313" s="7"/>
      <c r="BO313" s="4"/>
      <c r="BP313" s="8"/>
      <c r="BQ313" s="4"/>
      <c r="BR313" s="8"/>
      <c r="BS313" s="7"/>
      <c r="BT313" s="7"/>
      <c r="BU313" s="2" t="s">
        <v>2350</v>
      </c>
      <c r="BV313" s="2" t="s">
        <v>206</v>
      </c>
      <c r="BW313" s="2" t="s">
        <v>206</v>
      </c>
      <c r="BX313" s="2" t="s">
        <v>426</v>
      </c>
      <c r="BY313" s="2" t="s">
        <v>215</v>
      </c>
      <c r="BZ313" s="2" t="s">
        <v>203</v>
      </c>
      <c r="CA313" s="2" t="s">
        <v>2330</v>
      </c>
      <c r="CB313" s="2" t="s">
        <v>206</v>
      </c>
      <c r="CC313" s="2" t="s">
        <v>218</v>
      </c>
      <c r="CD313" s="2" t="s">
        <v>206</v>
      </c>
      <c r="CE313" s="4">
        <v>179</v>
      </c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4"/>
      <c r="GA313" s="4">
        <v>48</v>
      </c>
      <c r="GB313" s="4"/>
      <c r="GC313" s="4"/>
      <c r="GD313" s="4"/>
      <c r="GE313" s="4"/>
      <c r="GF313" s="4"/>
    </row>
    <row r="314">
      <c r="A314" s="2" t="s">
        <v>2351</v>
      </c>
      <c r="B314" s="2" t="s">
        <v>613</v>
      </c>
      <c r="C314" s="2" t="s">
        <v>287</v>
      </c>
      <c r="D314" s="2" t="s">
        <v>628</v>
      </c>
      <c r="E314" s="2" t="s">
        <v>629</v>
      </c>
      <c r="F314" s="2" t="s">
        <v>2323</v>
      </c>
      <c r="G314" s="2" t="s">
        <v>2324</v>
      </c>
      <c r="H314" s="2" t="s">
        <v>2325</v>
      </c>
      <c r="I314" s="2" t="s">
        <v>2326</v>
      </c>
      <c r="J314" s="2" t="s">
        <v>853</v>
      </c>
      <c r="K314" s="2" t="s">
        <v>315</v>
      </c>
      <c r="L314" s="3">
        <v>21</v>
      </c>
      <c r="M314" s="3">
        <v>22.05</v>
      </c>
      <c r="N314" s="3">
        <v>49.99</v>
      </c>
      <c r="O314" s="2" t="s">
        <v>203</v>
      </c>
      <c r="P314" s="2" t="s">
        <v>204</v>
      </c>
      <c r="Q314" s="2" t="s">
        <v>205</v>
      </c>
      <c r="R314" s="2" t="s">
        <v>206</v>
      </c>
      <c r="S314" s="2" t="s">
        <v>2352</v>
      </c>
      <c r="T314" s="2" t="s">
        <v>206</v>
      </c>
      <c r="U314" s="2" t="s">
        <v>437</v>
      </c>
      <c r="V314" s="2" t="s">
        <v>209</v>
      </c>
      <c r="W314" s="2" t="s">
        <v>539</v>
      </c>
      <c r="X314" s="2" t="s">
        <v>1722</v>
      </c>
      <c r="Y314" s="2" t="s">
        <v>2353</v>
      </c>
      <c r="Z314" s="4">
        <v>152</v>
      </c>
      <c r="AA314" s="4">
        <f>=ROUNDDOWN(30.4,0)</f>
      </c>
      <c r="AB314" s="5">
        <v>5</v>
      </c>
      <c r="AC314" s="2" t="s">
        <v>1555</v>
      </c>
      <c r="AD314" s="4">
        <v>80</v>
      </c>
      <c r="AE314" s="4">
        <v>80</v>
      </c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206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206</v>
      </c>
      <c r="AW314" s="8" t="s">
        <v>206</v>
      </c>
      <c r="AX314" s="4" t="s">
        <v>206</v>
      </c>
      <c r="AY314" s="8" t="s">
        <v>206</v>
      </c>
      <c r="AZ314" s="7" t="s">
        <v>206</v>
      </c>
      <c r="BA314" s="7" t="s">
        <v>206</v>
      </c>
      <c r="BB314" s="7"/>
      <c r="BC314" s="4" t="s">
        <v>206</v>
      </c>
      <c r="BD314" s="8" t="s">
        <v>206</v>
      </c>
      <c r="BE314" s="4" t="s">
        <v>206</v>
      </c>
      <c r="BF314" s="8" t="s">
        <v>206</v>
      </c>
      <c r="BG314" s="7" t="s">
        <v>206</v>
      </c>
      <c r="BH314" s="7" t="s">
        <v>206</v>
      </c>
      <c r="BI314" s="7"/>
      <c r="BJ314" s="4">
        <v>12</v>
      </c>
      <c r="BK314" s="8">
        <v>343.02</v>
      </c>
      <c r="BL314" s="2" t="s">
        <v>2354</v>
      </c>
      <c r="BM314" s="7"/>
      <c r="BN314" s="7"/>
      <c r="BO314" s="4"/>
      <c r="BP314" s="8"/>
      <c r="BQ314" s="4"/>
      <c r="BR314" s="8"/>
      <c r="BS314" s="7"/>
      <c r="BT314" s="7"/>
      <c r="BU314" s="2" t="s">
        <v>2355</v>
      </c>
      <c r="BV314" s="2" t="s">
        <v>206</v>
      </c>
      <c r="BW314" s="2" t="s">
        <v>206</v>
      </c>
      <c r="BX314" s="2" t="s">
        <v>426</v>
      </c>
      <c r="BY314" s="2" t="s">
        <v>215</v>
      </c>
      <c r="BZ314" s="2" t="s">
        <v>203</v>
      </c>
      <c r="CA314" s="2" t="s">
        <v>2356</v>
      </c>
      <c r="CB314" s="2" t="s">
        <v>2357</v>
      </c>
      <c r="CC314" s="2" t="s">
        <v>218</v>
      </c>
      <c r="CD314" s="2" t="s">
        <v>206</v>
      </c>
      <c r="CE314" s="4">
        <v>152</v>
      </c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4"/>
      <c r="GA314" s="4">
        <v>80</v>
      </c>
      <c r="GB314" s="4"/>
      <c r="GC314" s="4"/>
      <c r="GD314" s="4"/>
      <c r="GE314" s="4"/>
      <c r="GF314" s="4"/>
    </row>
    <row r="315">
      <c r="A315" s="2" t="s">
        <v>2358</v>
      </c>
      <c r="B315" s="2" t="s">
        <v>613</v>
      </c>
      <c r="C315" s="2" t="s">
        <v>287</v>
      </c>
      <c r="D315" s="2" t="s">
        <v>628</v>
      </c>
      <c r="E315" s="2" t="s">
        <v>629</v>
      </c>
      <c r="F315" s="2" t="s">
        <v>2323</v>
      </c>
      <c r="G315" s="2" t="s">
        <v>2324</v>
      </c>
      <c r="H315" s="2" t="s">
        <v>2325</v>
      </c>
      <c r="I315" s="2" t="s">
        <v>2326</v>
      </c>
      <c r="J315" s="2" t="s">
        <v>2338</v>
      </c>
      <c r="K315" s="2" t="s">
        <v>315</v>
      </c>
      <c r="L315" s="3">
        <v>23.1</v>
      </c>
      <c r="M315" s="3">
        <v>24.26</v>
      </c>
      <c r="N315" s="3">
        <v>54.99</v>
      </c>
      <c r="O315" s="2" t="s">
        <v>203</v>
      </c>
      <c r="P315" s="2" t="s">
        <v>204</v>
      </c>
      <c r="Q315" s="2" t="s">
        <v>205</v>
      </c>
      <c r="R315" s="2" t="s">
        <v>206</v>
      </c>
      <c r="S315" s="2" t="s">
        <v>2352</v>
      </c>
      <c r="T315" s="2" t="s">
        <v>206</v>
      </c>
      <c r="U315" s="2" t="s">
        <v>437</v>
      </c>
      <c r="V315" s="2" t="s">
        <v>209</v>
      </c>
      <c r="W315" s="2" t="s">
        <v>539</v>
      </c>
      <c r="X315" s="2" t="s">
        <v>1722</v>
      </c>
      <c r="Y315" s="2" t="s">
        <v>2353</v>
      </c>
      <c r="Z315" s="4">
        <v>104</v>
      </c>
      <c r="AA315" s="4">
        <f>=ROUNDDOWN(34.6666666666667,0)</f>
      </c>
      <c r="AB315" s="5">
        <v>3</v>
      </c>
      <c r="AC315" s="2" t="s">
        <v>206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206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206</v>
      </c>
      <c r="AW315" s="8" t="s">
        <v>206</v>
      </c>
      <c r="AX315" s="4" t="s">
        <v>206</v>
      </c>
      <c r="AY315" s="8" t="s">
        <v>206</v>
      </c>
      <c r="AZ315" s="7" t="s">
        <v>206</v>
      </c>
      <c r="BA315" s="7" t="s">
        <v>206</v>
      </c>
      <c r="BB315" s="7"/>
      <c r="BC315" s="4" t="s">
        <v>206</v>
      </c>
      <c r="BD315" s="8" t="s">
        <v>206</v>
      </c>
      <c r="BE315" s="4" t="s">
        <v>206</v>
      </c>
      <c r="BF315" s="8" t="s">
        <v>206</v>
      </c>
      <c r="BG315" s="7" t="s">
        <v>206</v>
      </c>
      <c r="BH315" s="7" t="s">
        <v>206</v>
      </c>
      <c r="BI315" s="7"/>
      <c r="BJ315" s="4">
        <v>22</v>
      </c>
      <c r="BK315" s="8">
        <v>527.68</v>
      </c>
      <c r="BL315" s="2" t="s">
        <v>2359</v>
      </c>
      <c r="BM315" s="7"/>
      <c r="BN315" s="7"/>
      <c r="BO315" s="4"/>
      <c r="BP315" s="8"/>
      <c r="BQ315" s="4"/>
      <c r="BR315" s="8"/>
      <c r="BS315" s="7"/>
      <c r="BT315" s="7"/>
      <c r="BU315" s="2" t="s">
        <v>2360</v>
      </c>
      <c r="BV315" s="2" t="s">
        <v>206</v>
      </c>
      <c r="BW315" s="2" t="s">
        <v>206</v>
      </c>
      <c r="BX315" s="2" t="s">
        <v>426</v>
      </c>
      <c r="BY315" s="2" t="s">
        <v>215</v>
      </c>
      <c r="BZ315" s="2" t="s">
        <v>203</v>
      </c>
      <c r="CA315" s="2" t="s">
        <v>2361</v>
      </c>
      <c r="CB315" s="2" t="s">
        <v>1119</v>
      </c>
      <c r="CC315" s="2" t="s">
        <v>218</v>
      </c>
      <c r="CD315" s="2" t="s">
        <v>206</v>
      </c>
      <c r="CE315" s="4">
        <v>104</v>
      </c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4"/>
      <c r="GA315" s="4"/>
      <c r="GB315" s="4"/>
      <c r="GC315" s="4"/>
      <c r="GD315" s="4"/>
      <c r="GE315" s="4"/>
      <c r="GF315" s="4"/>
    </row>
    <row r="316">
      <c r="A316" s="2" t="s">
        <v>2362</v>
      </c>
      <c r="B316" s="2" t="s">
        <v>613</v>
      </c>
      <c r="C316" s="2" t="s">
        <v>287</v>
      </c>
      <c r="D316" s="2" t="s">
        <v>614</v>
      </c>
      <c r="E316" s="2" t="s">
        <v>615</v>
      </c>
      <c r="F316" s="2" t="s">
        <v>2323</v>
      </c>
      <c r="G316" s="2" t="s">
        <v>2324</v>
      </c>
      <c r="H316" s="2" t="s">
        <v>2325</v>
      </c>
      <c r="I316" s="2" t="s">
        <v>2363</v>
      </c>
      <c r="J316" s="2" t="s">
        <v>2364</v>
      </c>
      <c r="K316" s="2" t="s">
        <v>315</v>
      </c>
      <c r="L316" s="3">
        <v>12.6</v>
      </c>
      <c r="M316" s="3">
        <v>13.23</v>
      </c>
      <c r="N316" s="3">
        <v>29.99</v>
      </c>
      <c r="O316" s="2" t="s">
        <v>203</v>
      </c>
      <c r="P316" s="2" t="s">
        <v>204</v>
      </c>
      <c r="Q316" s="2" t="s">
        <v>205</v>
      </c>
      <c r="R316" s="2" t="s">
        <v>206</v>
      </c>
      <c r="S316" s="2" t="s">
        <v>2352</v>
      </c>
      <c r="T316" s="2" t="s">
        <v>206</v>
      </c>
      <c r="U316" s="2" t="s">
        <v>437</v>
      </c>
      <c r="V316" s="2" t="s">
        <v>209</v>
      </c>
      <c r="W316" s="2" t="s">
        <v>539</v>
      </c>
      <c r="X316" s="2" t="s">
        <v>206</v>
      </c>
      <c r="Y316" s="2" t="s">
        <v>2353</v>
      </c>
      <c r="Z316" s="4">
        <v>218</v>
      </c>
      <c r="AA316" s="4">
        <f>=ROUNDDOWN(31.1428571428571,0)</f>
      </c>
      <c r="AB316" s="5">
        <v>7</v>
      </c>
      <c r="AC316" s="2" t="s">
        <v>1620</v>
      </c>
      <c r="AD316" s="4">
        <v>1080</v>
      </c>
      <c r="AE316" s="4">
        <v>1188</v>
      </c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206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206</v>
      </c>
      <c r="AW316" s="8" t="s">
        <v>206</v>
      </c>
      <c r="AX316" s="4" t="s">
        <v>206</v>
      </c>
      <c r="AY316" s="8" t="s">
        <v>206</v>
      </c>
      <c r="AZ316" s="7" t="s">
        <v>206</v>
      </c>
      <c r="BA316" s="7" t="s">
        <v>206</v>
      </c>
      <c r="BB316" s="7"/>
      <c r="BC316" s="4" t="s">
        <v>206</v>
      </c>
      <c r="BD316" s="8" t="s">
        <v>206</v>
      </c>
      <c r="BE316" s="4" t="s">
        <v>206</v>
      </c>
      <c r="BF316" s="8" t="s">
        <v>206</v>
      </c>
      <c r="BG316" s="7" t="s">
        <v>206</v>
      </c>
      <c r="BH316" s="7" t="s">
        <v>206</v>
      </c>
      <c r="BI316" s="7"/>
      <c r="BJ316" s="4">
        <v>17</v>
      </c>
      <c r="BK316" s="8">
        <v>309.45</v>
      </c>
      <c r="BL316" s="2" t="s">
        <v>1068</v>
      </c>
      <c r="BM316" s="7"/>
      <c r="BN316" s="7"/>
      <c r="BO316" s="4"/>
      <c r="BP316" s="8"/>
      <c r="BQ316" s="4"/>
      <c r="BR316" s="8"/>
      <c r="BS316" s="7"/>
      <c r="BT316" s="7"/>
      <c r="BU316" s="2" t="s">
        <v>2365</v>
      </c>
      <c r="BV316" s="2" t="s">
        <v>206</v>
      </c>
      <c r="BW316" s="2" t="s">
        <v>206</v>
      </c>
      <c r="BX316" s="2" t="s">
        <v>214</v>
      </c>
      <c r="BY316" s="2" t="s">
        <v>215</v>
      </c>
      <c r="BZ316" s="2" t="s">
        <v>203</v>
      </c>
      <c r="CA316" s="2" t="s">
        <v>1062</v>
      </c>
      <c r="CB316" s="2" t="s">
        <v>2366</v>
      </c>
      <c r="CC316" s="2" t="s">
        <v>218</v>
      </c>
      <c r="CD316" s="2" t="s">
        <v>206</v>
      </c>
      <c r="CE316" s="4">
        <v>98</v>
      </c>
      <c r="CF316" s="4"/>
      <c r="CG316" s="4"/>
      <c r="CH316" s="4"/>
      <c r="CI316" s="4"/>
      <c r="CJ316" s="4"/>
      <c r="CK316" s="4">
        <v>120</v>
      </c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>
        <v>1080</v>
      </c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4"/>
      <c r="GA316" s="4">
        <v>108</v>
      </c>
      <c r="GB316" s="4"/>
      <c r="GC316" s="4"/>
      <c r="GD316" s="4"/>
      <c r="GE316" s="4"/>
      <c r="GF316" s="4"/>
    </row>
    <row r="317">
      <c r="A317" s="2" t="s">
        <v>2367</v>
      </c>
      <c r="B317" s="2" t="s">
        <v>613</v>
      </c>
      <c r="C317" s="2" t="s">
        <v>287</v>
      </c>
      <c r="D317" s="2" t="s">
        <v>628</v>
      </c>
      <c r="E317" s="2" t="s">
        <v>629</v>
      </c>
      <c r="F317" s="2" t="s">
        <v>2323</v>
      </c>
      <c r="G317" s="2" t="s">
        <v>2324</v>
      </c>
      <c r="H317" s="2" t="s">
        <v>2325</v>
      </c>
      <c r="I317" s="2" t="s">
        <v>2326</v>
      </c>
      <c r="J317" s="2" t="s">
        <v>853</v>
      </c>
      <c r="K317" s="2" t="s">
        <v>2368</v>
      </c>
      <c r="L317" s="3">
        <v>21</v>
      </c>
      <c r="M317" s="3">
        <v>22.05</v>
      </c>
      <c r="N317" s="3">
        <v>49.99</v>
      </c>
      <c r="O317" s="2" t="s">
        <v>203</v>
      </c>
      <c r="P317" s="2" t="s">
        <v>204</v>
      </c>
      <c r="Q317" s="2" t="s">
        <v>205</v>
      </c>
      <c r="R317" s="2" t="s">
        <v>206</v>
      </c>
      <c r="S317" s="2" t="s">
        <v>2369</v>
      </c>
      <c r="T317" s="2" t="s">
        <v>206</v>
      </c>
      <c r="U317" s="2" t="s">
        <v>437</v>
      </c>
      <c r="V317" s="2" t="s">
        <v>209</v>
      </c>
      <c r="W317" s="2" t="s">
        <v>539</v>
      </c>
      <c r="X317" s="2" t="s">
        <v>1722</v>
      </c>
      <c r="Y317" s="2" t="s">
        <v>211</v>
      </c>
      <c r="Z317" s="4">
        <v>169</v>
      </c>
      <c r="AA317" s="4">
        <f>=ROUNDDOWN(21.125,0)</f>
      </c>
      <c r="AB317" s="5">
        <v>8</v>
      </c>
      <c r="AC317" s="2" t="s">
        <v>903</v>
      </c>
      <c r="AD317" s="4">
        <v>100</v>
      </c>
      <c r="AE317" s="4">
        <v>100</v>
      </c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206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206</v>
      </c>
      <c r="AW317" s="8" t="s">
        <v>206</v>
      </c>
      <c r="AX317" s="4" t="s">
        <v>206</v>
      </c>
      <c r="AY317" s="8" t="s">
        <v>206</v>
      </c>
      <c r="AZ317" s="7" t="s">
        <v>206</v>
      </c>
      <c r="BA317" s="7" t="s">
        <v>206</v>
      </c>
      <c r="BB317" s="7"/>
      <c r="BC317" s="4" t="s">
        <v>206</v>
      </c>
      <c r="BD317" s="8" t="s">
        <v>206</v>
      </c>
      <c r="BE317" s="4" t="s">
        <v>206</v>
      </c>
      <c r="BF317" s="8" t="s">
        <v>206</v>
      </c>
      <c r="BG317" s="7" t="s">
        <v>206</v>
      </c>
      <c r="BH317" s="7" t="s">
        <v>206</v>
      </c>
      <c r="BI317" s="7"/>
      <c r="BJ317" s="4">
        <v>24</v>
      </c>
      <c r="BK317" s="8">
        <v>502.39</v>
      </c>
      <c r="BL317" s="2" t="s">
        <v>2370</v>
      </c>
      <c r="BM317" s="7"/>
      <c r="BN317" s="7"/>
      <c r="BO317" s="4"/>
      <c r="BP317" s="8"/>
      <c r="BQ317" s="4"/>
      <c r="BR317" s="8"/>
      <c r="BS317" s="7"/>
      <c r="BT317" s="7"/>
      <c r="BU317" s="2" t="s">
        <v>2371</v>
      </c>
      <c r="BV317" s="2" t="s">
        <v>206</v>
      </c>
      <c r="BW317" s="2" t="s">
        <v>206</v>
      </c>
      <c r="BX317" s="2" t="s">
        <v>426</v>
      </c>
      <c r="BY317" s="2" t="s">
        <v>215</v>
      </c>
      <c r="BZ317" s="2" t="s">
        <v>203</v>
      </c>
      <c r="CA317" s="2" t="s">
        <v>216</v>
      </c>
      <c r="CB317" s="2" t="s">
        <v>2372</v>
      </c>
      <c r="CC317" s="2" t="s">
        <v>218</v>
      </c>
      <c r="CD317" s="2" t="s">
        <v>206</v>
      </c>
      <c r="CE317" s="4">
        <v>169</v>
      </c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>
        <v>100</v>
      </c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4"/>
      <c r="GA317" s="4"/>
      <c r="GB317" s="4"/>
      <c r="GC317" s="4"/>
      <c r="GD317" s="4"/>
      <c r="GE317" s="4"/>
      <c r="GF317" s="4"/>
    </row>
    <row r="318">
      <c r="A318" s="2" t="s">
        <v>2373</v>
      </c>
      <c r="B318" s="2" t="s">
        <v>613</v>
      </c>
      <c r="C318" s="2" t="s">
        <v>287</v>
      </c>
      <c r="D318" s="2" t="s">
        <v>628</v>
      </c>
      <c r="E318" s="2" t="s">
        <v>629</v>
      </c>
      <c r="F318" s="2" t="s">
        <v>2323</v>
      </c>
      <c r="G318" s="2" t="s">
        <v>2324</v>
      </c>
      <c r="H318" s="2" t="s">
        <v>2325</v>
      </c>
      <c r="I318" s="2" t="s">
        <v>2326</v>
      </c>
      <c r="J318" s="2" t="s">
        <v>2338</v>
      </c>
      <c r="K318" s="2" t="s">
        <v>2368</v>
      </c>
      <c r="L318" s="3">
        <v>23.1</v>
      </c>
      <c r="M318" s="3">
        <v>24.26</v>
      </c>
      <c r="N318" s="3">
        <v>54.99</v>
      </c>
      <c r="O318" s="2" t="s">
        <v>203</v>
      </c>
      <c r="P318" s="2" t="s">
        <v>204</v>
      </c>
      <c r="Q318" s="2" t="s">
        <v>205</v>
      </c>
      <c r="R318" s="2" t="s">
        <v>206</v>
      </c>
      <c r="S318" s="2" t="s">
        <v>2369</v>
      </c>
      <c r="T318" s="2" t="s">
        <v>206</v>
      </c>
      <c r="U318" s="2" t="s">
        <v>437</v>
      </c>
      <c r="V318" s="2" t="s">
        <v>209</v>
      </c>
      <c r="W318" s="2" t="s">
        <v>539</v>
      </c>
      <c r="X318" s="2" t="s">
        <v>1722</v>
      </c>
      <c r="Y318" s="2" t="s">
        <v>211</v>
      </c>
      <c r="Z318" s="4">
        <v>135</v>
      </c>
      <c r="AA318" s="4">
        <f>=ROUNDDOWN(45,0)</f>
      </c>
      <c r="AB318" s="5"/>
      <c r="AC318" s="2" t="s">
        <v>903</v>
      </c>
      <c r="AD318" s="4">
        <v>54</v>
      </c>
      <c r="AE318" s="4">
        <v>54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206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206</v>
      </c>
      <c r="AW318" s="8" t="s">
        <v>206</v>
      </c>
      <c r="AX318" s="4" t="s">
        <v>206</v>
      </c>
      <c r="AY318" s="8" t="s">
        <v>206</v>
      </c>
      <c r="AZ318" s="7" t="s">
        <v>206</v>
      </c>
      <c r="BA318" s="7" t="s">
        <v>206</v>
      </c>
      <c r="BB318" s="7"/>
      <c r="BC318" s="4" t="s">
        <v>206</v>
      </c>
      <c r="BD318" s="8" t="s">
        <v>206</v>
      </c>
      <c r="BE318" s="4" t="s">
        <v>206</v>
      </c>
      <c r="BF318" s="8" t="s">
        <v>206</v>
      </c>
      <c r="BG318" s="7" t="s">
        <v>206</v>
      </c>
      <c r="BH318" s="7" t="s">
        <v>206</v>
      </c>
      <c r="BI318" s="7"/>
      <c r="BJ318" s="4">
        <v>3</v>
      </c>
      <c r="BK318" s="8">
        <v>117.09</v>
      </c>
      <c r="BL318" s="2" t="s">
        <v>2374</v>
      </c>
      <c r="BM318" s="7"/>
      <c r="BN318" s="7"/>
      <c r="BO318" s="4"/>
      <c r="BP318" s="8"/>
      <c r="BQ318" s="4"/>
      <c r="BR318" s="8"/>
      <c r="BS318" s="7"/>
      <c r="BT318" s="7"/>
      <c r="BU318" s="2" t="s">
        <v>2375</v>
      </c>
      <c r="BV318" s="2" t="s">
        <v>206</v>
      </c>
      <c r="BW318" s="2" t="s">
        <v>206</v>
      </c>
      <c r="BX318" s="2" t="s">
        <v>426</v>
      </c>
      <c r="BY318" s="2" t="s">
        <v>215</v>
      </c>
      <c r="BZ318" s="2" t="s">
        <v>203</v>
      </c>
      <c r="CA318" s="2" t="s">
        <v>938</v>
      </c>
      <c r="CB318" s="2" t="s">
        <v>2151</v>
      </c>
      <c r="CC318" s="2" t="s">
        <v>218</v>
      </c>
      <c r="CD318" s="2" t="s">
        <v>206</v>
      </c>
      <c r="CE318" s="4">
        <v>135</v>
      </c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>
        <v>54</v>
      </c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4"/>
      <c r="GA318" s="4"/>
      <c r="GB318" s="4"/>
      <c r="GC318" s="4"/>
      <c r="GD318" s="4"/>
      <c r="GE318" s="4"/>
      <c r="GF318" s="4"/>
    </row>
    <row r="319">
      <c r="A319" s="2" t="s">
        <v>2376</v>
      </c>
      <c r="B319" s="2" t="s">
        <v>613</v>
      </c>
      <c r="C319" s="2" t="s">
        <v>287</v>
      </c>
      <c r="D319" s="2" t="s">
        <v>614</v>
      </c>
      <c r="E319" s="2" t="s">
        <v>615</v>
      </c>
      <c r="F319" s="2" t="s">
        <v>2323</v>
      </c>
      <c r="G319" s="2" t="s">
        <v>2324</v>
      </c>
      <c r="H319" s="2" t="s">
        <v>2325</v>
      </c>
      <c r="I319" s="2" t="s">
        <v>2363</v>
      </c>
      <c r="J319" s="2" t="s">
        <v>2364</v>
      </c>
      <c r="K319" s="2" t="s">
        <v>2368</v>
      </c>
      <c r="L319" s="3">
        <v>12.6</v>
      </c>
      <c r="M319" s="3">
        <v>13.23</v>
      </c>
      <c r="N319" s="3">
        <v>29.99</v>
      </c>
      <c r="O319" s="2" t="s">
        <v>203</v>
      </c>
      <c r="P319" s="2" t="s">
        <v>204</v>
      </c>
      <c r="Q319" s="2" t="s">
        <v>205</v>
      </c>
      <c r="R319" s="2" t="s">
        <v>206</v>
      </c>
      <c r="S319" s="2" t="s">
        <v>2369</v>
      </c>
      <c r="T319" s="2" t="s">
        <v>206</v>
      </c>
      <c r="U319" s="2" t="s">
        <v>206</v>
      </c>
      <c r="V319" s="2" t="s">
        <v>209</v>
      </c>
      <c r="W319" s="2" t="s">
        <v>539</v>
      </c>
      <c r="X319" s="2" t="s">
        <v>206</v>
      </c>
      <c r="Y319" s="2" t="s">
        <v>2377</v>
      </c>
      <c r="Z319" s="4">
        <v>476</v>
      </c>
      <c r="AA319" s="4">
        <f>=ROUNDDOWN(39.6666666666667,0)</f>
      </c>
      <c r="AB319" s="5">
        <v>12</v>
      </c>
      <c r="AC319" s="2" t="s">
        <v>206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206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206</v>
      </c>
      <c r="AW319" s="8" t="s">
        <v>206</v>
      </c>
      <c r="AX319" s="4" t="s">
        <v>206</v>
      </c>
      <c r="AY319" s="8" t="s">
        <v>206</v>
      </c>
      <c r="AZ319" s="7" t="s">
        <v>206</v>
      </c>
      <c r="BA319" s="7" t="s">
        <v>206</v>
      </c>
      <c r="BB319" s="7"/>
      <c r="BC319" s="4" t="s">
        <v>206</v>
      </c>
      <c r="BD319" s="8" t="s">
        <v>206</v>
      </c>
      <c r="BE319" s="4" t="s">
        <v>206</v>
      </c>
      <c r="BF319" s="8" t="s">
        <v>206</v>
      </c>
      <c r="BG319" s="7" t="s">
        <v>206</v>
      </c>
      <c r="BH319" s="7" t="s">
        <v>206</v>
      </c>
      <c r="BI319" s="7"/>
      <c r="BJ319" s="4">
        <v>46</v>
      </c>
      <c r="BK319" s="8">
        <v>632.34</v>
      </c>
      <c r="BL319" s="2" t="s">
        <v>2378</v>
      </c>
      <c r="BM319" s="7"/>
      <c r="BN319" s="7"/>
      <c r="BO319" s="4"/>
      <c r="BP319" s="8"/>
      <c r="BQ319" s="4"/>
      <c r="BR319" s="8"/>
      <c r="BS319" s="7"/>
      <c r="BT319" s="7"/>
      <c r="BU319" s="2" t="s">
        <v>2379</v>
      </c>
      <c r="BV319" s="2" t="s">
        <v>206</v>
      </c>
      <c r="BW319" s="2" t="s">
        <v>206</v>
      </c>
      <c r="BX319" s="2" t="s">
        <v>214</v>
      </c>
      <c r="BY319" s="2" t="s">
        <v>215</v>
      </c>
      <c r="BZ319" s="2" t="s">
        <v>203</v>
      </c>
      <c r="CA319" s="2" t="s">
        <v>753</v>
      </c>
      <c r="CB319" s="2" t="s">
        <v>326</v>
      </c>
      <c r="CC319" s="2" t="s">
        <v>218</v>
      </c>
      <c r="CD319" s="2" t="s">
        <v>206</v>
      </c>
      <c r="CE319" s="4">
        <v>476</v>
      </c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4"/>
      <c r="GA319" s="4"/>
      <c r="GB319" s="4"/>
      <c r="GC319" s="4"/>
      <c r="GD319" s="4"/>
      <c r="GE319" s="4"/>
      <c r="GF319" s="4"/>
    </row>
    <row r="320">
      <c r="A320" s="2" t="s">
        <v>2380</v>
      </c>
      <c r="B320" s="2" t="s">
        <v>613</v>
      </c>
      <c r="C320" s="2" t="s">
        <v>287</v>
      </c>
      <c r="D320" s="2" t="s">
        <v>628</v>
      </c>
      <c r="E320" s="2" t="s">
        <v>629</v>
      </c>
      <c r="F320" s="2" t="s">
        <v>2323</v>
      </c>
      <c r="G320" s="2" t="s">
        <v>2324</v>
      </c>
      <c r="H320" s="2" t="s">
        <v>2325</v>
      </c>
      <c r="I320" s="2" t="s">
        <v>2326</v>
      </c>
      <c r="J320" s="2" t="s">
        <v>2338</v>
      </c>
      <c r="K320" s="2" t="s">
        <v>945</v>
      </c>
      <c r="L320" s="3">
        <v>23.1</v>
      </c>
      <c r="M320" s="3">
        <v>24.26</v>
      </c>
      <c r="N320" s="3">
        <v>54.99</v>
      </c>
      <c r="O320" s="2" t="s">
        <v>203</v>
      </c>
      <c r="P320" s="2" t="s">
        <v>492</v>
      </c>
      <c r="Q320" s="2" t="s">
        <v>205</v>
      </c>
      <c r="R320" s="2" t="s">
        <v>206</v>
      </c>
      <c r="S320" s="2" t="s">
        <v>2381</v>
      </c>
      <c r="T320" s="2" t="s">
        <v>206</v>
      </c>
      <c r="U320" s="2" t="s">
        <v>437</v>
      </c>
      <c r="V320" s="2" t="s">
        <v>209</v>
      </c>
      <c r="W320" s="2" t="s">
        <v>539</v>
      </c>
      <c r="X320" s="2" t="s">
        <v>1722</v>
      </c>
      <c r="Y320" s="2" t="s">
        <v>211</v>
      </c>
      <c r="Z320" s="4">
        <v>182</v>
      </c>
      <c r="AA320" s="4">
        <f>=ROUNDDOWN(22.75,0)</f>
      </c>
      <c r="AB320" s="5">
        <v>8</v>
      </c>
      <c r="AC320" s="2" t="s">
        <v>969</v>
      </c>
      <c r="AD320" s="4">
        <v>40</v>
      </c>
      <c r="AE320" s="4">
        <v>40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206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206</v>
      </c>
      <c r="AW320" s="8" t="s">
        <v>206</v>
      </c>
      <c r="AX320" s="4" t="s">
        <v>206</v>
      </c>
      <c r="AY320" s="8" t="s">
        <v>206</v>
      </c>
      <c r="AZ320" s="7" t="s">
        <v>206</v>
      </c>
      <c r="BA320" s="7" t="s">
        <v>206</v>
      </c>
      <c r="BB320" s="7"/>
      <c r="BC320" s="4" t="s">
        <v>206</v>
      </c>
      <c r="BD320" s="8" t="s">
        <v>206</v>
      </c>
      <c r="BE320" s="4" t="s">
        <v>206</v>
      </c>
      <c r="BF320" s="8" t="s">
        <v>206</v>
      </c>
      <c r="BG320" s="7" t="s">
        <v>206</v>
      </c>
      <c r="BH320" s="7" t="s">
        <v>206</v>
      </c>
      <c r="BI320" s="7"/>
      <c r="BJ320" s="4">
        <v>40</v>
      </c>
      <c r="BK320" s="8">
        <v>997.32</v>
      </c>
      <c r="BL320" s="2" t="s">
        <v>2382</v>
      </c>
      <c r="BM320" s="7"/>
      <c r="BN320" s="7"/>
      <c r="BO320" s="4"/>
      <c r="BP320" s="8"/>
      <c r="BQ320" s="4"/>
      <c r="BR320" s="8"/>
      <c r="BS320" s="7"/>
      <c r="BT320" s="7"/>
      <c r="BU320" s="2" t="s">
        <v>2383</v>
      </c>
      <c r="BV320" s="2" t="s">
        <v>206</v>
      </c>
      <c r="BW320" s="2" t="s">
        <v>206</v>
      </c>
      <c r="BX320" s="2" t="s">
        <v>426</v>
      </c>
      <c r="BY320" s="2" t="s">
        <v>215</v>
      </c>
      <c r="BZ320" s="2" t="s">
        <v>203</v>
      </c>
      <c r="CA320" s="2" t="s">
        <v>938</v>
      </c>
      <c r="CB320" s="2" t="s">
        <v>2384</v>
      </c>
      <c r="CC320" s="2" t="s">
        <v>218</v>
      </c>
      <c r="CD320" s="2" t="s">
        <v>206</v>
      </c>
      <c r="CE320" s="4">
        <v>182</v>
      </c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>
        <v>40</v>
      </c>
      <c r="FS320" s="4"/>
      <c r="FT320" s="4"/>
      <c r="FU320" s="4"/>
      <c r="FV320" s="4"/>
      <c r="FW320" s="4"/>
      <c r="FX320" s="4"/>
      <c r="FY320" s="4"/>
      <c r="FZ320" s="4"/>
      <c r="GA320" s="4"/>
      <c r="GB320" s="4"/>
      <c r="GC320" s="4"/>
      <c r="GD320" s="4"/>
      <c r="GE320" s="4"/>
      <c r="GF320" s="4"/>
    </row>
    <row r="321">
      <c r="A321" s="2" t="s">
        <v>2385</v>
      </c>
      <c r="B321" s="2" t="s">
        <v>613</v>
      </c>
      <c r="C321" s="2" t="s">
        <v>287</v>
      </c>
      <c r="D321" s="2" t="s">
        <v>614</v>
      </c>
      <c r="E321" s="2" t="s">
        <v>615</v>
      </c>
      <c r="F321" s="2" t="s">
        <v>2323</v>
      </c>
      <c r="G321" s="2" t="s">
        <v>2324</v>
      </c>
      <c r="H321" s="2" t="s">
        <v>2325</v>
      </c>
      <c r="I321" s="2" t="s">
        <v>2363</v>
      </c>
      <c r="J321" s="2" t="s">
        <v>2364</v>
      </c>
      <c r="K321" s="2" t="s">
        <v>945</v>
      </c>
      <c r="L321" s="3">
        <v>12.6</v>
      </c>
      <c r="M321" s="3">
        <v>13.23</v>
      </c>
      <c r="N321" s="3">
        <v>29.99</v>
      </c>
      <c r="O321" s="2" t="s">
        <v>203</v>
      </c>
      <c r="P321" s="2" t="s">
        <v>204</v>
      </c>
      <c r="Q321" s="2" t="s">
        <v>205</v>
      </c>
      <c r="R321" s="2" t="s">
        <v>206</v>
      </c>
      <c r="S321" s="2" t="s">
        <v>2381</v>
      </c>
      <c r="T321" s="2" t="s">
        <v>206</v>
      </c>
      <c r="U321" s="2" t="s">
        <v>206</v>
      </c>
      <c r="V321" s="2" t="s">
        <v>209</v>
      </c>
      <c r="W321" s="2" t="s">
        <v>539</v>
      </c>
      <c r="X321" s="2" t="s">
        <v>206</v>
      </c>
      <c r="Y321" s="2" t="s">
        <v>2377</v>
      </c>
      <c r="Z321" s="4">
        <v>516</v>
      </c>
      <c r="AA321" s="4">
        <f>=ROUNDDOWN(34.4,0)</f>
      </c>
      <c r="AB321" s="5">
        <v>15</v>
      </c>
      <c r="AC321" s="2" t="s">
        <v>206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206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 t="s">
        <v>206</v>
      </c>
      <c r="AW321" s="8" t="s">
        <v>206</v>
      </c>
      <c r="AX321" s="4" t="s">
        <v>206</v>
      </c>
      <c r="AY321" s="8" t="s">
        <v>206</v>
      </c>
      <c r="AZ321" s="7" t="s">
        <v>206</v>
      </c>
      <c r="BA321" s="7" t="s">
        <v>206</v>
      </c>
      <c r="BB321" s="7"/>
      <c r="BC321" s="4" t="s">
        <v>206</v>
      </c>
      <c r="BD321" s="8" t="s">
        <v>206</v>
      </c>
      <c r="BE321" s="4" t="s">
        <v>206</v>
      </c>
      <c r="BF321" s="8" t="s">
        <v>206</v>
      </c>
      <c r="BG321" s="7" t="s">
        <v>206</v>
      </c>
      <c r="BH321" s="7" t="s">
        <v>206</v>
      </c>
      <c r="BI321" s="7"/>
      <c r="BJ321" s="4">
        <v>131</v>
      </c>
      <c r="BK321" s="8">
        <v>1740.56</v>
      </c>
      <c r="BL321" s="2" t="s">
        <v>754</v>
      </c>
      <c r="BM321" s="7"/>
      <c r="BN321" s="7"/>
      <c r="BO321" s="4"/>
      <c r="BP321" s="8"/>
      <c r="BQ321" s="4"/>
      <c r="BR321" s="8"/>
      <c r="BS321" s="7"/>
      <c r="BT321" s="7"/>
      <c r="BU321" s="2" t="s">
        <v>2386</v>
      </c>
      <c r="BV321" s="2" t="s">
        <v>206</v>
      </c>
      <c r="BW321" s="2" t="s">
        <v>206</v>
      </c>
      <c r="BX321" s="2" t="s">
        <v>214</v>
      </c>
      <c r="BY321" s="2" t="s">
        <v>215</v>
      </c>
      <c r="BZ321" s="2" t="s">
        <v>203</v>
      </c>
      <c r="CA321" s="2" t="s">
        <v>753</v>
      </c>
      <c r="CB321" s="2" t="s">
        <v>2387</v>
      </c>
      <c r="CC321" s="2" t="s">
        <v>218</v>
      </c>
      <c r="CD321" s="2" t="s">
        <v>206</v>
      </c>
      <c r="CE321" s="4">
        <v>516</v>
      </c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4"/>
      <c r="GA321" s="4"/>
      <c r="GB321" s="4"/>
      <c r="GC321" s="4"/>
      <c r="GD321" s="4"/>
      <c r="GE321" s="4"/>
      <c r="GF321" s="4"/>
    </row>
    <row r="322">
      <c r="A322" s="2" t="s">
        <v>2388</v>
      </c>
      <c r="B322" s="2" t="s">
        <v>613</v>
      </c>
      <c r="C322" s="2" t="s">
        <v>287</v>
      </c>
      <c r="D322" s="2" t="s">
        <v>628</v>
      </c>
      <c r="E322" s="2" t="s">
        <v>629</v>
      </c>
      <c r="F322" s="2" t="s">
        <v>2323</v>
      </c>
      <c r="G322" s="2" t="s">
        <v>2324</v>
      </c>
      <c r="H322" s="2" t="s">
        <v>2325</v>
      </c>
      <c r="I322" s="2" t="s">
        <v>2326</v>
      </c>
      <c r="J322" s="2" t="s">
        <v>853</v>
      </c>
      <c r="K322" s="2" t="s">
        <v>1049</v>
      </c>
      <c r="L322" s="3">
        <v>21</v>
      </c>
      <c r="M322" s="3">
        <v>22.05</v>
      </c>
      <c r="N322" s="3">
        <v>49.99</v>
      </c>
      <c r="O322" s="2" t="s">
        <v>203</v>
      </c>
      <c r="P322" s="2" t="s">
        <v>204</v>
      </c>
      <c r="Q322" s="2" t="s">
        <v>205</v>
      </c>
      <c r="R322" s="2" t="s">
        <v>206</v>
      </c>
      <c r="S322" s="2" t="s">
        <v>2389</v>
      </c>
      <c r="T322" s="2" t="s">
        <v>206</v>
      </c>
      <c r="U322" s="2" t="s">
        <v>437</v>
      </c>
      <c r="V322" s="2" t="s">
        <v>209</v>
      </c>
      <c r="W322" s="2" t="s">
        <v>539</v>
      </c>
      <c r="X322" s="2" t="s">
        <v>1722</v>
      </c>
      <c r="Y322" s="2" t="s">
        <v>2390</v>
      </c>
      <c r="Z322" s="4">
        <v>313</v>
      </c>
      <c r="AA322" s="4">
        <f>=ROUNDDOWN(44.7142857142857,0)</f>
      </c>
      <c r="AB322" s="5">
        <v>7</v>
      </c>
      <c r="AC322" s="2" t="s">
        <v>119</v>
      </c>
      <c r="AD322" s="4">
        <v>100</v>
      </c>
      <c r="AE322" s="4">
        <v>100</v>
      </c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206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 t="s">
        <v>206</v>
      </c>
      <c r="AW322" s="8" t="s">
        <v>206</v>
      </c>
      <c r="AX322" s="4" t="s">
        <v>206</v>
      </c>
      <c r="AY322" s="8" t="s">
        <v>206</v>
      </c>
      <c r="AZ322" s="7" t="s">
        <v>206</v>
      </c>
      <c r="BA322" s="7" t="s">
        <v>206</v>
      </c>
      <c r="BB322" s="7"/>
      <c r="BC322" s="4" t="s">
        <v>206</v>
      </c>
      <c r="BD322" s="8" t="s">
        <v>206</v>
      </c>
      <c r="BE322" s="4" t="s">
        <v>206</v>
      </c>
      <c r="BF322" s="8" t="s">
        <v>206</v>
      </c>
      <c r="BG322" s="7" t="s">
        <v>206</v>
      </c>
      <c r="BH322" s="7" t="s">
        <v>206</v>
      </c>
      <c r="BI322" s="7"/>
      <c r="BJ322" s="4">
        <v>15</v>
      </c>
      <c r="BK322" s="8">
        <v>278.96</v>
      </c>
      <c r="BL322" s="2" t="s">
        <v>2391</v>
      </c>
      <c r="BM322" s="7"/>
      <c r="BN322" s="7"/>
      <c r="BO322" s="4"/>
      <c r="BP322" s="8"/>
      <c r="BQ322" s="4"/>
      <c r="BR322" s="8"/>
      <c r="BS322" s="7"/>
      <c r="BT322" s="7"/>
      <c r="BU322" s="2" t="s">
        <v>2392</v>
      </c>
      <c r="BV322" s="2" t="s">
        <v>206</v>
      </c>
      <c r="BW322" s="2" t="s">
        <v>206</v>
      </c>
      <c r="BX322" s="2" t="s">
        <v>426</v>
      </c>
      <c r="BY322" s="2" t="s">
        <v>215</v>
      </c>
      <c r="BZ322" s="2" t="s">
        <v>203</v>
      </c>
      <c r="CA322" s="2" t="s">
        <v>2393</v>
      </c>
      <c r="CB322" s="2" t="s">
        <v>2394</v>
      </c>
      <c r="CC322" s="2" t="s">
        <v>218</v>
      </c>
      <c r="CD322" s="2" t="s">
        <v>206</v>
      </c>
      <c r="CE322" s="4">
        <v>313</v>
      </c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>
        <v>100</v>
      </c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  <c r="GB322" s="4"/>
      <c r="GC322" s="4"/>
      <c r="GD322" s="4"/>
      <c r="GE322" s="4"/>
      <c r="GF322" s="4"/>
    </row>
    <row r="323">
      <c r="A323" s="2" t="s">
        <v>2395</v>
      </c>
      <c r="B323" s="2" t="s">
        <v>613</v>
      </c>
      <c r="C323" s="2" t="s">
        <v>287</v>
      </c>
      <c r="D323" s="2" t="s">
        <v>614</v>
      </c>
      <c r="E323" s="2" t="s">
        <v>615</v>
      </c>
      <c r="F323" s="2" t="s">
        <v>2323</v>
      </c>
      <c r="G323" s="2" t="s">
        <v>2324</v>
      </c>
      <c r="H323" s="2" t="s">
        <v>2325</v>
      </c>
      <c r="I323" s="2" t="s">
        <v>2363</v>
      </c>
      <c r="J323" s="2" t="s">
        <v>2364</v>
      </c>
      <c r="K323" s="2" t="s">
        <v>1049</v>
      </c>
      <c r="L323" s="3">
        <v>12.6</v>
      </c>
      <c r="M323" s="3">
        <v>13.23</v>
      </c>
      <c r="N323" s="3">
        <v>29.99</v>
      </c>
      <c r="O323" s="2" t="s">
        <v>203</v>
      </c>
      <c r="P323" s="2" t="s">
        <v>204</v>
      </c>
      <c r="Q323" s="2" t="s">
        <v>205</v>
      </c>
      <c r="R323" s="2" t="s">
        <v>206</v>
      </c>
      <c r="S323" s="2" t="s">
        <v>2389</v>
      </c>
      <c r="T323" s="2" t="s">
        <v>206</v>
      </c>
      <c r="U323" s="2" t="s">
        <v>437</v>
      </c>
      <c r="V323" s="2" t="s">
        <v>209</v>
      </c>
      <c r="W323" s="2" t="s">
        <v>539</v>
      </c>
      <c r="X323" s="2" t="s">
        <v>206</v>
      </c>
      <c r="Y323" s="2" t="s">
        <v>2390</v>
      </c>
      <c r="Z323" s="4">
        <v>382</v>
      </c>
      <c r="AA323" s="4">
        <f>=ROUNDDOWN(34.7272727272727,0)</f>
      </c>
      <c r="AB323" s="5">
        <v>11</v>
      </c>
      <c r="AC323" s="2" t="s">
        <v>206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206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 t="s">
        <v>206</v>
      </c>
      <c r="AW323" s="8" t="s">
        <v>206</v>
      </c>
      <c r="AX323" s="4" t="s">
        <v>206</v>
      </c>
      <c r="AY323" s="8" t="s">
        <v>206</v>
      </c>
      <c r="AZ323" s="7" t="s">
        <v>206</v>
      </c>
      <c r="BA323" s="7" t="s">
        <v>206</v>
      </c>
      <c r="BB323" s="7"/>
      <c r="BC323" s="4" t="s">
        <v>206</v>
      </c>
      <c r="BD323" s="8" t="s">
        <v>206</v>
      </c>
      <c r="BE323" s="4" t="s">
        <v>206</v>
      </c>
      <c r="BF323" s="8" t="s">
        <v>206</v>
      </c>
      <c r="BG323" s="7" t="s">
        <v>206</v>
      </c>
      <c r="BH323" s="7" t="s">
        <v>206</v>
      </c>
      <c r="BI323" s="7"/>
      <c r="BJ323" s="4">
        <v>39</v>
      </c>
      <c r="BK323" s="8">
        <v>531.91</v>
      </c>
      <c r="BL323" s="2" t="s">
        <v>2396</v>
      </c>
      <c r="BM323" s="7"/>
      <c r="BN323" s="7"/>
      <c r="BO323" s="4"/>
      <c r="BP323" s="8"/>
      <c r="BQ323" s="4"/>
      <c r="BR323" s="8"/>
      <c r="BS323" s="7"/>
      <c r="BT323" s="7"/>
      <c r="BU323" s="2" t="s">
        <v>2397</v>
      </c>
      <c r="BV323" s="2" t="s">
        <v>206</v>
      </c>
      <c r="BW323" s="2" t="s">
        <v>206</v>
      </c>
      <c r="BX323" s="2" t="s">
        <v>214</v>
      </c>
      <c r="BY323" s="2" t="s">
        <v>215</v>
      </c>
      <c r="BZ323" s="2" t="s">
        <v>203</v>
      </c>
      <c r="CA323" s="2" t="s">
        <v>2398</v>
      </c>
      <c r="CB323" s="2" t="s">
        <v>2399</v>
      </c>
      <c r="CC323" s="2" t="s">
        <v>218</v>
      </c>
      <c r="CD323" s="2" t="s">
        <v>206</v>
      </c>
      <c r="CE323" s="4">
        <v>382</v>
      </c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  <c r="FW323" s="4"/>
      <c r="FX323" s="4"/>
      <c r="FY323" s="4"/>
      <c r="FZ323" s="4"/>
      <c r="GA323" s="4"/>
      <c r="GB323" s="4"/>
      <c r="GC323" s="4"/>
      <c r="GD323" s="4"/>
      <c r="GE323" s="4"/>
      <c r="GF323" s="4"/>
    </row>
    <row r="324">
      <c r="A324" s="2" t="s">
        <v>2400</v>
      </c>
      <c r="B324" s="2" t="s">
        <v>613</v>
      </c>
      <c r="C324" s="2" t="s">
        <v>287</v>
      </c>
      <c r="D324" s="2" t="s">
        <v>628</v>
      </c>
      <c r="E324" s="2" t="s">
        <v>629</v>
      </c>
      <c r="F324" s="2" t="s">
        <v>2323</v>
      </c>
      <c r="G324" s="2" t="s">
        <v>2324</v>
      </c>
      <c r="H324" s="2" t="s">
        <v>2325</v>
      </c>
      <c r="I324" s="2" t="s">
        <v>2326</v>
      </c>
      <c r="J324" s="2" t="s">
        <v>631</v>
      </c>
      <c r="K324" s="2" t="s">
        <v>2401</v>
      </c>
      <c r="L324" s="3">
        <v>16</v>
      </c>
      <c r="M324" s="3">
        <v>16.8</v>
      </c>
      <c r="N324" s="3">
        <v>39.99</v>
      </c>
      <c r="O324" s="2" t="s">
        <v>203</v>
      </c>
      <c r="P324" s="2" t="s">
        <v>204</v>
      </c>
      <c r="Q324" s="2" t="s">
        <v>205</v>
      </c>
      <c r="R324" s="2" t="s">
        <v>206</v>
      </c>
      <c r="S324" s="2" t="s">
        <v>2402</v>
      </c>
      <c r="T324" s="2" t="s">
        <v>206</v>
      </c>
      <c r="U324" s="2" t="s">
        <v>437</v>
      </c>
      <c r="V324" s="2" t="s">
        <v>209</v>
      </c>
      <c r="W324" s="2" t="s">
        <v>539</v>
      </c>
      <c r="X324" s="2" t="s">
        <v>1722</v>
      </c>
      <c r="Y324" s="2" t="s">
        <v>211</v>
      </c>
      <c r="Z324" s="4">
        <v>720</v>
      </c>
      <c r="AA324" s="4">
        <f>=ROUNDDOWN(40,0)</f>
      </c>
      <c r="AB324" s="5">
        <v>18</v>
      </c>
      <c r="AC324" s="2" t="s">
        <v>206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206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206</v>
      </c>
      <c r="AW324" s="8" t="s">
        <v>206</v>
      </c>
      <c r="AX324" s="4" t="s">
        <v>206</v>
      </c>
      <c r="AY324" s="8" t="s">
        <v>206</v>
      </c>
      <c r="AZ324" s="7" t="s">
        <v>206</v>
      </c>
      <c r="BA324" s="7" t="s">
        <v>206</v>
      </c>
      <c r="BB324" s="7"/>
      <c r="BC324" s="4" t="s">
        <v>206</v>
      </c>
      <c r="BD324" s="8" t="s">
        <v>206</v>
      </c>
      <c r="BE324" s="4" t="s">
        <v>206</v>
      </c>
      <c r="BF324" s="8" t="s">
        <v>206</v>
      </c>
      <c r="BG324" s="7" t="s">
        <v>206</v>
      </c>
      <c r="BH324" s="7" t="s">
        <v>206</v>
      </c>
      <c r="BI324" s="7"/>
      <c r="BJ324" s="4">
        <v>94</v>
      </c>
      <c r="BK324" s="8">
        <v>1349.64</v>
      </c>
      <c r="BL324" s="2" t="s">
        <v>2403</v>
      </c>
      <c r="BM324" s="7"/>
      <c r="BN324" s="7"/>
      <c r="BO324" s="4"/>
      <c r="BP324" s="8"/>
      <c r="BQ324" s="4"/>
      <c r="BR324" s="8"/>
      <c r="BS324" s="7"/>
      <c r="BT324" s="7"/>
      <c r="BU324" s="2" t="s">
        <v>2404</v>
      </c>
      <c r="BV324" s="2" t="s">
        <v>206</v>
      </c>
      <c r="BW324" s="2" t="s">
        <v>206</v>
      </c>
      <c r="BX324" s="2" t="s">
        <v>426</v>
      </c>
      <c r="BY324" s="2" t="s">
        <v>215</v>
      </c>
      <c r="BZ324" s="2" t="s">
        <v>203</v>
      </c>
      <c r="CA324" s="2" t="s">
        <v>216</v>
      </c>
      <c r="CB324" s="2" t="s">
        <v>747</v>
      </c>
      <c r="CC324" s="2" t="s">
        <v>218</v>
      </c>
      <c r="CD324" s="2" t="s">
        <v>206</v>
      </c>
      <c r="CE324" s="4">
        <v>720</v>
      </c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4"/>
      <c r="GA324" s="4"/>
      <c r="GB324" s="4"/>
      <c r="GC324" s="4"/>
      <c r="GD324" s="4"/>
      <c r="GE324" s="4"/>
      <c r="GF324" s="4"/>
    </row>
    <row r="325">
      <c r="A325" s="2" t="s">
        <v>2405</v>
      </c>
      <c r="B325" s="2" t="s">
        <v>613</v>
      </c>
      <c r="C325" s="2" t="s">
        <v>287</v>
      </c>
      <c r="D325" s="2" t="s">
        <v>628</v>
      </c>
      <c r="E325" s="2" t="s">
        <v>629</v>
      </c>
      <c r="F325" s="2" t="s">
        <v>2323</v>
      </c>
      <c r="G325" s="2" t="s">
        <v>2324</v>
      </c>
      <c r="H325" s="2" t="s">
        <v>2325</v>
      </c>
      <c r="I325" s="2" t="s">
        <v>2326</v>
      </c>
      <c r="J325" s="2" t="s">
        <v>853</v>
      </c>
      <c r="K325" s="2" t="s">
        <v>2401</v>
      </c>
      <c r="L325" s="3">
        <v>21</v>
      </c>
      <c r="M325" s="3">
        <v>22.05</v>
      </c>
      <c r="N325" s="3">
        <v>49.99</v>
      </c>
      <c r="O325" s="2" t="s">
        <v>203</v>
      </c>
      <c r="P325" s="2" t="s">
        <v>204</v>
      </c>
      <c r="Q325" s="2" t="s">
        <v>205</v>
      </c>
      <c r="R325" s="2" t="s">
        <v>206</v>
      </c>
      <c r="S325" s="2" t="s">
        <v>2402</v>
      </c>
      <c r="T325" s="2" t="s">
        <v>206</v>
      </c>
      <c r="U325" s="2" t="s">
        <v>437</v>
      </c>
      <c r="V325" s="2" t="s">
        <v>209</v>
      </c>
      <c r="W325" s="2" t="s">
        <v>539</v>
      </c>
      <c r="X325" s="2" t="s">
        <v>1722</v>
      </c>
      <c r="Y325" s="2" t="s">
        <v>1293</v>
      </c>
      <c r="Z325" s="4">
        <v>184</v>
      </c>
      <c r="AA325" s="4">
        <f>=ROUNDDOWN(23,0)</f>
      </c>
      <c r="AB325" s="5">
        <v>8</v>
      </c>
      <c r="AC325" s="2" t="s">
        <v>1620</v>
      </c>
      <c r="AD325" s="4">
        <v>288</v>
      </c>
      <c r="AE325" s="4">
        <v>412</v>
      </c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206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 t="s">
        <v>206</v>
      </c>
      <c r="AW325" s="8" t="s">
        <v>206</v>
      </c>
      <c r="AX325" s="4" t="s">
        <v>206</v>
      </c>
      <c r="AY325" s="8" t="s">
        <v>206</v>
      </c>
      <c r="AZ325" s="7" t="s">
        <v>206</v>
      </c>
      <c r="BA325" s="7" t="s">
        <v>206</v>
      </c>
      <c r="BB325" s="7"/>
      <c r="BC325" s="4" t="s">
        <v>206</v>
      </c>
      <c r="BD325" s="8" t="s">
        <v>206</v>
      </c>
      <c r="BE325" s="4" t="s">
        <v>206</v>
      </c>
      <c r="BF325" s="8" t="s">
        <v>206</v>
      </c>
      <c r="BG325" s="7" t="s">
        <v>206</v>
      </c>
      <c r="BH325" s="7" t="s">
        <v>206</v>
      </c>
      <c r="BI325" s="7"/>
      <c r="BJ325" s="4">
        <v>30</v>
      </c>
      <c r="BK325" s="8">
        <v>586.61</v>
      </c>
      <c r="BL325" s="2" t="s">
        <v>1837</v>
      </c>
      <c r="BM325" s="7"/>
      <c r="BN325" s="7"/>
      <c r="BO325" s="4"/>
      <c r="BP325" s="8"/>
      <c r="BQ325" s="4"/>
      <c r="BR325" s="8"/>
      <c r="BS325" s="7"/>
      <c r="BT325" s="7"/>
      <c r="BU325" s="2" t="s">
        <v>2406</v>
      </c>
      <c r="BV325" s="2" t="s">
        <v>206</v>
      </c>
      <c r="BW325" s="2" t="s">
        <v>206</v>
      </c>
      <c r="BX325" s="2" t="s">
        <v>426</v>
      </c>
      <c r="BY325" s="2" t="s">
        <v>215</v>
      </c>
      <c r="BZ325" s="2" t="s">
        <v>203</v>
      </c>
      <c r="CA325" s="2" t="s">
        <v>216</v>
      </c>
      <c r="CB325" s="2" t="s">
        <v>2407</v>
      </c>
      <c r="CC325" s="2" t="s">
        <v>218</v>
      </c>
      <c r="CD325" s="2" t="s">
        <v>206</v>
      </c>
      <c r="CE325" s="4">
        <v>152</v>
      </c>
      <c r="CF325" s="4"/>
      <c r="CG325" s="4"/>
      <c r="CH325" s="4"/>
      <c r="CI325" s="4"/>
      <c r="CJ325" s="4"/>
      <c r="CK325" s="4">
        <v>32</v>
      </c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>
        <v>288</v>
      </c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>
        <v>124</v>
      </c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</row>
    <row r="326">
      <c r="A326" s="2" t="s">
        <v>2408</v>
      </c>
      <c r="B326" s="2" t="s">
        <v>613</v>
      </c>
      <c r="C326" s="2" t="s">
        <v>287</v>
      </c>
      <c r="D326" s="2" t="s">
        <v>628</v>
      </c>
      <c r="E326" s="2" t="s">
        <v>629</v>
      </c>
      <c r="F326" s="2" t="s">
        <v>2323</v>
      </c>
      <c r="G326" s="2" t="s">
        <v>2324</v>
      </c>
      <c r="H326" s="2" t="s">
        <v>2325</v>
      </c>
      <c r="I326" s="2" t="s">
        <v>2326</v>
      </c>
      <c r="J326" s="2" t="s">
        <v>2338</v>
      </c>
      <c r="K326" s="2" t="s">
        <v>2401</v>
      </c>
      <c r="L326" s="3">
        <v>23.1</v>
      </c>
      <c r="M326" s="3">
        <v>24.26</v>
      </c>
      <c r="N326" s="3">
        <v>54.99</v>
      </c>
      <c r="O326" s="2" t="s">
        <v>203</v>
      </c>
      <c r="P326" s="2" t="s">
        <v>204</v>
      </c>
      <c r="Q326" s="2" t="s">
        <v>205</v>
      </c>
      <c r="R326" s="2" t="s">
        <v>206</v>
      </c>
      <c r="S326" s="2" t="s">
        <v>2402</v>
      </c>
      <c r="T326" s="2" t="s">
        <v>206</v>
      </c>
      <c r="U326" s="2" t="s">
        <v>437</v>
      </c>
      <c r="V326" s="2" t="s">
        <v>209</v>
      </c>
      <c r="W326" s="2" t="s">
        <v>539</v>
      </c>
      <c r="X326" s="2" t="s">
        <v>1722</v>
      </c>
      <c r="Y326" s="2" t="s">
        <v>211</v>
      </c>
      <c r="Z326" s="4">
        <v>135</v>
      </c>
      <c r="AA326" s="4">
        <f>=ROUNDDOWN(45,0)</f>
      </c>
      <c r="AB326" s="5">
        <v>3</v>
      </c>
      <c r="AC326" s="2" t="s">
        <v>206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206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 t="s">
        <v>206</v>
      </c>
      <c r="AW326" s="8" t="s">
        <v>206</v>
      </c>
      <c r="AX326" s="4" t="s">
        <v>206</v>
      </c>
      <c r="AY326" s="8" t="s">
        <v>206</v>
      </c>
      <c r="AZ326" s="7" t="s">
        <v>206</v>
      </c>
      <c r="BA326" s="7" t="s">
        <v>206</v>
      </c>
      <c r="BB326" s="7"/>
      <c r="BC326" s="4" t="s">
        <v>206</v>
      </c>
      <c r="BD326" s="8" t="s">
        <v>206</v>
      </c>
      <c r="BE326" s="4" t="s">
        <v>206</v>
      </c>
      <c r="BF326" s="8" t="s">
        <v>206</v>
      </c>
      <c r="BG326" s="7" t="s">
        <v>206</v>
      </c>
      <c r="BH326" s="7" t="s">
        <v>206</v>
      </c>
      <c r="BI326" s="7"/>
      <c r="BJ326" s="4">
        <v>9</v>
      </c>
      <c r="BK326" s="8">
        <v>195.4</v>
      </c>
      <c r="BL326" s="2" t="s">
        <v>2409</v>
      </c>
      <c r="BM326" s="7"/>
      <c r="BN326" s="7"/>
      <c r="BO326" s="4"/>
      <c r="BP326" s="8"/>
      <c r="BQ326" s="4"/>
      <c r="BR326" s="8"/>
      <c r="BS326" s="7"/>
      <c r="BT326" s="7"/>
      <c r="BU326" s="2" t="s">
        <v>2410</v>
      </c>
      <c r="BV326" s="2" t="s">
        <v>206</v>
      </c>
      <c r="BW326" s="2" t="s">
        <v>206</v>
      </c>
      <c r="BX326" s="2" t="s">
        <v>426</v>
      </c>
      <c r="BY326" s="2" t="s">
        <v>215</v>
      </c>
      <c r="BZ326" s="2" t="s">
        <v>203</v>
      </c>
      <c r="CA326" s="2" t="s">
        <v>938</v>
      </c>
      <c r="CB326" s="2" t="s">
        <v>2411</v>
      </c>
      <c r="CC326" s="2" t="s">
        <v>218</v>
      </c>
      <c r="CD326" s="2" t="s">
        <v>206</v>
      </c>
      <c r="CE326" s="4">
        <v>135</v>
      </c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4"/>
      <c r="GA326" s="4"/>
      <c r="GB326" s="4"/>
      <c r="GC326" s="4"/>
      <c r="GD326" s="4"/>
      <c r="GE326" s="4"/>
      <c r="GF326" s="4"/>
    </row>
    <row r="327">
      <c r="A327" s="2" t="s">
        <v>2412</v>
      </c>
      <c r="B327" s="2" t="s">
        <v>613</v>
      </c>
      <c r="C327" s="2" t="s">
        <v>287</v>
      </c>
      <c r="D327" s="2" t="s">
        <v>628</v>
      </c>
      <c r="E327" s="2" t="s">
        <v>629</v>
      </c>
      <c r="F327" s="2" t="s">
        <v>2323</v>
      </c>
      <c r="G327" s="2" t="s">
        <v>2324</v>
      </c>
      <c r="H327" s="2" t="s">
        <v>2325</v>
      </c>
      <c r="I327" s="2" t="s">
        <v>2326</v>
      </c>
      <c r="J327" s="2" t="s">
        <v>853</v>
      </c>
      <c r="K327" s="2" t="s">
        <v>605</v>
      </c>
      <c r="L327" s="3">
        <v>21</v>
      </c>
      <c r="M327" s="3">
        <v>22.05</v>
      </c>
      <c r="N327" s="3">
        <v>49.99</v>
      </c>
      <c r="O327" s="2" t="s">
        <v>203</v>
      </c>
      <c r="P327" s="2" t="s">
        <v>204</v>
      </c>
      <c r="Q327" s="2" t="s">
        <v>205</v>
      </c>
      <c r="R327" s="2" t="s">
        <v>206</v>
      </c>
      <c r="S327" s="2" t="s">
        <v>2413</v>
      </c>
      <c r="T327" s="2" t="s">
        <v>206</v>
      </c>
      <c r="U327" s="2" t="s">
        <v>437</v>
      </c>
      <c r="V327" s="2" t="s">
        <v>209</v>
      </c>
      <c r="W327" s="2" t="s">
        <v>539</v>
      </c>
      <c r="X327" s="2" t="s">
        <v>1722</v>
      </c>
      <c r="Y327" s="2" t="s">
        <v>2353</v>
      </c>
      <c r="Z327" s="4">
        <v>292</v>
      </c>
      <c r="AA327" s="4">
        <f>=ROUNDDOWN(36.5,0)</f>
      </c>
      <c r="AB327" s="5">
        <v>8</v>
      </c>
      <c r="AC327" s="2" t="s">
        <v>318</v>
      </c>
      <c r="AD327" s="4">
        <v>40</v>
      </c>
      <c r="AE327" s="4">
        <v>172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206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 t="s">
        <v>206</v>
      </c>
      <c r="AW327" s="8" t="s">
        <v>206</v>
      </c>
      <c r="AX327" s="4" t="s">
        <v>206</v>
      </c>
      <c r="AY327" s="8" t="s">
        <v>206</v>
      </c>
      <c r="AZ327" s="7" t="s">
        <v>206</v>
      </c>
      <c r="BA327" s="7" t="s">
        <v>206</v>
      </c>
      <c r="BB327" s="7"/>
      <c r="BC327" s="4" t="s">
        <v>206</v>
      </c>
      <c r="BD327" s="8" t="s">
        <v>206</v>
      </c>
      <c r="BE327" s="4" t="s">
        <v>206</v>
      </c>
      <c r="BF327" s="8" t="s">
        <v>206</v>
      </c>
      <c r="BG327" s="7" t="s">
        <v>206</v>
      </c>
      <c r="BH327" s="7" t="s">
        <v>206</v>
      </c>
      <c r="BI327" s="7"/>
      <c r="BJ327" s="4">
        <v>15</v>
      </c>
      <c r="BK327" s="8">
        <v>346.15</v>
      </c>
      <c r="BL327" s="2" t="s">
        <v>2414</v>
      </c>
      <c r="BM327" s="7"/>
      <c r="BN327" s="7"/>
      <c r="BO327" s="4"/>
      <c r="BP327" s="8"/>
      <c r="BQ327" s="4"/>
      <c r="BR327" s="8"/>
      <c r="BS327" s="7"/>
      <c r="BT327" s="7"/>
      <c r="BU327" s="2" t="s">
        <v>2415</v>
      </c>
      <c r="BV327" s="2" t="s">
        <v>206</v>
      </c>
      <c r="BW327" s="2" t="s">
        <v>206</v>
      </c>
      <c r="BX327" s="2" t="s">
        <v>426</v>
      </c>
      <c r="BY327" s="2" t="s">
        <v>215</v>
      </c>
      <c r="BZ327" s="2" t="s">
        <v>203</v>
      </c>
      <c r="CA327" s="2" t="s">
        <v>2416</v>
      </c>
      <c r="CB327" s="2" t="s">
        <v>2417</v>
      </c>
      <c r="CC327" s="2" t="s">
        <v>218</v>
      </c>
      <c r="CD327" s="2" t="s">
        <v>206</v>
      </c>
      <c r="CE327" s="4">
        <v>292</v>
      </c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>
        <v>40</v>
      </c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>
        <v>132</v>
      </c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</row>
    <row r="328">
      <c r="A328" s="2" t="s">
        <v>2418</v>
      </c>
      <c r="B328" s="2" t="s">
        <v>613</v>
      </c>
      <c r="C328" s="2" t="s">
        <v>287</v>
      </c>
      <c r="D328" s="2" t="s">
        <v>628</v>
      </c>
      <c r="E328" s="2" t="s">
        <v>629</v>
      </c>
      <c r="F328" s="2" t="s">
        <v>2323</v>
      </c>
      <c r="G328" s="2" t="s">
        <v>2324</v>
      </c>
      <c r="H328" s="2" t="s">
        <v>2325</v>
      </c>
      <c r="I328" s="2" t="s">
        <v>2326</v>
      </c>
      <c r="J328" s="2" t="s">
        <v>2338</v>
      </c>
      <c r="K328" s="2" t="s">
        <v>605</v>
      </c>
      <c r="L328" s="3">
        <v>23.1</v>
      </c>
      <c r="M328" s="3">
        <v>24.26</v>
      </c>
      <c r="N328" s="3">
        <v>54.99</v>
      </c>
      <c r="O328" s="2" t="s">
        <v>203</v>
      </c>
      <c r="P328" s="2" t="s">
        <v>204</v>
      </c>
      <c r="Q328" s="2" t="s">
        <v>205</v>
      </c>
      <c r="R328" s="2" t="s">
        <v>206</v>
      </c>
      <c r="S328" s="2" t="s">
        <v>2413</v>
      </c>
      <c r="T328" s="2" t="s">
        <v>206</v>
      </c>
      <c r="U328" s="2" t="s">
        <v>437</v>
      </c>
      <c r="V328" s="2" t="s">
        <v>209</v>
      </c>
      <c r="W328" s="2" t="s">
        <v>539</v>
      </c>
      <c r="X328" s="2" t="s">
        <v>1722</v>
      </c>
      <c r="Y328" s="2" t="s">
        <v>2353</v>
      </c>
      <c r="Z328" s="4">
        <v>130</v>
      </c>
      <c r="AA328" s="4">
        <f>=ROUNDDOWN(32.5,0)</f>
      </c>
      <c r="AB328" s="5">
        <v>4</v>
      </c>
      <c r="AC328" s="2" t="s">
        <v>2250</v>
      </c>
      <c r="AD328" s="4">
        <v>52</v>
      </c>
      <c r="AE328" s="4">
        <v>52</v>
      </c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206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 t="s">
        <v>206</v>
      </c>
      <c r="AW328" s="8" t="s">
        <v>206</v>
      </c>
      <c r="AX328" s="4" t="s">
        <v>206</v>
      </c>
      <c r="AY328" s="8" t="s">
        <v>206</v>
      </c>
      <c r="AZ328" s="7" t="s">
        <v>206</v>
      </c>
      <c r="BA328" s="7" t="s">
        <v>206</v>
      </c>
      <c r="BB328" s="7"/>
      <c r="BC328" s="4" t="s">
        <v>206</v>
      </c>
      <c r="BD328" s="8" t="s">
        <v>206</v>
      </c>
      <c r="BE328" s="4" t="s">
        <v>206</v>
      </c>
      <c r="BF328" s="8" t="s">
        <v>206</v>
      </c>
      <c r="BG328" s="7" t="s">
        <v>206</v>
      </c>
      <c r="BH328" s="7" t="s">
        <v>206</v>
      </c>
      <c r="BI328" s="7"/>
      <c r="BJ328" s="4">
        <v>1</v>
      </c>
      <c r="BK328" s="8">
        <v>24.16</v>
      </c>
      <c r="BL328" s="2" t="s">
        <v>2419</v>
      </c>
      <c r="BM328" s="7"/>
      <c r="BN328" s="7"/>
      <c r="BO328" s="4"/>
      <c r="BP328" s="8"/>
      <c r="BQ328" s="4"/>
      <c r="BR328" s="8"/>
      <c r="BS328" s="7"/>
      <c r="BT328" s="7"/>
      <c r="BU328" s="2" t="s">
        <v>2420</v>
      </c>
      <c r="BV328" s="2" t="s">
        <v>206</v>
      </c>
      <c r="BW328" s="2" t="s">
        <v>206</v>
      </c>
      <c r="BX328" s="2" t="s">
        <v>426</v>
      </c>
      <c r="BY328" s="2" t="s">
        <v>215</v>
      </c>
      <c r="BZ328" s="2" t="s">
        <v>203</v>
      </c>
      <c r="CA328" s="2" t="s">
        <v>1168</v>
      </c>
      <c r="CB328" s="2" t="s">
        <v>703</v>
      </c>
      <c r="CC328" s="2" t="s">
        <v>218</v>
      </c>
      <c r="CD328" s="2" t="s">
        <v>206</v>
      </c>
      <c r="CE328" s="4">
        <v>130</v>
      </c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>
        <v>52</v>
      </c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</row>
    <row r="329">
      <c r="A329" s="2" t="s">
        <v>2421</v>
      </c>
      <c r="B329" s="2" t="s">
        <v>613</v>
      </c>
      <c r="C329" s="2" t="s">
        <v>287</v>
      </c>
      <c r="D329" s="2" t="s">
        <v>628</v>
      </c>
      <c r="E329" s="2" t="s">
        <v>629</v>
      </c>
      <c r="F329" s="2" t="s">
        <v>2323</v>
      </c>
      <c r="G329" s="2" t="s">
        <v>2324</v>
      </c>
      <c r="H329" s="2" t="s">
        <v>2325</v>
      </c>
      <c r="I329" s="2" t="s">
        <v>2326</v>
      </c>
      <c r="J329" s="2" t="s">
        <v>631</v>
      </c>
      <c r="K329" s="2" t="s">
        <v>2422</v>
      </c>
      <c r="L329" s="3">
        <v>16</v>
      </c>
      <c r="M329" s="3">
        <v>16.8</v>
      </c>
      <c r="N329" s="3">
        <v>39.99</v>
      </c>
      <c r="O329" s="2" t="s">
        <v>203</v>
      </c>
      <c r="P329" s="2" t="s">
        <v>204</v>
      </c>
      <c r="Q329" s="2" t="s">
        <v>205</v>
      </c>
      <c r="R329" s="2" t="s">
        <v>206</v>
      </c>
      <c r="S329" s="2" t="s">
        <v>2423</v>
      </c>
      <c r="T329" s="2" t="s">
        <v>206</v>
      </c>
      <c r="U329" s="2" t="s">
        <v>437</v>
      </c>
      <c r="V329" s="2" t="s">
        <v>209</v>
      </c>
      <c r="W329" s="2" t="s">
        <v>539</v>
      </c>
      <c r="X329" s="2" t="s">
        <v>1722</v>
      </c>
      <c r="Y329" s="2" t="s">
        <v>211</v>
      </c>
      <c r="Z329" s="4">
        <v>576</v>
      </c>
      <c r="AA329" s="4">
        <f>=ROUNDDOWN(36,0)</f>
      </c>
      <c r="AB329" s="5">
        <v>16</v>
      </c>
      <c r="AC329" s="2" t="s">
        <v>119</v>
      </c>
      <c r="AD329" s="4">
        <v>156</v>
      </c>
      <c r="AE329" s="4">
        <v>156</v>
      </c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206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 t="s">
        <v>206</v>
      </c>
      <c r="AW329" s="8" t="s">
        <v>206</v>
      </c>
      <c r="AX329" s="4" t="s">
        <v>206</v>
      </c>
      <c r="AY329" s="8" t="s">
        <v>206</v>
      </c>
      <c r="AZ329" s="7" t="s">
        <v>206</v>
      </c>
      <c r="BA329" s="7" t="s">
        <v>206</v>
      </c>
      <c r="BB329" s="7"/>
      <c r="BC329" s="4" t="s">
        <v>206</v>
      </c>
      <c r="BD329" s="8" t="s">
        <v>206</v>
      </c>
      <c r="BE329" s="4" t="s">
        <v>206</v>
      </c>
      <c r="BF329" s="8" t="s">
        <v>206</v>
      </c>
      <c r="BG329" s="7" t="s">
        <v>206</v>
      </c>
      <c r="BH329" s="7" t="s">
        <v>206</v>
      </c>
      <c r="BI329" s="7"/>
      <c r="BJ329" s="4">
        <v>58</v>
      </c>
      <c r="BK329" s="8">
        <v>826.82</v>
      </c>
      <c r="BL329" s="2" t="s">
        <v>2424</v>
      </c>
      <c r="BM329" s="7"/>
      <c r="BN329" s="7"/>
      <c r="BO329" s="4"/>
      <c r="BP329" s="8"/>
      <c r="BQ329" s="4"/>
      <c r="BR329" s="8"/>
      <c r="BS329" s="7"/>
      <c r="BT329" s="7"/>
      <c r="BU329" s="2" t="s">
        <v>2425</v>
      </c>
      <c r="BV329" s="2" t="s">
        <v>206</v>
      </c>
      <c r="BW329" s="2" t="s">
        <v>206</v>
      </c>
      <c r="BX329" s="2" t="s">
        <v>426</v>
      </c>
      <c r="BY329" s="2" t="s">
        <v>215</v>
      </c>
      <c r="BZ329" s="2" t="s">
        <v>203</v>
      </c>
      <c r="CA329" s="2" t="s">
        <v>216</v>
      </c>
      <c r="CB329" s="2" t="s">
        <v>2426</v>
      </c>
      <c r="CC329" s="2" t="s">
        <v>218</v>
      </c>
      <c r="CD329" s="2" t="s">
        <v>206</v>
      </c>
      <c r="CE329" s="4">
        <v>576</v>
      </c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>
        <v>156</v>
      </c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</row>
    <row r="330">
      <c r="A330" s="2" t="s">
        <v>2427</v>
      </c>
      <c r="B330" s="2" t="s">
        <v>613</v>
      </c>
      <c r="C330" s="2" t="s">
        <v>287</v>
      </c>
      <c r="D330" s="2" t="s">
        <v>628</v>
      </c>
      <c r="E330" s="2" t="s">
        <v>629</v>
      </c>
      <c r="F330" s="2" t="s">
        <v>2323</v>
      </c>
      <c r="G330" s="2" t="s">
        <v>2324</v>
      </c>
      <c r="H330" s="2" t="s">
        <v>2325</v>
      </c>
      <c r="I330" s="2" t="s">
        <v>2326</v>
      </c>
      <c r="J330" s="2" t="s">
        <v>2338</v>
      </c>
      <c r="K330" s="2" t="s">
        <v>2422</v>
      </c>
      <c r="L330" s="3">
        <v>23.1</v>
      </c>
      <c r="M330" s="3">
        <v>24.26</v>
      </c>
      <c r="N330" s="3">
        <v>54.99</v>
      </c>
      <c r="O330" s="2" t="s">
        <v>203</v>
      </c>
      <c r="P330" s="2" t="s">
        <v>204</v>
      </c>
      <c r="Q330" s="2" t="s">
        <v>205</v>
      </c>
      <c r="R330" s="2" t="s">
        <v>206</v>
      </c>
      <c r="S330" s="2" t="s">
        <v>2423</v>
      </c>
      <c r="T330" s="2" t="s">
        <v>206</v>
      </c>
      <c r="U330" s="2" t="s">
        <v>437</v>
      </c>
      <c r="V330" s="2" t="s">
        <v>209</v>
      </c>
      <c r="W330" s="2" t="s">
        <v>539</v>
      </c>
      <c r="X330" s="2" t="s">
        <v>1722</v>
      </c>
      <c r="Y330" s="2" t="s">
        <v>211</v>
      </c>
      <c r="Z330" s="4">
        <v>139</v>
      </c>
      <c r="AA330" s="4">
        <f>=ROUNDDOWN(34.75,0)</f>
      </c>
      <c r="AB330" s="5">
        <v>4</v>
      </c>
      <c r="AC330" s="2" t="s">
        <v>206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206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 t="s">
        <v>206</v>
      </c>
      <c r="AW330" s="8" t="s">
        <v>206</v>
      </c>
      <c r="AX330" s="4" t="s">
        <v>206</v>
      </c>
      <c r="AY330" s="8" t="s">
        <v>206</v>
      </c>
      <c r="AZ330" s="7" t="s">
        <v>206</v>
      </c>
      <c r="BA330" s="7" t="s">
        <v>206</v>
      </c>
      <c r="BB330" s="7"/>
      <c r="BC330" s="4" t="s">
        <v>206</v>
      </c>
      <c r="BD330" s="8" t="s">
        <v>206</v>
      </c>
      <c r="BE330" s="4" t="s">
        <v>206</v>
      </c>
      <c r="BF330" s="8" t="s">
        <v>206</v>
      </c>
      <c r="BG330" s="7" t="s">
        <v>206</v>
      </c>
      <c r="BH330" s="7" t="s">
        <v>206</v>
      </c>
      <c r="BI330" s="7"/>
      <c r="BJ330" s="4">
        <v>12</v>
      </c>
      <c r="BK330" s="8">
        <v>262.98</v>
      </c>
      <c r="BL330" s="2" t="s">
        <v>2428</v>
      </c>
      <c r="BM330" s="7"/>
      <c r="BN330" s="7"/>
      <c r="BO330" s="4"/>
      <c r="BP330" s="8"/>
      <c r="BQ330" s="4"/>
      <c r="BR330" s="8"/>
      <c r="BS330" s="7"/>
      <c r="BT330" s="7"/>
      <c r="BU330" s="2" t="s">
        <v>2429</v>
      </c>
      <c r="BV330" s="2" t="s">
        <v>206</v>
      </c>
      <c r="BW330" s="2" t="s">
        <v>206</v>
      </c>
      <c r="BX330" s="2" t="s">
        <v>426</v>
      </c>
      <c r="BY330" s="2" t="s">
        <v>215</v>
      </c>
      <c r="BZ330" s="2" t="s">
        <v>203</v>
      </c>
      <c r="CA330" s="2" t="s">
        <v>938</v>
      </c>
      <c r="CB330" s="2" t="s">
        <v>2430</v>
      </c>
      <c r="CC330" s="2" t="s">
        <v>218</v>
      </c>
      <c r="CD330" s="2" t="s">
        <v>206</v>
      </c>
      <c r="CE330" s="4">
        <v>139</v>
      </c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4"/>
      <c r="GA330" s="4"/>
      <c r="GB330" s="4"/>
      <c r="GC330" s="4"/>
      <c r="GD330" s="4"/>
      <c r="GE330" s="4"/>
      <c r="GF330" s="4"/>
    </row>
    <row r="331">
      <c r="A331" s="2" t="s">
        <v>2431</v>
      </c>
      <c r="B331" s="2" t="s">
        <v>613</v>
      </c>
      <c r="C331" s="2" t="s">
        <v>287</v>
      </c>
      <c r="D331" s="2" t="s">
        <v>614</v>
      </c>
      <c r="E331" s="2" t="s">
        <v>615</v>
      </c>
      <c r="F331" s="2" t="s">
        <v>2323</v>
      </c>
      <c r="G331" s="2" t="s">
        <v>2324</v>
      </c>
      <c r="H331" s="2" t="s">
        <v>2325</v>
      </c>
      <c r="I331" s="2" t="s">
        <v>2363</v>
      </c>
      <c r="J331" s="2" t="s">
        <v>2364</v>
      </c>
      <c r="K331" s="2" t="s">
        <v>2422</v>
      </c>
      <c r="L331" s="3">
        <v>12.6</v>
      </c>
      <c r="M331" s="3">
        <v>13.23</v>
      </c>
      <c r="N331" s="3">
        <v>29.99</v>
      </c>
      <c r="O331" s="2" t="s">
        <v>203</v>
      </c>
      <c r="P331" s="2" t="s">
        <v>204</v>
      </c>
      <c r="Q331" s="2" t="s">
        <v>205</v>
      </c>
      <c r="R331" s="2" t="s">
        <v>206</v>
      </c>
      <c r="S331" s="2" t="s">
        <v>2423</v>
      </c>
      <c r="T331" s="2" t="s">
        <v>206</v>
      </c>
      <c r="U331" s="2" t="s">
        <v>206</v>
      </c>
      <c r="V331" s="2" t="s">
        <v>209</v>
      </c>
      <c r="W331" s="2" t="s">
        <v>539</v>
      </c>
      <c r="X331" s="2" t="s">
        <v>206</v>
      </c>
      <c r="Y331" s="2" t="s">
        <v>2377</v>
      </c>
      <c r="Z331" s="4">
        <v>152</v>
      </c>
      <c r="AA331" s="4">
        <f>=ROUNDDOWN(16.8888888888889,0)</f>
      </c>
      <c r="AB331" s="5">
        <v>9</v>
      </c>
      <c r="AC331" s="2" t="s">
        <v>119</v>
      </c>
      <c r="AD331" s="4">
        <v>56</v>
      </c>
      <c r="AE331" s="4">
        <v>56</v>
      </c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206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 t="s">
        <v>206</v>
      </c>
      <c r="AW331" s="8" t="s">
        <v>206</v>
      </c>
      <c r="AX331" s="4" t="s">
        <v>206</v>
      </c>
      <c r="AY331" s="8" t="s">
        <v>206</v>
      </c>
      <c r="AZ331" s="7" t="s">
        <v>206</v>
      </c>
      <c r="BA331" s="7" t="s">
        <v>206</v>
      </c>
      <c r="BB331" s="7"/>
      <c r="BC331" s="4" t="s">
        <v>206</v>
      </c>
      <c r="BD331" s="8" t="s">
        <v>206</v>
      </c>
      <c r="BE331" s="4" t="s">
        <v>206</v>
      </c>
      <c r="BF331" s="8" t="s">
        <v>206</v>
      </c>
      <c r="BG331" s="7" t="s">
        <v>206</v>
      </c>
      <c r="BH331" s="7" t="s">
        <v>206</v>
      </c>
      <c r="BI331" s="7"/>
      <c r="BJ331" s="4">
        <v>56</v>
      </c>
      <c r="BK331" s="8">
        <v>745.44</v>
      </c>
      <c r="BL331" s="2" t="s">
        <v>2432</v>
      </c>
      <c r="BM331" s="7"/>
      <c r="BN331" s="7"/>
      <c r="BO331" s="4"/>
      <c r="BP331" s="8"/>
      <c r="BQ331" s="4"/>
      <c r="BR331" s="8"/>
      <c r="BS331" s="7"/>
      <c r="BT331" s="7"/>
      <c r="BU331" s="2" t="s">
        <v>2433</v>
      </c>
      <c r="BV331" s="2" t="s">
        <v>206</v>
      </c>
      <c r="BW331" s="2" t="s">
        <v>206</v>
      </c>
      <c r="BX331" s="2" t="s">
        <v>214</v>
      </c>
      <c r="BY331" s="2" t="s">
        <v>215</v>
      </c>
      <c r="BZ331" s="2" t="s">
        <v>203</v>
      </c>
      <c r="CA331" s="2" t="s">
        <v>753</v>
      </c>
      <c r="CB331" s="2" t="s">
        <v>2287</v>
      </c>
      <c r="CC331" s="2" t="s">
        <v>218</v>
      </c>
      <c r="CD331" s="2" t="s">
        <v>206</v>
      </c>
      <c r="CE331" s="4">
        <v>152</v>
      </c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>
        <v>56</v>
      </c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</row>
    <row r="332">
      <c r="A332" s="2" t="s">
        <v>2434</v>
      </c>
      <c r="B332" s="2" t="s">
        <v>613</v>
      </c>
      <c r="C332" s="2" t="s">
        <v>287</v>
      </c>
      <c r="D332" s="2" t="s">
        <v>628</v>
      </c>
      <c r="E332" s="2" t="s">
        <v>629</v>
      </c>
      <c r="F332" s="2" t="s">
        <v>2323</v>
      </c>
      <c r="G332" s="2" t="s">
        <v>2324</v>
      </c>
      <c r="H332" s="2" t="s">
        <v>2325</v>
      </c>
      <c r="I332" s="2" t="s">
        <v>2342</v>
      </c>
      <c r="J332" s="2" t="s">
        <v>2343</v>
      </c>
      <c r="K332" s="2" t="s">
        <v>2422</v>
      </c>
      <c r="L332" s="3">
        <v>18.4</v>
      </c>
      <c r="M332" s="3">
        <v>19.32</v>
      </c>
      <c r="N332" s="3">
        <v>39.99</v>
      </c>
      <c r="O332" s="2" t="s">
        <v>203</v>
      </c>
      <c r="P332" s="2" t="s">
        <v>204</v>
      </c>
      <c r="Q332" s="2" t="s">
        <v>205</v>
      </c>
      <c r="R332" s="2" t="s">
        <v>206</v>
      </c>
      <c r="S332" s="2" t="s">
        <v>2435</v>
      </c>
      <c r="T332" s="2" t="s">
        <v>206</v>
      </c>
      <c r="U332" s="2" t="s">
        <v>437</v>
      </c>
      <c r="V332" s="2" t="s">
        <v>209</v>
      </c>
      <c r="W332" s="2" t="s">
        <v>539</v>
      </c>
      <c r="X332" s="2" t="s">
        <v>1051</v>
      </c>
      <c r="Y332" s="2" t="s">
        <v>2436</v>
      </c>
      <c r="Z332" s="4">
        <v>181</v>
      </c>
      <c r="AA332" s="4">
        <f>=ROUNDDOWN(22.625,0)</f>
      </c>
      <c r="AB332" s="5">
        <v>8</v>
      </c>
      <c r="AC332" s="2" t="s">
        <v>206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206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 t="s">
        <v>206</v>
      </c>
      <c r="AW332" s="8" t="s">
        <v>206</v>
      </c>
      <c r="AX332" s="4" t="s">
        <v>206</v>
      </c>
      <c r="AY332" s="8" t="s">
        <v>206</v>
      </c>
      <c r="AZ332" s="7" t="s">
        <v>206</v>
      </c>
      <c r="BA332" s="7" t="s">
        <v>206</v>
      </c>
      <c r="BB332" s="7"/>
      <c r="BC332" s="4" t="s">
        <v>206</v>
      </c>
      <c r="BD332" s="8" t="s">
        <v>206</v>
      </c>
      <c r="BE332" s="4" t="s">
        <v>206</v>
      </c>
      <c r="BF332" s="8" t="s">
        <v>206</v>
      </c>
      <c r="BG332" s="7" t="s">
        <v>206</v>
      </c>
      <c r="BH332" s="7" t="s">
        <v>206</v>
      </c>
      <c r="BI332" s="7"/>
      <c r="BJ332" s="4">
        <v>78</v>
      </c>
      <c r="BK332" s="8">
        <v>1601.08</v>
      </c>
      <c r="BL332" s="2" t="s">
        <v>2437</v>
      </c>
      <c r="BM332" s="7"/>
      <c r="BN332" s="7"/>
      <c r="BO332" s="4"/>
      <c r="BP332" s="8"/>
      <c r="BQ332" s="4"/>
      <c r="BR332" s="8"/>
      <c r="BS332" s="7"/>
      <c r="BT332" s="7"/>
      <c r="BU332" s="2" t="s">
        <v>2438</v>
      </c>
      <c r="BV332" s="2" t="s">
        <v>206</v>
      </c>
      <c r="BW332" s="2" t="s">
        <v>206</v>
      </c>
      <c r="BX332" s="2" t="s">
        <v>426</v>
      </c>
      <c r="BY332" s="2" t="s">
        <v>215</v>
      </c>
      <c r="BZ332" s="2" t="s">
        <v>203</v>
      </c>
      <c r="CA332" s="2" t="s">
        <v>2439</v>
      </c>
      <c r="CB332" s="2" t="s">
        <v>2440</v>
      </c>
      <c r="CC332" s="2" t="s">
        <v>218</v>
      </c>
      <c r="CD332" s="2" t="s">
        <v>206</v>
      </c>
      <c r="CE332" s="4">
        <v>181</v>
      </c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</row>
    <row r="333">
      <c r="A333" s="2" t="s">
        <v>2441</v>
      </c>
      <c r="B333" s="2" t="s">
        <v>613</v>
      </c>
      <c r="C333" s="2" t="s">
        <v>287</v>
      </c>
      <c r="D333" s="2" t="s">
        <v>628</v>
      </c>
      <c r="E333" s="2" t="s">
        <v>629</v>
      </c>
      <c r="F333" s="2" t="s">
        <v>2323</v>
      </c>
      <c r="G333" s="2" t="s">
        <v>2324</v>
      </c>
      <c r="H333" s="2" t="s">
        <v>2325</v>
      </c>
      <c r="I333" s="2" t="s">
        <v>2326</v>
      </c>
      <c r="J333" s="2" t="s">
        <v>631</v>
      </c>
      <c r="K333" s="2" t="s">
        <v>1126</v>
      </c>
      <c r="L333" s="3">
        <v>16</v>
      </c>
      <c r="M333" s="3">
        <v>16.8</v>
      </c>
      <c r="N333" s="3">
        <v>39.99</v>
      </c>
      <c r="O333" s="2" t="s">
        <v>203</v>
      </c>
      <c r="P333" s="2" t="s">
        <v>204</v>
      </c>
      <c r="Q333" s="2" t="s">
        <v>205</v>
      </c>
      <c r="R333" s="2" t="s">
        <v>206</v>
      </c>
      <c r="S333" s="2" t="s">
        <v>2442</v>
      </c>
      <c r="T333" s="2" t="s">
        <v>206</v>
      </c>
      <c r="U333" s="2" t="s">
        <v>437</v>
      </c>
      <c r="V333" s="2" t="s">
        <v>209</v>
      </c>
      <c r="W333" s="2" t="s">
        <v>539</v>
      </c>
      <c r="X333" s="2" t="s">
        <v>1722</v>
      </c>
      <c r="Y333" s="2" t="s">
        <v>2353</v>
      </c>
      <c r="Z333" s="4">
        <v>869</v>
      </c>
      <c r="AA333" s="4">
        <f>=ROUNDDOWN(54.3125,0)</f>
      </c>
      <c r="AB333" s="5">
        <v>16</v>
      </c>
      <c r="AC333" s="2" t="s">
        <v>2443</v>
      </c>
      <c r="AD333" s="4">
        <v>100</v>
      </c>
      <c r="AE333" s="4">
        <v>100</v>
      </c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206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 t="s">
        <v>206</v>
      </c>
      <c r="AW333" s="8" t="s">
        <v>206</v>
      </c>
      <c r="AX333" s="4" t="s">
        <v>206</v>
      </c>
      <c r="AY333" s="8" t="s">
        <v>206</v>
      </c>
      <c r="AZ333" s="7" t="s">
        <v>206</v>
      </c>
      <c r="BA333" s="7" t="s">
        <v>206</v>
      </c>
      <c r="BB333" s="7"/>
      <c r="BC333" s="4" t="s">
        <v>206</v>
      </c>
      <c r="BD333" s="8" t="s">
        <v>206</v>
      </c>
      <c r="BE333" s="4" t="s">
        <v>206</v>
      </c>
      <c r="BF333" s="8" t="s">
        <v>206</v>
      </c>
      <c r="BG333" s="7" t="s">
        <v>206</v>
      </c>
      <c r="BH333" s="7" t="s">
        <v>206</v>
      </c>
      <c r="BI333" s="7"/>
      <c r="BJ333" s="4">
        <v>64</v>
      </c>
      <c r="BK333" s="8">
        <v>1067.85</v>
      </c>
      <c r="BL333" s="2" t="s">
        <v>2444</v>
      </c>
      <c r="BM333" s="7"/>
      <c r="BN333" s="7"/>
      <c r="BO333" s="4"/>
      <c r="BP333" s="8"/>
      <c r="BQ333" s="4"/>
      <c r="BR333" s="8"/>
      <c r="BS333" s="7"/>
      <c r="BT333" s="7"/>
      <c r="BU333" s="2" t="s">
        <v>2445</v>
      </c>
      <c r="BV333" s="2" t="s">
        <v>206</v>
      </c>
      <c r="BW333" s="2" t="s">
        <v>206</v>
      </c>
      <c r="BX333" s="2" t="s">
        <v>426</v>
      </c>
      <c r="BY333" s="2" t="s">
        <v>215</v>
      </c>
      <c r="BZ333" s="2" t="s">
        <v>203</v>
      </c>
      <c r="CA333" s="2" t="s">
        <v>2416</v>
      </c>
      <c r="CB333" s="2" t="s">
        <v>2446</v>
      </c>
      <c r="CC333" s="2" t="s">
        <v>218</v>
      </c>
      <c r="CD333" s="2" t="s">
        <v>206</v>
      </c>
      <c r="CE333" s="4">
        <v>869</v>
      </c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>
        <v>100</v>
      </c>
      <c r="FZ333" s="4"/>
      <c r="GA333" s="4"/>
      <c r="GB333" s="4"/>
      <c r="GC333" s="4"/>
      <c r="GD333" s="4"/>
      <c r="GE333" s="4"/>
      <c r="GF333" s="4"/>
    </row>
    <row r="334">
      <c r="A334" s="2" t="s">
        <v>2447</v>
      </c>
      <c r="B334" s="2" t="s">
        <v>613</v>
      </c>
      <c r="C334" s="2" t="s">
        <v>287</v>
      </c>
      <c r="D334" s="2" t="s">
        <v>628</v>
      </c>
      <c r="E334" s="2" t="s">
        <v>629</v>
      </c>
      <c r="F334" s="2" t="s">
        <v>2323</v>
      </c>
      <c r="G334" s="2" t="s">
        <v>2324</v>
      </c>
      <c r="H334" s="2" t="s">
        <v>2325</v>
      </c>
      <c r="I334" s="2" t="s">
        <v>2326</v>
      </c>
      <c r="J334" s="2" t="s">
        <v>731</v>
      </c>
      <c r="K334" s="2" t="s">
        <v>1126</v>
      </c>
      <c r="L334" s="3">
        <v>17.1</v>
      </c>
      <c r="M334" s="3">
        <v>17.96</v>
      </c>
      <c r="N334" s="3">
        <v>44.99</v>
      </c>
      <c r="O334" s="2" t="s">
        <v>203</v>
      </c>
      <c r="P334" s="2" t="s">
        <v>204</v>
      </c>
      <c r="Q334" s="2" t="s">
        <v>205</v>
      </c>
      <c r="R334" s="2" t="s">
        <v>206</v>
      </c>
      <c r="S334" s="2" t="s">
        <v>2442</v>
      </c>
      <c r="T334" s="2" t="s">
        <v>206</v>
      </c>
      <c r="U334" s="2" t="s">
        <v>437</v>
      </c>
      <c r="V334" s="2" t="s">
        <v>209</v>
      </c>
      <c r="W334" s="2" t="s">
        <v>539</v>
      </c>
      <c r="X334" s="2" t="s">
        <v>1722</v>
      </c>
      <c r="Y334" s="2" t="s">
        <v>2353</v>
      </c>
      <c r="Z334" s="4">
        <v>690</v>
      </c>
      <c r="AA334" s="4">
        <f>=ROUNDDOWN(53.0769230769231,0)</f>
      </c>
      <c r="AB334" s="5">
        <v>13</v>
      </c>
      <c r="AC334" s="2" t="s">
        <v>2443</v>
      </c>
      <c r="AD334" s="4">
        <v>200</v>
      </c>
      <c r="AE334" s="4">
        <v>200</v>
      </c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206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 t="s">
        <v>206</v>
      </c>
      <c r="AW334" s="8" t="s">
        <v>206</v>
      </c>
      <c r="AX334" s="4" t="s">
        <v>206</v>
      </c>
      <c r="AY334" s="8" t="s">
        <v>206</v>
      </c>
      <c r="AZ334" s="7" t="s">
        <v>206</v>
      </c>
      <c r="BA334" s="7" t="s">
        <v>206</v>
      </c>
      <c r="BB334" s="7"/>
      <c r="BC334" s="4" t="s">
        <v>206</v>
      </c>
      <c r="BD334" s="8" t="s">
        <v>206</v>
      </c>
      <c r="BE334" s="4" t="s">
        <v>206</v>
      </c>
      <c r="BF334" s="8" t="s">
        <v>206</v>
      </c>
      <c r="BG334" s="7" t="s">
        <v>206</v>
      </c>
      <c r="BH334" s="7" t="s">
        <v>206</v>
      </c>
      <c r="BI334" s="7"/>
      <c r="BJ334" s="4">
        <v>29</v>
      </c>
      <c r="BK334" s="8">
        <v>514.65</v>
      </c>
      <c r="BL334" s="2" t="s">
        <v>2448</v>
      </c>
      <c r="BM334" s="7"/>
      <c r="BN334" s="7"/>
      <c r="BO334" s="4"/>
      <c r="BP334" s="8"/>
      <c r="BQ334" s="4"/>
      <c r="BR334" s="8"/>
      <c r="BS334" s="7"/>
      <c r="BT334" s="7"/>
      <c r="BU334" s="2" t="s">
        <v>2449</v>
      </c>
      <c r="BV334" s="2" t="s">
        <v>206</v>
      </c>
      <c r="BW334" s="2" t="s">
        <v>206</v>
      </c>
      <c r="BX334" s="2" t="s">
        <v>426</v>
      </c>
      <c r="BY334" s="2" t="s">
        <v>215</v>
      </c>
      <c r="BZ334" s="2" t="s">
        <v>203</v>
      </c>
      <c r="CA334" s="2" t="s">
        <v>1168</v>
      </c>
      <c r="CB334" s="2" t="s">
        <v>2356</v>
      </c>
      <c r="CC334" s="2" t="s">
        <v>218</v>
      </c>
      <c r="CD334" s="2" t="s">
        <v>206</v>
      </c>
      <c r="CE334" s="4">
        <v>690</v>
      </c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>
        <v>200</v>
      </c>
      <c r="FZ334" s="4"/>
      <c r="GA334" s="4"/>
      <c r="GB334" s="4"/>
      <c r="GC334" s="4"/>
      <c r="GD334" s="4"/>
      <c r="GE334" s="4"/>
      <c r="GF334" s="4"/>
    </row>
    <row r="335">
      <c r="A335" s="2" t="s">
        <v>2450</v>
      </c>
      <c r="B335" s="2" t="s">
        <v>613</v>
      </c>
      <c r="C335" s="2" t="s">
        <v>287</v>
      </c>
      <c r="D335" s="2" t="s">
        <v>628</v>
      </c>
      <c r="E335" s="2" t="s">
        <v>629</v>
      </c>
      <c r="F335" s="2" t="s">
        <v>2323</v>
      </c>
      <c r="G335" s="2" t="s">
        <v>2324</v>
      </c>
      <c r="H335" s="2" t="s">
        <v>2325</v>
      </c>
      <c r="I335" s="2" t="s">
        <v>2326</v>
      </c>
      <c r="J335" s="2" t="s">
        <v>853</v>
      </c>
      <c r="K335" s="2" t="s">
        <v>1126</v>
      </c>
      <c r="L335" s="3">
        <v>21</v>
      </c>
      <c r="M335" s="3">
        <v>22.05</v>
      </c>
      <c r="N335" s="3">
        <v>49.99</v>
      </c>
      <c r="O335" s="2" t="s">
        <v>203</v>
      </c>
      <c r="P335" s="2" t="s">
        <v>204</v>
      </c>
      <c r="Q335" s="2" t="s">
        <v>205</v>
      </c>
      <c r="R335" s="2" t="s">
        <v>206</v>
      </c>
      <c r="S335" s="2" t="s">
        <v>2442</v>
      </c>
      <c r="T335" s="2" t="s">
        <v>206</v>
      </c>
      <c r="U335" s="2" t="s">
        <v>437</v>
      </c>
      <c r="V335" s="2" t="s">
        <v>209</v>
      </c>
      <c r="W335" s="2" t="s">
        <v>539</v>
      </c>
      <c r="X335" s="2" t="s">
        <v>1722</v>
      </c>
      <c r="Y335" s="2" t="s">
        <v>2353</v>
      </c>
      <c r="Z335" s="4">
        <v>250</v>
      </c>
      <c r="AA335" s="4">
        <f>=ROUNDDOWN(41.6666666666667,0)</f>
      </c>
      <c r="AB335" s="5">
        <v>6</v>
      </c>
      <c r="AC335" s="2" t="s">
        <v>2443</v>
      </c>
      <c r="AD335" s="4">
        <v>80</v>
      </c>
      <c r="AE335" s="4">
        <v>80</v>
      </c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206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 t="s">
        <v>206</v>
      </c>
      <c r="AW335" s="8" t="s">
        <v>206</v>
      </c>
      <c r="AX335" s="4" t="s">
        <v>206</v>
      </c>
      <c r="AY335" s="8" t="s">
        <v>206</v>
      </c>
      <c r="AZ335" s="7" t="s">
        <v>206</v>
      </c>
      <c r="BA335" s="7" t="s">
        <v>206</v>
      </c>
      <c r="BB335" s="7"/>
      <c r="BC335" s="4" t="s">
        <v>206</v>
      </c>
      <c r="BD335" s="8" t="s">
        <v>206</v>
      </c>
      <c r="BE335" s="4" t="s">
        <v>206</v>
      </c>
      <c r="BF335" s="8" t="s">
        <v>206</v>
      </c>
      <c r="BG335" s="7" t="s">
        <v>206</v>
      </c>
      <c r="BH335" s="7" t="s">
        <v>206</v>
      </c>
      <c r="BI335" s="7"/>
      <c r="BJ335" s="4">
        <v>42</v>
      </c>
      <c r="BK335" s="8">
        <v>902.76</v>
      </c>
      <c r="BL335" s="2" t="s">
        <v>2451</v>
      </c>
      <c r="BM335" s="7"/>
      <c r="BN335" s="7"/>
      <c r="BO335" s="4"/>
      <c r="BP335" s="8"/>
      <c r="BQ335" s="4"/>
      <c r="BR335" s="8"/>
      <c r="BS335" s="7"/>
      <c r="BT335" s="7"/>
      <c r="BU335" s="2" t="s">
        <v>2452</v>
      </c>
      <c r="BV335" s="2" t="s">
        <v>206</v>
      </c>
      <c r="BW335" s="2" t="s">
        <v>206</v>
      </c>
      <c r="BX335" s="2" t="s">
        <v>426</v>
      </c>
      <c r="BY335" s="2" t="s">
        <v>215</v>
      </c>
      <c r="BZ335" s="2" t="s">
        <v>203</v>
      </c>
      <c r="CA335" s="2" t="s">
        <v>2416</v>
      </c>
      <c r="CB335" s="2" t="s">
        <v>1338</v>
      </c>
      <c r="CC335" s="2" t="s">
        <v>218</v>
      </c>
      <c r="CD335" s="2" t="s">
        <v>206</v>
      </c>
      <c r="CE335" s="4">
        <v>250</v>
      </c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>
        <v>80</v>
      </c>
      <c r="FZ335" s="4"/>
      <c r="GA335" s="4"/>
      <c r="GB335" s="4"/>
      <c r="GC335" s="4"/>
      <c r="GD335" s="4"/>
      <c r="GE335" s="4"/>
      <c r="GF335" s="4"/>
    </row>
    <row r="336">
      <c r="A336" s="2" t="s">
        <v>2453</v>
      </c>
      <c r="B336" s="2" t="s">
        <v>613</v>
      </c>
      <c r="C336" s="2" t="s">
        <v>287</v>
      </c>
      <c r="D336" s="2" t="s">
        <v>628</v>
      </c>
      <c r="E336" s="2" t="s">
        <v>629</v>
      </c>
      <c r="F336" s="2" t="s">
        <v>2323</v>
      </c>
      <c r="G336" s="2" t="s">
        <v>2324</v>
      </c>
      <c r="H336" s="2" t="s">
        <v>2325</v>
      </c>
      <c r="I336" s="2" t="s">
        <v>2326</v>
      </c>
      <c r="J336" s="2" t="s">
        <v>2338</v>
      </c>
      <c r="K336" s="2" t="s">
        <v>1126</v>
      </c>
      <c r="L336" s="3">
        <v>23.1</v>
      </c>
      <c r="M336" s="3">
        <v>24.26</v>
      </c>
      <c r="N336" s="3">
        <v>54.99</v>
      </c>
      <c r="O336" s="2" t="s">
        <v>203</v>
      </c>
      <c r="P336" s="2" t="s">
        <v>204</v>
      </c>
      <c r="Q336" s="2" t="s">
        <v>205</v>
      </c>
      <c r="R336" s="2" t="s">
        <v>206</v>
      </c>
      <c r="S336" s="2" t="s">
        <v>2442</v>
      </c>
      <c r="T336" s="2" t="s">
        <v>206</v>
      </c>
      <c r="U336" s="2" t="s">
        <v>437</v>
      </c>
      <c r="V336" s="2" t="s">
        <v>209</v>
      </c>
      <c r="W336" s="2" t="s">
        <v>539</v>
      </c>
      <c r="X336" s="2" t="s">
        <v>1722</v>
      </c>
      <c r="Y336" s="2" t="s">
        <v>2353</v>
      </c>
      <c r="Z336" s="4">
        <v>184</v>
      </c>
      <c r="AA336" s="4">
        <f>=ROUNDDOWN(61.3333333333333,0)</f>
      </c>
      <c r="AB336" s="5">
        <v>3</v>
      </c>
      <c r="AC336" s="2" t="s">
        <v>206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206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 t="s">
        <v>206</v>
      </c>
      <c r="AW336" s="8" t="s">
        <v>206</v>
      </c>
      <c r="AX336" s="4" t="s">
        <v>206</v>
      </c>
      <c r="AY336" s="8" t="s">
        <v>206</v>
      </c>
      <c r="AZ336" s="7" t="s">
        <v>206</v>
      </c>
      <c r="BA336" s="7" t="s">
        <v>206</v>
      </c>
      <c r="BB336" s="7"/>
      <c r="BC336" s="4" t="s">
        <v>206</v>
      </c>
      <c r="BD336" s="8" t="s">
        <v>206</v>
      </c>
      <c r="BE336" s="4" t="s">
        <v>206</v>
      </c>
      <c r="BF336" s="8" t="s">
        <v>206</v>
      </c>
      <c r="BG336" s="7" t="s">
        <v>206</v>
      </c>
      <c r="BH336" s="7" t="s">
        <v>206</v>
      </c>
      <c r="BI336" s="7"/>
      <c r="BJ336" s="4">
        <v>2</v>
      </c>
      <c r="BK336" s="8">
        <v>66.88</v>
      </c>
      <c r="BL336" s="2" t="s">
        <v>2454</v>
      </c>
      <c r="BM336" s="7"/>
      <c r="BN336" s="7"/>
      <c r="BO336" s="4"/>
      <c r="BP336" s="8"/>
      <c r="BQ336" s="4"/>
      <c r="BR336" s="8"/>
      <c r="BS336" s="7"/>
      <c r="BT336" s="7"/>
      <c r="BU336" s="2" t="s">
        <v>2455</v>
      </c>
      <c r="BV336" s="2" t="s">
        <v>206</v>
      </c>
      <c r="BW336" s="2" t="s">
        <v>206</v>
      </c>
      <c r="BX336" s="2" t="s">
        <v>426</v>
      </c>
      <c r="BY336" s="2" t="s">
        <v>215</v>
      </c>
      <c r="BZ336" s="2" t="s">
        <v>203</v>
      </c>
      <c r="CA336" s="2" t="s">
        <v>2416</v>
      </c>
      <c r="CB336" s="2" t="s">
        <v>1984</v>
      </c>
      <c r="CC336" s="2" t="s">
        <v>218</v>
      </c>
      <c r="CD336" s="2" t="s">
        <v>206</v>
      </c>
      <c r="CE336" s="4">
        <v>184</v>
      </c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</row>
    <row r="337">
      <c r="A337" s="2" t="s">
        <v>2456</v>
      </c>
      <c r="B337" s="2" t="s">
        <v>613</v>
      </c>
      <c r="C337" s="2" t="s">
        <v>287</v>
      </c>
      <c r="D337" s="2" t="s">
        <v>628</v>
      </c>
      <c r="E337" s="2" t="s">
        <v>629</v>
      </c>
      <c r="F337" s="2" t="s">
        <v>2323</v>
      </c>
      <c r="G337" s="2" t="s">
        <v>2324</v>
      </c>
      <c r="H337" s="2" t="s">
        <v>2325</v>
      </c>
      <c r="I337" s="2" t="s">
        <v>2326</v>
      </c>
      <c r="J337" s="2" t="s">
        <v>853</v>
      </c>
      <c r="K337" s="2" t="s">
        <v>202</v>
      </c>
      <c r="L337" s="3">
        <v>21</v>
      </c>
      <c r="M337" s="3">
        <v>22.05</v>
      </c>
      <c r="N337" s="3">
        <v>49.99</v>
      </c>
      <c r="O337" s="2" t="s">
        <v>203</v>
      </c>
      <c r="P337" s="2" t="s">
        <v>492</v>
      </c>
      <c r="Q337" s="2" t="s">
        <v>205</v>
      </c>
      <c r="R337" s="2" t="s">
        <v>206</v>
      </c>
      <c r="S337" s="2" t="s">
        <v>2457</v>
      </c>
      <c r="T337" s="2" t="s">
        <v>206</v>
      </c>
      <c r="U337" s="2" t="s">
        <v>437</v>
      </c>
      <c r="V337" s="2" t="s">
        <v>209</v>
      </c>
      <c r="W337" s="2" t="s">
        <v>539</v>
      </c>
      <c r="X337" s="2" t="s">
        <v>1722</v>
      </c>
      <c r="Y337" s="2" t="s">
        <v>211</v>
      </c>
      <c r="Z337" s="4">
        <v>972</v>
      </c>
      <c r="AA337" s="4">
        <f>=ROUNDDOWN(32.4,0)</f>
      </c>
      <c r="AB337" s="5">
        <v>30</v>
      </c>
      <c r="AC337" s="2" t="s">
        <v>318</v>
      </c>
      <c r="AD337" s="4">
        <v>40</v>
      </c>
      <c r="AE337" s="4">
        <v>280</v>
      </c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206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 t="s">
        <v>206</v>
      </c>
      <c r="AW337" s="8" t="s">
        <v>206</v>
      </c>
      <c r="AX337" s="4" t="s">
        <v>206</v>
      </c>
      <c r="AY337" s="8" t="s">
        <v>206</v>
      </c>
      <c r="AZ337" s="7" t="s">
        <v>206</v>
      </c>
      <c r="BA337" s="7" t="s">
        <v>206</v>
      </c>
      <c r="BB337" s="7"/>
      <c r="BC337" s="4" t="s">
        <v>206</v>
      </c>
      <c r="BD337" s="8" t="s">
        <v>206</v>
      </c>
      <c r="BE337" s="4" t="s">
        <v>206</v>
      </c>
      <c r="BF337" s="8" t="s">
        <v>206</v>
      </c>
      <c r="BG337" s="7" t="s">
        <v>206</v>
      </c>
      <c r="BH337" s="7" t="s">
        <v>206</v>
      </c>
      <c r="BI337" s="7"/>
      <c r="BJ337" s="4">
        <v>180</v>
      </c>
      <c r="BK337" s="8">
        <v>3740.08</v>
      </c>
      <c r="BL337" s="2" t="s">
        <v>2458</v>
      </c>
      <c r="BM337" s="7"/>
      <c r="BN337" s="7"/>
      <c r="BO337" s="4"/>
      <c r="BP337" s="8"/>
      <c r="BQ337" s="4"/>
      <c r="BR337" s="8"/>
      <c r="BS337" s="7"/>
      <c r="BT337" s="7"/>
      <c r="BU337" s="2" t="s">
        <v>2459</v>
      </c>
      <c r="BV337" s="2" t="s">
        <v>206</v>
      </c>
      <c r="BW337" s="2" t="s">
        <v>206</v>
      </c>
      <c r="BX337" s="2" t="s">
        <v>426</v>
      </c>
      <c r="BY337" s="2" t="s">
        <v>215</v>
      </c>
      <c r="BZ337" s="2" t="s">
        <v>203</v>
      </c>
      <c r="CA337" s="2" t="s">
        <v>216</v>
      </c>
      <c r="CB337" s="2" t="s">
        <v>2407</v>
      </c>
      <c r="CC337" s="2" t="s">
        <v>218</v>
      </c>
      <c r="CD337" s="2" t="s">
        <v>206</v>
      </c>
      <c r="CE337" s="4">
        <v>972</v>
      </c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>
        <v>40</v>
      </c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>
        <v>240</v>
      </c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</row>
    <row r="338">
      <c r="A338" s="2" t="s">
        <v>2460</v>
      </c>
      <c r="B338" s="2" t="s">
        <v>613</v>
      </c>
      <c r="C338" s="2" t="s">
        <v>287</v>
      </c>
      <c r="D338" s="2" t="s">
        <v>628</v>
      </c>
      <c r="E338" s="2" t="s">
        <v>629</v>
      </c>
      <c r="F338" s="2" t="s">
        <v>2323</v>
      </c>
      <c r="G338" s="2" t="s">
        <v>2324</v>
      </c>
      <c r="H338" s="2" t="s">
        <v>2325</v>
      </c>
      <c r="I338" s="2" t="s">
        <v>2326</v>
      </c>
      <c r="J338" s="2" t="s">
        <v>2338</v>
      </c>
      <c r="K338" s="2" t="s">
        <v>202</v>
      </c>
      <c r="L338" s="3">
        <v>23.1</v>
      </c>
      <c r="M338" s="3">
        <v>24.26</v>
      </c>
      <c r="N338" s="3">
        <v>54.99</v>
      </c>
      <c r="O338" s="2" t="s">
        <v>203</v>
      </c>
      <c r="P338" s="2" t="s">
        <v>773</v>
      </c>
      <c r="Q338" s="2" t="s">
        <v>205</v>
      </c>
      <c r="R338" s="2" t="s">
        <v>206</v>
      </c>
      <c r="S338" s="2" t="s">
        <v>2457</v>
      </c>
      <c r="T338" s="2" t="s">
        <v>206</v>
      </c>
      <c r="U338" s="2" t="s">
        <v>437</v>
      </c>
      <c r="V338" s="2" t="s">
        <v>209</v>
      </c>
      <c r="W338" s="2" t="s">
        <v>539</v>
      </c>
      <c r="X338" s="2" t="s">
        <v>1722</v>
      </c>
      <c r="Y338" s="2" t="s">
        <v>211</v>
      </c>
      <c r="Z338" s="4">
        <v>495</v>
      </c>
      <c r="AA338" s="4">
        <f>=ROUNDDOWN(33,0)</f>
      </c>
      <c r="AB338" s="5">
        <v>15</v>
      </c>
      <c r="AC338" s="2" t="s">
        <v>969</v>
      </c>
      <c r="AD338" s="4">
        <v>100</v>
      </c>
      <c r="AE338" s="4">
        <v>100</v>
      </c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206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 t="s">
        <v>206</v>
      </c>
      <c r="AW338" s="8" t="s">
        <v>206</v>
      </c>
      <c r="AX338" s="4" t="s">
        <v>206</v>
      </c>
      <c r="AY338" s="8" t="s">
        <v>206</v>
      </c>
      <c r="AZ338" s="7" t="s">
        <v>206</v>
      </c>
      <c r="BA338" s="7" t="s">
        <v>206</v>
      </c>
      <c r="BB338" s="7"/>
      <c r="BC338" s="4" t="s">
        <v>206</v>
      </c>
      <c r="BD338" s="8" t="s">
        <v>206</v>
      </c>
      <c r="BE338" s="4" t="s">
        <v>206</v>
      </c>
      <c r="BF338" s="8" t="s">
        <v>206</v>
      </c>
      <c r="BG338" s="7" t="s">
        <v>206</v>
      </c>
      <c r="BH338" s="7" t="s">
        <v>206</v>
      </c>
      <c r="BI338" s="7"/>
      <c r="BJ338" s="4">
        <v>57</v>
      </c>
      <c r="BK338" s="8">
        <v>1310.47</v>
      </c>
      <c r="BL338" s="2" t="s">
        <v>2461</v>
      </c>
      <c r="BM338" s="7"/>
      <c r="BN338" s="7"/>
      <c r="BO338" s="4"/>
      <c r="BP338" s="8"/>
      <c r="BQ338" s="4"/>
      <c r="BR338" s="8"/>
      <c r="BS338" s="7"/>
      <c r="BT338" s="7"/>
      <c r="BU338" s="2" t="s">
        <v>2462</v>
      </c>
      <c r="BV338" s="2" t="s">
        <v>206</v>
      </c>
      <c r="BW338" s="2" t="s">
        <v>206</v>
      </c>
      <c r="BX338" s="2" t="s">
        <v>426</v>
      </c>
      <c r="BY338" s="2" t="s">
        <v>215</v>
      </c>
      <c r="BZ338" s="2" t="s">
        <v>203</v>
      </c>
      <c r="CA338" s="2" t="s">
        <v>938</v>
      </c>
      <c r="CB338" s="2" t="s">
        <v>939</v>
      </c>
      <c r="CC338" s="2" t="s">
        <v>218</v>
      </c>
      <c r="CD338" s="2" t="s">
        <v>206</v>
      </c>
      <c r="CE338" s="4">
        <v>495</v>
      </c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>
        <v>100</v>
      </c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</row>
    <row r="339">
      <c r="A339" s="2" t="s">
        <v>2463</v>
      </c>
      <c r="B339" s="2" t="s">
        <v>613</v>
      </c>
      <c r="C339" s="2" t="s">
        <v>287</v>
      </c>
      <c r="D339" s="2" t="s">
        <v>614</v>
      </c>
      <c r="E339" s="2" t="s">
        <v>615</v>
      </c>
      <c r="F339" s="2" t="s">
        <v>2323</v>
      </c>
      <c r="G339" s="2" t="s">
        <v>2324</v>
      </c>
      <c r="H339" s="2" t="s">
        <v>2325</v>
      </c>
      <c r="I339" s="2" t="s">
        <v>2363</v>
      </c>
      <c r="J339" s="2" t="s">
        <v>2364</v>
      </c>
      <c r="K339" s="2" t="s">
        <v>202</v>
      </c>
      <c r="L339" s="3">
        <v>12.6</v>
      </c>
      <c r="M339" s="3">
        <v>13.23</v>
      </c>
      <c r="N339" s="3">
        <v>29.99</v>
      </c>
      <c r="O339" s="2" t="s">
        <v>203</v>
      </c>
      <c r="P339" s="2" t="s">
        <v>773</v>
      </c>
      <c r="Q339" s="2" t="s">
        <v>205</v>
      </c>
      <c r="R339" s="2" t="s">
        <v>206</v>
      </c>
      <c r="S339" s="2" t="s">
        <v>2457</v>
      </c>
      <c r="T339" s="2" t="s">
        <v>206</v>
      </c>
      <c r="U339" s="2" t="s">
        <v>206</v>
      </c>
      <c r="V339" s="2" t="s">
        <v>209</v>
      </c>
      <c r="W339" s="2" t="s">
        <v>539</v>
      </c>
      <c r="X339" s="2" t="s">
        <v>206</v>
      </c>
      <c r="Y339" s="2" t="s">
        <v>2377</v>
      </c>
      <c r="Z339" s="4">
        <v>759</v>
      </c>
      <c r="AA339" s="4">
        <f>=ROUNDDOWN(50.6,0)</f>
      </c>
      <c r="AB339" s="5">
        <v>15</v>
      </c>
      <c r="AC339" s="2" t="s">
        <v>206</v>
      </c>
      <c r="AD339" s="4"/>
      <c r="AE339" s="4"/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206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 t="s">
        <v>206</v>
      </c>
      <c r="AW339" s="8" t="s">
        <v>206</v>
      </c>
      <c r="AX339" s="4" t="s">
        <v>206</v>
      </c>
      <c r="AY339" s="8" t="s">
        <v>206</v>
      </c>
      <c r="AZ339" s="7" t="s">
        <v>206</v>
      </c>
      <c r="BA339" s="7" t="s">
        <v>206</v>
      </c>
      <c r="BB339" s="7"/>
      <c r="BC339" s="4" t="s">
        <v>206</v>
      </c>
      <c r="BD339" s="8" t="s">
        <v>206</v>
      </c>
      <c r="BE339" s="4" t="s">
        <v>206</v>
      </c>
      <c r="BF339" s="8" t="s">
        <v>206</v>
      </c>
      <c r="BG339" s="7" t="s">
        <v>206</v>
      </c>
      <c r="BH339" s="7" t="s">
        <v>206</v>
      </c>
      <c r="BI339" s="7"/>
      <c r="BJ339" s="4">
        <v>44</v>
      </c>
      <c r="BK339" s="8">
        <v>639.64</v>
      </c>
      <c r="BL339" s="2" t="s">
        <v>2464</v>
      </c>
      <c r="BM339" s="7"/>
      <c r="BN339" s="7"/>
      <c r="BO339" s="4"/>
      <c r="BP339" s="8"/>
      <c r="BQ339" s="4"/>
      <c r="BR339" s="8"/>
      <c r="BS339" s="7"/>
      <c r="BT339" s="7"/>
      <c r="BU339" s="2" t="s">
        <v>2465</v>
      </c>
      <c r="BV339" s="2" t="s">
        <v>206</v>
      </c>
      <c r="BW339" s="2" t="s">
        <v>206</v>
      </c>
      <c r="BX339" s="2" t="s">
        <v>214</v>
      </c>
      <c r="BY339" s="2" t="s">
        <v>215</v>
      </c>
      <c r="BZ339" s="2" t="s">
        <v>203</v>
      </c>
      <c r="CA339" s="2" t="s">
        <v>753</v>
      </c>
      <c r="CB339" s="2" t="s">
        <v>2080</v>
      </c>
      <c r="CC339" s="2" t="s">
        <v>218</v>
      </c>
      <c r="CD339" s="2" t="s">
        <v>206</v>
      </c>
      <c r="CE339" s="4">
        <v>759</v>
      </c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</row>
    <row r="340">
      <c r="A340" s="2" t="s">
        <v>2466</v>
      </c>
      <c r="B340" s="2" t="s">
        <v>429</v>
      </c>
      <c r="C340" s="2" t="s">
        <v>447</v>
      </c>
      <c r="D340" s="2" t="s">
        <v>430</v>
      </c>
      <c r="E340" s="2" t="s">
        <v>431</v>
      </c>
      <c r="F340" s="2" t="s">
        <v>2467</v>
      </c>
      <c r="G340" s="2" t="s">
        <v>2467</v>
      </c>
      <c r="H340" s="2" t="s">
        <v>2467</v>
      </c>
      <c r="I340" s="2" t="s">
        <v>2468</v>
      </c>
      <c r="J340" s="2" t="s">
        <v>434</v>
      </c>
      <c r="K340" s="2" t="s">
        <v>450</v>
      </c>
      <c r="L340" s="3">
        <v>17.03</v>
      </c>
      <c r="M340" s="3">
        <v>17.88</v>
      </c>
      <c r="N340" s="3">
        <v>39.09</v>
      </c>
      <c r="O340" s="2" t="s">
        <v>203</v>
      </c>
      <c r="P340" s="2" t="s">
        <v>204</v>
      </c>
      <c r="Q340" s="2" t="s">
        <v>205</v>
      </c>
      <c r="R340" s="2" t="s">
        <v>206</v>
      </c>
      <c r="S340" s="2" t="s">
        <v>2469</v>
      </c>
      <c r="T340" s="2" t="s">
        <v>206</v>
      </c>
      <c r="U340" s="2" t="s">
        <v>437</v>
      </c>
      <c r="V340" s="2" t="s">
        <v>452</v>
      </c>
      <c r="W340" s="2" t="s">
        <v>453</v>
      </c>
      <c r="X340" s="2" t="s">
        <v>454</v>
      </c>
      <c r="Y340" s="2" t="s">
        <v>455</v>
      </c>
      <c r="Z340" s="4">
        <v>197</v>
      </c>
      <c r="AA340" s="4">
        <f>=ROUNDDOWN(21.8888888888889,0)</f>
      </c>
      <c r="AB340" s="5">
        <v>9</v>
      </c>
      <c r="AC340" s="2" t="s">
        <v>206</v>
      </c>
      <c r="AD340" s="4"/>
      <c r="AE340" s="4"/>
      <c r="AF340" s="6">
        <v>63</v>
      </c>
      <c r="AG340" s="6">
        <v>46</v>
      </c>
      <c r="AH340" s="7">
        <v>1</v>
      </c>
      <c r="AI340" s="4"/>
      <c r="AJ340" s="4">
        <f>=ROUNDDOWN({0},0)</f>
      </c>
      <c r="AK340" s="5"/>
      <c r="AL340" s="2" t="s">
        <v>206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>
        <v>37</v>
      </c>
      <c r="BK340" s="8">
        <v>784.02</v>
      </c>
      <c r="BL340" s="2" t="s">
        <v>2470</v>
      </c>
      <c r="BM340" s="7"/>
      <c r="BN340" s="7"/>
      <c r="BO340" s="4"/>
      <c r="BP340" s="8"/>
      <c r="BQ340" s="4"/>
      <c r="BR340" s="8"/>
      <c r="BS340" s="7"/>
      <c r="BT340" s="7"/>
      <c r="BU340" s="2" t="s">
        <v>2471</v>
      </c>
      <c r="BV340" s="2" t="s">
        <v>206</v>
      </c>
      <c r="BW340" s="2" t="s">
        <v>206</v>
      </c>
      <c r="BX340" s="2" t="s">
        <v>214</v>
      </c>
      <c r="BY340" s="2" t="s">
        <v>215</v>
      </c>
      <c r="BZ340" s="2" t="s">
        <v>203</v>
      </c>
      <c r="CA340" s="2" t="s">
        <v>458</v>
      </c>
      <c r="CB340" s="2" t="s">
        <v>1835</v>
      </c>
      <c r="CC340" s="2" t="s">
        <v>218</v>
      </c>
      <c r="CD340" s="2" t="s">
        <v>206</v>
      </c>
      <c r="CE340" s="4"/>
      <c r="CF340" s="4">
        <v>97</v>
      </c>
      <c r="CG340" s="4"/>
      <c r="CH340" s="4"/>
      <c r="CI340" s="4"/>
      <c r="CJ340" s="4"/>
      <c r="CK340" s="4"/>
      <c r="CL340" s="4"/>
      <c r="CM340" s="4"/>
      <c r="CN340" s="4"/>
      <c r="CO340" s="4">
        <v>100</v>
      </c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</row>
    <row r="341">
      <c r="A341" s="2" t="s">
        <v>2472</v>
      </c>
      <c r="B341" s="2" t="s">
        <v>429</v>
      </c>
      <c r="C341" s="2" t="s">
        <v>287</v>
      </c>
      <c r="D341" s="2" t="s">
        <v>909</v>
      </c>
      <c r="E341" s="2" t="s">
        <v>431</v>
      </c>
      <c r="F341" s="2" t="s">
        <v>2473</v>
      </c>
      <c r="G341" s="2" t="s">
        <v>206</v>
      </c>
      <c r="H341" s="2" t="s">
        <v>206</v>
      </c>
      <c r="I341" s="2" t="s">
        <v>2474</v>
      </c>
      <c r="J341" s="2" t="s">
        <v>434</v>
      </c>
      <c r="K341" s="2" t="s">
        <v>262</v>
      </c>
      <c r="L341" s="3">
        <v>48.43</v>
      </c>
      <c r="M341" s="3">
        <v>50.85</v>
      </c>
      <c r="N341" s="3">
        <v>98.59</v>
      </c>
      <c r="O341" s="2" t="s">
        <v>203</v>
      </c>
      <c r="P341" s="2" t="s">
        <v>467</v>
      </c>
      <c r="Q341" s="2" t="s">
        <v>205</v>
      </c>
      <c r="R341" s="2" t="s">
        <v>206</v>
      </c>
      <c r="S341" s="2" t="s">
        <v>2475</v>
      </c>
      <c r="T341" s="2" t="s">
        <v>206</v>
      </c>
      <c r="U341" s="2" t="s">
        <v>900</v>
      </c>
      <c r="V341" s="2" t="s">
        <v>438</v>
      </c>
      <c r="W341" s="2" t="s">
        <v>439</v>
      </c>
      <c r="X341" s="2" t="s">
        <v>206</v>
      </c>
      <c r="Y341" s="2" t="s">
        <v>2476</v>
      </c>
      <c r="Z341" s="4">
        <v>137</v>
      </c>
      <c r="AA341" s="4">
        <f>=ROUNDDOWN(45.6666666666667,0)</f>
      </c>
      <c r="AB341" s="5">
        <v>3</v>
      </c>
      <c r="AC341" s="2" t="s">
        <v>206</v>
      </c>
      <c r="AD341" s="4"/>
      <c r="AE341" s="4"/>
      <c r="AF341" s="6">
        <v>63</v>
      </c>
      <c r="AG341" s="6"/>
      <c r="AH341" s="7">
        <v>1</v>
      </c>
      <c r="AI341" s="4"/>
      <c r="AJ341" s="4">
        <f>=ROUNDDOWN({0},0)</f>
      </c>
      <c r="AK341" s="5"/>
      <c r="AL341" s="2" t="s">
        <v>206</v>
      </c>
      <c r="AM341" s="4"/>
      <c r="AN341" s="4"/>
      <c r="AO341" s="7"/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/>
      <c r="BD341" s="8"/>
      <c r="BE341" s="4"/>
      <c r="BF341" s="8"/>
      <c r="BG341" s="7"/>
      <c r="BH341" s="7"/>
      <c r="BI341" s="7"/>
      <c r="BJ341" s="4">
        <v>8</v>
      </c>
      <c r="BK341" s="8">
        <v>458.97</v>
      </c>
      <c r="BL341" s="2" t="s">
        <v>2477</v>
      </c>
      <c r="BM341" s="7"/>
      <c r="BN341" s="7"/>
      <c r="BO341" s="4"/>
      <c r="BP341" s="8"/>
      <c r="BQ341" s="4"/>
      <c r="BR341" s="8"/>
      <c r="BS341" s="7"/>
      <c r="BT341" s="7"/>
      <c r="BU341" s="2" t="s">
        <v>2478</v>
      </c>
      <c r="BV341" s="2" t="s">
        <v>206</v>
      </c>
      <c r="BW341" s="2" t="s">
        <v>206</v>
      </c>
      <c r="BX341" s="2" t="s">
        <v>214</v>
      </c>
      <c r="BY341" s="2" t="s">
        <v>215</v>
      </c>
      <c r="BZ341" s="2" t="s">
        <v>203</v>
      </c>
      <c r="CA341" s="2" t="s">
        <v>2479</v>
      </c>
      <c r="CB341" s="2" t="s">
        <v>2480</v>
      </c>
      <c r="CC341" s="2" t="s">
        <v>218</v>
      </c>
      <c r="CD341" s="2" t="s">
        <v>206</v>
      </c>
      <c r="CE341" s="4"/>
      <c r="CF341" s="4">
        <v>137</v>
      </c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</row>
    <row r="342">
      <c r="A342" s="2" t="s">
        <v>2481</v>
      </c>
      <c r="B342" s="2" t="s">
        <v>461</v>
      </c>
      <c r="C342" s="2" t="s">
        <v>828</v>
      </c>
      <c r="D342" s="2" t="s">
        <v>1072</v>
      </c>
      <c r="E342" s="2" t="s">
        <v>1073</v>
      </c>
      <c r="F342" s="2" t="s">
        <v>2482</v>
      </c>
      <c r="G342" s="2" t="s">
        <v>2482</v>
      </c>
      <c r="H342" s="2" t="s">
        <v>2482</v>
      </c>
      <c r="I342" s="2" t="s">
        <v>2483</v>
      </c>
      <c r="J342" s="2" t="s">
        <v>434</v>
      </c>
      <c r="K342" s="2" t="s">
        <v>1060</v>
      </c>
      <c r="L342" s="3">
        <v>102.6</v>
      </c>
      <c r="M342" s="3">
        <v>107.73</v>
      </c>
      <c r="N342" s="3">
        <v>219</v>
      </c>
      <c r="O342" s="2" t="s">
        <v>203</v>
      </c>
      <c r="P342" s="2" t="s">
        <v>467</v>
      </c>
      <c r="Q342" s="2" t="s">
        <v>205</v>
      </c>
      <c r="R342" s="2" t="s">
        <v>206</v>
      </c>
      <c r="S342" s="2" t="s">
        <v>206</v>
      </c>
      <c r="T342" s="2" t="s">
        <v>206</v>
      </c>
      <c r="U342" s="2" t="s">
        <v>900</v>
      </c>
      <c r="V342" s="2" t="s">
        <v>468</v>
      </c>
      <c r="W342" s="2" t="s">
        <v>539</v>
      </c>
      <c r="X342" s="2" t="s">
        <v>439</v>
      </c>
      <c r="Y342" s="2" t="s">
        <v>2484</v>
      </c>
      <c r="Z342" s="4">
        <v>100</v>
      </c>
      <c r="AA342" s="4">
        <f>=ROUNDDOWN(100,0)</f>
      </c>
      <c r="AB342" s="5">
        <v>1</v>
      </c>
      <c r="AC342" s="2" t="s">
        <v>206</v>
      </c>
      <c r="AD342" s="4"/>
      <c r="AE342" s="4"/>
      <c r="AF342" s="6">
        <v>76</v>
      </c>
      <c r="AG342" s="6"/>
      <c r="AH342" s="7">
        <v>1</v>
      </c>
      <c r="AI342" s="4"/>
      <c r="AJ342" s="4">
        <f>=ROUNDDOWN({0},0)</f>
      </c>
      <c r="AK342" s="5"/>
      <c r="AL342" s="2" t="s">
        <v>206</v>
      </c>
      <c r="AM342" s="4"/>
      <c r="AN342" s="4"/>
      <c r="AO342" s="7"/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206</v>
      </c>
      <c r="BD342" s="8" t="s">
        <v>206</v>
      </c>
      <c r="BE342" s="4" t="s">
        <v>206</v>
      </c>
      <c r="BF342" s="8" t="s">
        <v>206</v>
      </c>
      <c r="BG342" s="7" t="s">
        <v>206</v>
      </c>
      <c r="BH342" s="7" t="s">
        <v>206</v>
      </c>
      <c r="BI342" s="7"/>
      <c r="BJ342" s="4">
        <v>5</v>
      </c>
      <c r="BK342" s="8">
        <v>569.88</v>
      </c>
      <c r="BL342" s="2" t="s">
        <v>2485</v>
      </c>
      <c r="BM342" s="7"/>
      <c r="BN342" s="7"/>
      <c r="BO342" s="4"/>
      <c r="BP342" s="8"/>
      <c r="BQ342" s="4"/>
      <c r="BR342" s="8"/>
      <c r="BS342" s="7"/>
      <c r="BT342" s="7"/>
      <c r="BU342" s="2" t="s">
        <v>2486</v>
      </c>
      <c r="BV342" s="2" t="s">
        <v>206</v>
      </c>
      <c r="BW342" s="2" t="s">
        <v>206</v>
      </c>
      <c r="BX342" s="2" t="s">
        <v>214</v>
      </c>
      <c r="BY342" s="2" t="s">
        <v>215</v>
      </c>
      <c r="BZ342" s="2" t="s">
        <v>203</v>
      </c>
      <c r="CA342" s="2" t="s">
        <v>2340</v>
      </c>
      <c r="CB342" s="2" t="s">
        <v>2487</v>
      </c>
      <c r="CC342" s="2" t="s">
        <v>218</v>
      </c>
      <c r="CD342" s="2" t="s">
        <v>206</v>
      </c>
      <c r="CE342" s="4"/>
      <c r="CF342" s="4">
        <v>100</v>
      </c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</row>
    <row r="343">
      <c r="A343" s="2" t="s">
        <v>2488</v>
      </c>
      <c r="B343" s="2" t="s">
        <v>507</v>
      </c>
      <c r="C343" s="2" t="s">
        <v>462</v>
      </c>
      <c r="D343" s="2" t="s">
        <v>508</v>
      </c>
      <c r="E343" s="2" t="s">
        <v>509</v>
      </c>
      <c r="F343" s="2" t="s">
        <v>2482</v>
      </c>
      <c r="G343" s="2" t="s">
        <v>2482</v>
      </c>
      <c r="H343" s="2" t="s">
        <v>2482</v>
      </c>
      <c r="I343" s="2" t="s">
        <v>2489</v>
      </c>
      <c r="J343" s="2" t="s">
        <v>434</v>
      </c>
      <c r="K343" s="2" t="s">
        <v>202</v>
      </c>
      <c r="L343" s="3">
        <v>39.5</v>
      </c>
      <c r="M343" s="3">
        <v>41.48</v>
      </c>
      <c r="N343" s="3">
        <v>89.99</v>
      </c>
      <c r="O343" s="2" t="s">
        <v>203</v>
      </c>
      <c r="P343" s="2" t="s">
        <v>204</v>
      </c>
      <c r="Q343" s="2" t="s">
        <v>205</v>
      </c>
      <c r="R343" s="2" t="s">
        <v>206</v>
      </c>
      <c r="S343" s="2" t="s">
        <v>206</v>
      </c>
      <c r="T343" s="2" t="s">
        <v>206</v>
      </c>
      <c r="U343" s="2" t="s">
        <v>437</v>
      </c>
      <c r="V343" s="2" t="s">
        <v>468</v>
      </c>
      <c r="W343" s="2" t="s">
        <v>439</v>
      </c>
      <c r="X343" s="2" t="s">
        <v>206</v>
      </c>
      <c r="Y343" s="2" t="s">
        <v>2490</v>
      </c>
      <c r="Z343" s="4">
        <v>143</v>
      </c>
      <c r="AA343" s="4">
        <f>=ROUNDDOWN(79.4444444444444,0)</f>
      </c>
      <c r="AB343" s="5">
        <v>1.8</v>
      </c>
      <c r="AC343" s="2" t="s">
        <v>206</v>
      </c>
      <c r="AD343" s="4"/>
      <c r="AE343" s="4"/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206</v>
      </c>
      <c r="AM343" s="4"/>
      <c r="AN343" s="4"/>
      <c r="AO343" s="7"/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206</v>
      </c>
      <c r="BD343" s="8" t="s">
        <v>206</v>
      </c>
      <c r="BE343" s="4" t="s">
        <v>206</v>
      </c>
      <c r="BF343" s="8" t="s">
        <v>206</v>
      </c>
      <c r="BG343" s="7" t="s">
        <v>206</v>
      </c>
      <c r="BH343" s="7" t="s">
        <v>206</v>
      </c>
      <c r="BI343" s="7"/>
      <c r="BJ343" s="4">
        <v>7</v>
      </c>
      <c r="BK343" s="8">
        <v>309.4</v>
      </c>
      <c r="BL343" s="2" t="s">
        <v>2491</v>
      </c>
      <c r="BM343" s="7"/>
      <c r="BN343" s="7"/>
      <c r="BO343" s="4"/>
      <c r="BP343" s="8"/>
      <c r="BQ343" s="4"/>
      <c r="BR343" s="8"/>
      <c r="BS343" s="7"/>
      <c r="BT343" s="7"/>
      <c r="BU343" s="2" t="s">
        <v>2492</v>
      </c>
      <c r="BV343" s="2" t="s">
        <v>206</v>
      </c>
      <c r="BW343" s="2" t="s">
        <v>206</v>
      </c>
      <c r="BX343" s="2" t="s">
        <v>214</v>
      </c>
      <c r="BY343" s="2" t="s">
        <v>215</v>
      </c>
      <c r="BZ343" s="2" t="s">
        <v>203</v>
      </c>
      <c r="CA343" s="2" t="s">
        <v>2493</v>
      </c>
      <c r="CB343" s="2" t="s">
        <v>2494</v>
      </c>
      <c r="CC343" s="2" t="s">
        <v>218</v>
      </c>
      <c r="CD343" s="2" t="s">
        <v>206</v>
      </c>
      <c r="CE343" s="4"/>
      <c r="CF343" s="4">
        <v>143</v>
      </c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</row>
    <row r="344">
      <c r="A344" s="2" t="s">
        <v>2495</v>
      </c>
      <c r="B344" s="2" t="s">
        <v>546</v>
      </c>
      <c r="C344" s="2" t="s">
        <v>1145</v>
      </c>
      <c r="D344" s="2" t="s">
        <v>548</v>
      </c>
      <c r="E344" s="2" t="s">
        <v>549</v>
      </c>
      <c r="F344" s="2" t="s">
        <v>2496</v>
      </c>
      <c r="G344" s="2" t="s">
        <v>2497</v>
      </c>
      <c r="H344" s="2" t="s">
        <v>2498</v>
      </c>
      <c r="I344" s="2" t="s">
        <v>2499</v>
      </c>
      <c r="J344" s="2" t="s">
        <v>821</v>
      </c>
      <c r="K344" s="2" t="s">
        <v>483</v>
      </c>
      <c r="L344" s="3">
        <v>27.6</v>
      </c>
      <c r="M344" s="3">
        <v>28.98</v>
      </c>
      <c r="N344" s="3">
        <v>59.99</v>
      </c>
      <c r="O344" s="2" t="s">
        <v>203</v>
      </c>
      <c r="P344" s="2" t="s">
        <v>204</v>
      </c>
      <c r="Q344" s="2" t="s">
        <v>205</v>
      </c>
      <c r="R344" s="2" t="s">
        <v>206</v>
      </c>
      <c r="S344" s="2" t="s">
        <v>2500</v>
      </c>
      <c r="T344" s="2" t="s">
        <v>1721</v>
      </c>
      <c r="U344" s="2" t="s">
        <v>556</v>
      </c>
      <c r="V344" s="2" t="s">
        <v>209</v>
      </c>
      <c r="W344" s="2" t="s">
        <v>914</v>
      </c>
      <c r="X344" s="2" t="s">
        <v>2501</v>
      </c>
      <c r="Y344" s="2" t="s">
        <v>2502</v>
      </c>
      <c r="Z344" s="4">
        <v>484</v>
      </c>
      <c r="AA344" s="4">
        <f>=ROUNDDOWN(121,0)</f>
      </c>
      <c r="AB344" s="5">
        <v>4</v>
      </c>
      <c r="AC344" s="2" t="s">
        <v>206</v>
      </c>
      <c r="AD344" s="4"/>
      <c r="AE344" s="4"/>
      <c r="AF344" s="6">
        <v>64</v>
      </c>
      <c r="AG344" s="6"/>
      <c r="AH344" s="7">
        <v>1</v>
      </c>
      <c r="AI344" s="4"/>
      <c r="AJ344" s="4">
        <f>=ROUNDDOWN({0},0)</f>
      </c>
      <c r="AK344" s="5"/>
      <c r="AL344" s="2" t="s">
        <v>206</v>
      </c>
      <c r="AM344" s="4"/>
      <c r="AN344" s="4"/>
      <c r="AO344" s="7"/>
      <c r="AP344" s="4"/>
      <c r="AQ344" s="8"/>
      <c r="AR344" s="4"/>
      <c r="AS344" s="8"/>
      <c r="AT344" s="7"/>
      <c r="AU344" s="7"/>
      <c r="AV344" s="4" t="s">
        <v>206</v>
      </c>
      <c r="AW344" s="8" t="s">
        <v>206</v>
      </c>
      <c r="AX344" s="4" t="s">
        <v>206</v>
      </c>
      <c r="AY344" s="8" t="s">
        <v>206</v>
      </c>
      <c r="AZ344" s="7" t="s">
        <v>206</v>
      </c>
      <c r="BA344" s="7" t="s">
        <v>206</v>
      </c>
      <c r="BB344" s="7"/>
      <c r="BC344" s="4" t="s">
        <v>206</v>
      </c>
      <c r="BD344" s="8" t="s">
        <v>206</v>
      </c>
      <c r="BE344" s="4" t="s">
        <v>206</v>
      </c>
      <c r="BF344" s="8" t="s">
        <v>206</v>
      </c>
      <c r="BG344" s="7" t="s">
        <v>206</v>
      </c>
      <c r="BH344" s="7" t="s">
        <v>206</v>
      </c>
      <c r="BI344" s="7"/>
      <c r="BJ344" s="4"/>
      <c r="BK344" s="8"/>
      <c r="BL344" s="2" t="s">
        <v>2503</v>
      </c>
      <c r="BM344" s="7"/>
      <c r="BN344" s="7"/>
      <c r="BO344" s="4"/>
      <c r="BP344" s="8"/>
      <c r="BQ344" s="4"/>
      <c r="BR344" s="8"/>
      <c r="BS344" s="7"/>
      <c r="BT344" s="7"/>
      <c r="BU344" s="2" t="s">
        <v>2504</v>
      </c>
      <c r="BV344" s="2" t="s">
        <v>206</v>
      </c>
      <c r="BW344" s="2" t="s">
        <v>206</v>
      </c>
      <c r="BX344" s="2" t="s">
        <v>426</v>
      </c>
      <c r="BY344" s="2" t="s">
        <v>215</v>
      </c>
      <c r="BZ344" s="2" t="s">
        <v>203</v>
      </c>
      <c r="CA344" s="2" t="s">
        <v>2502</v>
      </c>
      <c r="CB344" s="2" t="s">
        <v>2505</v>
      </c>
      <c r="CC344" s="2" t="s">
        <v>218</v>
      </c>
      <c r="CD344" s="2" t="s">
        <v>206</v>
      </c>
      <c r="CE344" s="4">
        <v>374</v>
      </c>
      <c r="CF344" s="4">
        <v>110</v>
      </c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</row>
    <row r="345">
      <c r="A345" s="2" t="s">
        <v>2506</v>
      </c>
      <c r="B345" s="2" t="s">
        <v>546</v>
      </c>
      <c r="C345" s="2" t="s">
        <v>1145</v>
      </c>
      <c r="D345" s="2" t="s">
        <v>548</v>
      </c>
      <c r="E345" s="2" t="s">
        <v>549</v>
      </c>
      <c r="F345" s="2" t="s">
        <v>2496</v>
      </c>
      <c r="G345" s="2" t="s">
        <v>2497</v>
      </c>
      <c r="H345" s="2" t="s">
        <v>2498</v>
      </c>
      <c r="I345" s="2" t="s">
        <v>2499</v>
      </c>
      <c r="J345" s="2" t="s">
        <v>593</v>
      </c>
      <c r="K345" s="2" t="s">
        <v>483</v>
      </c>
      <c r="L345" s="3">
        <v>33.6</v>
      </c>
      <c r="M345" s="3">
        <v>35.28</v>
      </c>
      <c r="N345" s="3">
        <v>69.99</v>
      </c>
      <c r="O345" s="2" t="s">
        <v>203</v>
      </c>
      <c r="P345" s="2" t="s">
        <v>204</v>
      </c>
      <c r="Q345" s="2" t="s">
        <v>205</v>
      </c>
      <c r="R345" s="2" t="s">
        <v>206</v>
      </c>
      <c r="S345" s="2" t="s">
        <v>2500</v>
      </c>
      <c r="T345" s="2" t="s">
        <v>1721</v>
      </c>
      <c r="U345" s="2" t="s">
        <v>235</v>
      </c>
      <c r="V345" s="2" t="s">
        <v>209</v>
      </c>
      <c r="W345" s="2" t="s">
        <v>914</v>
      </c>
      <c r="X345" s="2" t="s">
        <v>2501</v>
      </c>
      <c r="Y345" s="2" t="s">
        <v>2502</v>
      </c>
      <c r="Z345" s="4">
        <v>497</v>
      </c>
      <c r="AA345" s="4">
        <f>=ROUNDDOWN(124.25,0)</f>
      </c>
      <c r="AB345" s="5">
        <v>4</v>
      </c>
      <c r="AC345" s="2" t="s">
        <v>206</v>
      </c>
      <c r="AD345" s="4"/>
      <c r="AE345" s="4"/>
      <c r="AF345" s="6">
        <v>64</v>
      </c>
      <c r="AG345" s="6"/>
      <c r="AH345" s="7">
        <v>1</v>
      </c>
      <c r="AI345" s="4"/>
      <c r="AJ345" s="4">
        <f>=ROUNDDOWN({0},0)</f>
      </c>
      <c r="AK345" s="5"/>
      <c r="AL345" s="2" t="s">
        <v>206</v>
      </c>
      <c r="AM345" s="4"/>
      <c r="AN345" s="4"/>
      <c r="AO345" s="7"/>
      <c r="AP345" s="4"/>
      <c r="AQ345" s="8"/>
      <c r="AR345" s="4"/>
      <c r="AS345" s="8"/>
      <c r="AT345" s="7"/>
      <c r="AU345" s="7"/>
      <c r="AV345" s="4" t="s">
        <v>206</v>
      </c>
      <c r="AW345" s="8" t="s">
        <v>206</v>
      </c>
      <c r="AX345" s="4" t="s">
        <v>206</v>
      </c>
      <c r="AY345" s="8" t="s">
        <v>206</v>
      </c>
      <c r="AZ345" s="7" t="s">
        <v>206</v>
      </c>
      <c r="BA345" s="7" t="s">
        <v>206</v>
      </c>
      <c r="BB345" s="7"/>
      <c r="BC345" s="4" t="s">
        <v>206</v>
      </c>
      <c r="BD345" s="8" t="s">
        <v>206</v>
      </c>
      <c r="BE345" s="4" t="s">
        <v>206</v>
      </c>
      <c r="BF345" s="8" t="s">
        <v>206</v>
      </c>
      <c r="BG345" s="7" t="s">
        <v>206</v>
      </c>
      <c r="BH345" s="7" t="s">
        <v>206</v>
      </c>
      <c r="BI345" s="7"/>
      <c r="BJ345" s="4">
        <v>20</v>
      </c>
      <c r="BK345" s="8">
        <v>696.26</v>
      </c>
      <c r="BL345" s="2" t="s">
        <v>2507</v>
      </c>
      <c r="BM345" s="7"/>
      <c r="BN345" s="7"/>
      <c r="BO345" s="4"/>
      <c r="BP345" s="8"/>
      <c r="BQ345" s="4"/>
      <c r="BR345" s="8"/>
      <c r="BS345" s="7"/>
      <c r="BT345" s="7"/>
      <c r="BU345" s="2" t="s">
        <v>2508</v>
      </c>
      <c r="BV345" s="2" t="s">
        <v>206</v>
      </c>
      <c r="BW345" s="2" t="s">
        <v>206</v>
      </c>
      <c r="BX345" s="2" t="s">
        <v>426</v>
      </c>
      <c r="BY345" s="2" t="s">
        <v>215</v>
      </c>
      <c r="BZ345" s="2" t="s">
        <v>203</v>
      </c>
      <c r="CA345" s="2" t="s">
        <v>2509</v>
      </c>
      <c r="CB345" s="2" t="s">
        <v>2187</v>
      </c>
      <c r="CC345" s="2" t="s">
        <v>218</v>
      </c>
      <c r="CD345" s="2" t="s">
        <v>206</v>
      </c>
      <c r="CE345" s="4">
        <v>497</v>
      </c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</row>
    <row r="346">
      <c r="A346" s="2" t="s">
        <v>2510</v>
      </c>
      <c r="B346" s="2" t="s">
        <v>546</v>
      </c>
      <c r="C346" s="2" t="s">
        <v>1145</v>
      </c>
      <c r="D346" s="2" t="s">
        <v>548</v>
      </c>
      <c r="E346" s="2" t="s">
        <v>549</v>
      </c>
      <c r="F346" s="2" t="s">
        <v>2496</v>
      </c>
      <c r="G346" s="2" t="s">
        <v>2497</v>
      </c>
      <c r="H346" s="2" t="s">
        <v>2498</v>
      </c>
      <c r="I346" s="2" t="s">
        <v>2499</v>
      </c>
      <c r="J346" s="2" t="s">
        <v>593</v>
      </c>
      <c r="K346" s="2" t="s">
        <v>262</v>
      </c>
      <c r="L346" s="3">
        <v>33.6</v>
      </c>
      <c r="M346" s="3">
        <v>35.28</v>
      </c>
      <c r="N346" s="3">
        <v>69.99</v>
      </c>
      <c r="O346" s="2" t="s">
        <v>203</v>
      </c>
      <c r="P346" s="2" t="s">
        <v>204</v>
      </c>
      <c r="Q346" s="2" t="s">
        <v>205</v>
      </c>
      <c r="R346" s="2" t="s">
        <v>206</v>
      </c>
      <c r="S346" s="2" t="s">
        <v>2511</v>
      </c>
      <c r="T346" s="2" t="s">
        <v>1721</v>
      </c>
      <c r="U346" s="2" t="s">
        <v>235</v>
      </c>
      <c r="V346" s="2" t="s">
        <v>209</v>
      </c>
      <c r="W346" s="2" t="s">
        <v>914</v>
      </c>
      <c r="X346" s="2" t="s">
        <v>2501</v>
      </c>
      <c r="Y346" s="2" t="s">
        <v>2512</v>
      </c>
      <c r="Z346" s="4">
        <v>112</v>
      </c>
      <c r="AA346" s="4">
        <f>=ROUNDDOWN(37.3333333333333,0)</f>
      </c>
      <c r="AB346" s="5">
        <v>3</v>
      </c>
      <c r="AC346" s="2" t="s">
        <v>623</v>
      </c>
      <c r="AD346" s="4">
        <v>60</v>
      </c>
      <c r="AE346" s="4">
        <v>60</v>
      </c>
      <c r="AF346" s="6">
        <v>64</v>
      </c>
      <c r="AG346" s="6"/>
      <c r="AH346" s="7">
        <v>1</v>
      </c>
      <c r="AI346" s="4"/>
      <c r="AJ346" s="4">
        <f>=ROUNDDOWN({0},0)</f>
      </c>
      <c r="AK346" s="5"/>
      <c r="AL346" s="2" t="s">
        <v>206</v>
      </c>
      <c r="AM346" s="4"/>
      <c r="AN346" s="4"/>
      <c r="AO346" s="7"/>
      <c r="AP346" s="4"/>
      <c r="AQ346" s="8"/>
      <c r="AR346" s="4"/>
      <c r="AS346" s="8"/>
      <c r="AT346" s="7"/>
      <c r="AU346" s="7"/>
      <c r="AV346" s="4" t="s">
        <v>206</v>
      </c>
      <c r="AW346" s="8" t="s">
        <v>206</v>
      </c>
      <c r="AX346" s="4" t="s">
        <v>206</v>
      </c>
      <c r="AY346" s="8" t="s">
        <v>206</v>
      </c>
      <c r="AZ346" s="7" t="s">
        <v>206</v>
      </c>
      <c r="BA346" s="7" t="s">
        <v>206</v>
      </c>
      <c r="BB346" s="7"/>
      <c r="BC346" s="4" t="s">
        <v>206</v>
      </c>
      <c r="BD346" s="8" t="s">
        <v>206</v>
      </c>
      <c r="BE346" s="4" t="s">
        <v>206</v>
      </c>
      <c r="BF346" s="8" t="s">
        <v>206</v>
      </c>
      <c r="BG346" s="7" t="s">
        <v>206</v>
      </c>
      <c r="BH346" s="7" t="s">
        <v>206</v>
      </c>
      <c r="BI346" s="7"/>
      <c r="BJ346" s="4">
        <v>9</v>
      </c>
      <c r="BK346" s="8">
        <v>311.82</v>
      </c>
      <c r="BL346" s="2" t="s">
        <v>2513</v>
      </c>
      <c r="BM346" s="7"/>
      <c r="BN346" s="7"/>
      <c r="BO346" s="4"/>
      <c r="BP346" s="8"/>
      <c r="BQ346" s="4"/>
      <c r="BR346" s="8"/>
      <c r="BS346" s="7"/>
      <c r="BT346" s="7"/>
      <c r="BU346" s="2" t="s">
        <v>2514</v>
      </c>
      <c r="BV346" s="2" t="s">
        <v>206</v>
      </c>
      <c r="BW346" s="2" t="s">
        <v>206</v>
      </c>
      <c r="BX346" s="2" t="s">
        <v>426</v>
      </c>
      <c r="BY346" s="2" t="s">
        <v>215</v>
      </c>
      <c r="BZ346" s="2" t="s">
        <v>203</v>
      </c>
      <c r="CA346" s="2" t="s">
        <v>2515</v>
      </c>
      <c r="CB346" s="2" t="s">
        <v>2516</v>
      </c>
      <c r="CC346" s="2" t="s">
        <v>218</v>
      </c>
      <c r="CD346" s="2" t="s">
        <v>206</v>
      </c>
      <c r="CE346" s="4">
        <v>112</v>
      </c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>
        <v>60</v>
      </c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</row>
    <row r="347">
      <c r="A347" s="2" t="s">
        <v>2517</v>
      </c>
      <c r="B347" s="2" t="s">
        <v>546</v>
      </c>
      <c r="C347" s="2" t="s">
        <v>1145</v>
      </c>
      <c r="D347" s="2" t="s">
        <v>548</v>
      </c>
      <c r="E347" s="2" t="s">
        <v>549</v>
      </c>
      <c r="F347" s="2" t="s">
        <v>2496</v>
      </c>
      <c r="G347" s="2" t="s">
        <v>2497</v>
      </c>
      <c r="H347" s="2" t="s">
        <v>2498</v>
      </c>
      <c r="I347" s="2" t="s">
        <v>2499</v>
      </c>
      <c r="J347" s="2" t="s">
        <v>582</v>
      </c>
      <c r="K347" s="2" t="s">
        <v>262</v>
      </c>
      <c r="L347" s="3">
        <v>36.75</v>
      </c>
      <c r="M347" s="3">
        <v>38.59</v>
      </c>
      <c r="N347" s="3">
        <v>74.99</v>
      </c>
      <c r="O347" s="2" t="s">
        <v>203</v>
      </c>
      <c r="P347" s="2" t="s">
        <v>204</v>
      </c>
      <c r="Q347" s="2" t="s">
        <v>205</v>
      </c>
      <c r="R347" s="2" t="s">
        <v>206</v>
      </c>
      <c r="S347" s="2" t="s">
        <v>2511</v>
      </c>
      <c r="T347" s="2" t="s">
        <v>1721</v>
      </c>
      <c r="U347" s="2" t="s">
        <v>235</v>
      </c>
      <c r="V347" s="2" t="s">
        <v>209</v>
      </c>
      <c r="W347" s="2" t="s">
        <v>914</v>
      </c>
      <c r="X347" s="2" t="s">
        <v>2501</v>
      </c>
      <c r="Y347" s="2" t="s">
        <v>2512</v>
      </c>
      <c r="Z347" s="4">
        <v>40</v>
      </c>
      <c r="AA347" s="4">
        <f>=ROUNDDOWN(13.3333333333333,0)</f>
      </c>
      <c r="AB347" s="5">
        <v>3</v>
      </c>
      <c r="AC347" s="2" t="s">
        <v>623</v>
      </c>
      <c r="AD347" s="4">
        <v>40</v>
      </c>
      <c r="AE347" s="4">
        <v>40</v>
      </c>
      <c r="AF347" s="6">
        <v>64</v>
      </c>
      <c r="AG347" s="6"/>
      <c r="AH347" s="7">
        <v>1</v>
      </c>
      <c r="AI347" s="4"/>
      <c r="AJ347" s="4">
        <f>=ROUNDDOWN({0},0)</f>
      </c>
      <c r="AK347" s="5"/>
      <c r="AL347" s="2" t="s">
        <v>206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 t="s">
        <v>206</v>
      </c>
      <c r="AW347" s="8" t="s">
        <v>206</v>
      </c>
      <c r="AX347" s="4" t="s">
        <v>206</v>
      </c>
      <c r="AY347" s="8" t="s">
        <v>206</v>
      </c>
      <c r="AZ347" s="7" t="s">
        <v>206</v>
      </c>
      <c r="BA347" s="7" t="s">
        <v>206</v>
      </c>
      <c r="BB347" s="7"/>
      <c r="BC347" s="4" t="s">
        <v>206</v>
      </c>
      <c r="BD347" s="8" t="s">
        <v>206</v>
      </c>
      <c r="BE347" s="4" t="s">
        <v>206</v>
      </c>
      <c r="BF347" s="8" t="s">
        <v>206</v>
      </c>
      <c r="BG347" s="7" t="s">
        <v>206</v>
      </c>
      <c r="BH347" s="7" t="s">
        <v>206</v>
      </c>
      <c r="BI347" s="7"/>
      <c r="BJ347" s="4">
        <v>7</v>
      </c>
      <c r="BK347" s="8">
        <v>288.61</v>
      </c>
      <c r="BL347" s="2" t="s">
        <v>2518</v>
      </c>
      <c r="BM347" s="7"/>
      <c r="BN347" s="7"/>
      <c r="BO347" s="4"/>
      <c r="BP347" s="8"/>
      <c r="BQ347" s="4"/>
      <c r="BR347" s="8"/>
      <c r="BS347" s="7"/>
      <c r="BT347" s="7"/>
      <c r="BU347" s="2" t="s">
        <v>2519</v>
      </c>
      <c r="BV347" s="2" t="s">
        <v>206</v>
      </c>
      <c r="BW347" s="2" t="s">
        <v>206</v>
      </c>
      <c r="BX347" s="2" t="s">
        <v>426</v>
      </c>
      <c r="BY347" s="2" t="s">
        <v>215</v>
      </c>
      <c r="BZ347" s="2" t="s">
        <v>203</v>
      </c>
      <c r="CA347" s="2" t="s">
        <v>2515</v>
      </c>
      <c r="CB347" s="2" t="s">
        <v>2516</v>
      </c>
      <c r="CC347" s="2" t="s">
        <v>218</v>
      </c>
      <c r="CD347" s="2" t="s">
        <v>206</v>
      </c>
      <c r="CE347" s="4">
        <v>40</v>
      </c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>
        <v>40</v>
      </c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</row>
    <row r="348">
      <c r="A348" s="2" t="s">
        <v>2520</v>
      </c>
      <c r="B348" s="2" t="s">
        <v>546</v>
      </c>
      <c r="C348" s="2" t="s">
        <v>1145</v>
      </c>
      <c r="D348" s="2" t="s">
        <v>548</v>
      </c>
      <c r="E348" s="2" t="s">
        <v>549</v>
      </c>
      <c r="F348" s="2" t="s">
        <v>2496</v>
      </c>
      <c r="G348" s="2" t="s">
        <v>2497</v>
      </c>
      <c r="H348" s="2" t="s">
        <v>2498</v>
      </c>
      <c r="I348" s="2" t="s">
        <v>2499</v>
      </c>
      <c r="J348" s="2" t="s">
        <v>821</v>
      </c>
      <c r="K348" s="2" t="s">
        <v>315</v>
      </c>
      <c r="L348" s="3">
        <v>27.6</v>
      </c>
      <c r="M348" s="3">
        <v>28.98</v>
      </c>
      <c r="N348" s="3">
        <v>59.99</v>
      </c>
      <c r="O348" s="2" t="s">
        <v>203</v>
      </c>
      <c r="P348" s="2" t="s">
        <v>492</v>
      </c>
      <c r="Q348" s="2" t="s">
        <v>205</v>
      </c>
      <c r="R348" s="2" t="s">
        <v>206</v>
      </c>
      <c r="S348" s="2" t="s">
        <v>2521</v>
      </c>
      <c r="T348" s="2" t="s">
        <v>1721</v>
      </c>
      <c r="U348" s="2" t="s">
        <v>556</v>
      </c>
      <c r="V348" s="2" t="s">
        <v>209</v>
      </c>
      <c r="W348" s="2" t="s">
        <v>914</v>
      </c>
      <c r="X348" s="2" t="s">
        <v>2501</v>
      </c>
      <c r="Y348" s="2" t="s">
        <v>2522</v>
      </c>
      <c r="Z348" s="4">
        <v>552</v>
      </c>
      <c r="AA348" s="4">
        <f>=ROUNDDOWN(138,0)</f>
      </c>
      <c r="AB348" s="5">
        <v>4</v>
      </c>
      <c r="AC348" s="2" t="s">
        <v>2250</v>
      </c>
      <c r="AD348" s="4">
        <v>180</v>
      </c>
      <c r="AE348" s="4">
        <v>180</v>
      </c>
      <c r="AF348" s="6">
        <v>64</v>
      </c>
      <c r="AG348" s="6">
        <v>47</v>
      </c>
      <c r="AH348" s="7">
        <v>1</v>
      </c>
      <c r="AI348" s="4"/>
      <c r="AJ348" s="4">
        <f>=ROUNDDOWN({0},0)</f>
      </c>
      <c r="AK348" s="5"/>
      <c r="AL348" s="2" t="s">
        <v>206</v>
      </c>
      <c r="AM348" s="4"/>
      <c r="AN348" s="4"/>
      <c r="AO348" s="7"/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206</v>
      </c>
      <c r="BD348" s="8" t="s">
        <v>206</v>
      </c>
      <c r="BE348" s="4" t="s">
        <v>206</v>
      </c>
      <c r="BF348" s="8" t="s">
        <v>206</v>
      </c>
      <c r="BG348" s="7" t="s">
        <v>206</v>
      </c>
      <c r="BH348" s="7" t="s">
        <v>206</v>
      </c>
      <c r="BI348" s="7"/>
      <c r="BJ348" s="4">
        <v>19</v>
      </c>
      <c r="BK348" s="8">
        <v>571.35</v>
      </c>
      <c r="BL348" s="2" t="s">
        <v>2523</v>
      </c>
      <c r="BM348" s="7"/>
      <c r="BN348" s="7"/>
      <c r="BO348" s="4"/>
      <c r="BP348" s="8"/>
      <c r="BQ348" s="4"/>
      <c r="BR348" s="8"/>
      <c r="BS348" s="7"/>
      <c r="BT348" s="7"/>
      <c r="BU348" s="2" t="s">
        <v>2524</v>
      </c>
      <c r="BV348" s="2" t="s">
        <v>206</v>
      </c>
      <c r="BW348" s="2" t="s">
        <v>206</v>
      </c>
      <c r="BX348" s="2" t="s">
        <v>426</v>
      </c>
      <c r="BY348" s="2" t="s">
        <v>215</v>
      </c>
      <c r="BZ348" s="2" t="s">
        <v>203</v>
      </c>
      <c r="CA348" s="2" t="s">
        <v>2525</v>
      </c>
      <c r="CB348" s="2" t="s">
        <v>2526</v>
      </c>
      <c r="CC348" s="2" t="s">
        <v>218</v>
      </c>
      <c r="CD348" s="2" t="s">
        <v>206</v>
      </c>
      <c r="CE348" s="4">
        <v>248</v>
      </c>
      <c r="CF348" s="4"/>
      <c r="CG348" s="4"/>
      <c r="CH348" s="4">
        <v>215</v>
      </c>
      <c r="CI348" s="4"/>
      <c r="CJ348" s="4"/>
      <c r="CK348" s="4"/>
      <c r="CL348" s="4">
        <v>89</v>
      </c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>
        <v>180</v>
      </c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</row>
    <row r="349">
      <c r="A349" s="2" t="s">
        <v>2527</v>
      </c>
      <c r="B349" s="2" t="s">
        <v>546</v>
      </c>
      <c r="C349" s="2" t="s">
        <v>1145</v>
      </c>
      <c r="D349" s="2" t="s">
        <v>529</v>
      </c>
      <c r="E349" s="2" t="s">
        <v>816</v>
      </c>
      <c r="F349" s="2" t="s">
        <v>2496</v>
      </c>
      <c r="G349" s="2" t="s">
        <v>2497</v>
      </c>
      <c r="H349" s="2" t="s">
        <v>2498</v>
      </c>
      <c r="I349" s="2" t="s">
        <v>2528</v>
      </c>
      <c r="J349" s="2" t="s">
        <v>821</v>
      </c>
      <c r="K349" s="2" t="s">
        <v>945</v>
      </c>
      <c r="L349" s="3">
        <v>31.05</v>
      </c>
      <c r="M349" s="3">
        <v>32.6</v>
      </c>
      <c r="N349" s="3">
        <v>59.99</v>
      </c>
      <c r="O349" s="2" t="s">
        <v>203</v>
      </c>
      <c r="P349" s="2" t="s">
        <v>204</v>
      </c>
      <c r="Q349" s="2" t="s">
        <v>205</v>
      </c>
      <c r="R349" s="2" t="s">
        <v>206</v>
      </c>
      <c r="S349" s="2" t="s">
        <v>2529</v>
      </c>
      <c r="T349" s="2" t="s">
        <v>1721</v>
      </c>
      <c r="U349" s="2" t="s">
        <v>556</v>
      </c>
      <c r="V349" s="2" t="s">
        <v>209</v>
      </c>
      <c r="W349" s="2" t="s">
        <v>914</v>
      </c>
      <c r="X349" s="2" t="s">
        <v>2501</v>
      </c>
      <c r="Y349" s="2" t="s">
        <v>2530</v>
      </c>
      <c r="Z349" s="4">
        <v>75</v>
      </c>
      <c r="AA349" s="4">
        <f>=ROUNDDOWN(25,0)</f>
      </c>
      <c r="AB349" s="5">
        <v>3</v>
      </c>
      <c r="AC349" s="2" t="s">
        <v>2531</v>
      </c>
      <c r="AD349" s="4">
        <v>75</v>
      </c>
      <c r="AE349" s="4">
        <v>75</v>
      </c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206</v>
      </c>
      <c r="AM349" s="4"/>
      <c r="AN349" s="4"/>
      <c r="AO349" s="7"/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206</v>
      </c>
      <c r="BD349" s="8" t="s">
        <v>206</v>
      </c>
      <c r="BE349" s="4" t="s">
        <v>206</v>
      </c>
      <c r="BF349" s="8" t="s">
        <v>206</v>
      </c>
      <c r="BG349" s="7" t="s">
        <v>206</v>
      </c>
      <c r="BH349" s="7" t="s">
        <v>206</v>
      </c>
      <c r="BI349" s="7"/>
      <c r="BJ349" s="4">
        <v>33</v>
      </c>
      <c r="BK349" s="8">
        <v>1095.56</v>
      </c>
      <c r="BL349" s="2" t="s">
        <v>2532</v>
      </c>
      <c r="BM349" s="7"/>
      <c r="BN349" s="7"/>
      <c r="BO349" s="4"/>
      <c r="BP349" s="8"/>
      <c r="BQ349" s="4"/>
      <c r="BR349" s="8"/>
      <c r="BS349" s="7"/>
      <c r="BT349" s="7"/>
      <c r="BU349" s="2" t="s">
        <v>2533</v>
      </c>
      <c r="BV349" s="2" t="s">
        <v>206</v>
      </c>
      <c r="BW349" s="2" t="s">
        <v>206</v>
      </c>
      <c r="BX349" s="2" t="s">
        <v>850</v>
      </c>
      <c r="BY349" s="2" t="s">
        <v>215</v>
      </c>
      <c r="BZ349" s="2" t="s">
        <v>203</v>
      </c>
      <c r="CA349" s="2" t="s">
        <v>2530</v>
      </c>
      <c r="CB349" s="2" t="s">
        <v>2534</v>
      </c>
      <c r="CC349" s="2" t="s">
        <v>218</v>
      </c>
      <c r="CD349" s="2" t="s">
        <v>206</v>
      </c>
      <c r="CE349" s="4">
        <v>75</v>
      </c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>
        <v>75</v>
      </c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</row>
    <row r="350">
      <c r="A350" s="2" t="s">
        <v>2535</v>
      </c>
      <c r="B350" s="2" t="s">
        <v>546</v>
      </c>
      <c r="C350" s="2" t="s">
        <v>1145</v>
      </c>
      <c r="D350" s="2" t="s">
        <v>548</v>
      </c>
      <c r="E350" s="2" t="s">
        <v>549</v>
      </c>
      <c r="F350" s="2" t="s">
        <v>2496</v>
      </c>
      <c r="G350" s="2" t="s">
        <v>2497</v>
      </c>
      <c r="H350" s="2" t="s">
        <v>2498</v>
      </c>
      <c r="I350" s="2" t="s">
        <v>2499</v>
      </c>
      <c r="J350" s="2" t="s">
        <v>821</v>
      </c>
      <c r="K350" s="2" t="s">
        <v>336</v>
      </c>
      <c r="L350" s="3">
        <v>27.6</v>
      </c>
      <c r="M350" s="3">
        <v>28.98</v>
      </c>
      <c r="N350" s="3">
        <v>59.99</v>
      </c>
      <c r="O350" s="2" t="s">
        <v>203</v>
      </c>
      <c r="P350" s="2" t="s">
        <v>204</v>
      </c>
      <c r="Q350" s="2" t="s">
        <v>205</v>
      </c>
      <c r="R350" s="2" t="s">
        <v>206</v>
      </c>
      <c r="S350" s="2" t="s">
        <v>2536</v>
      </c>
      <c r="T350" s="2" t="s">
        <v>1721</v>
      </c>
      <c r="U350" s="2" t="s">
        <v>556</v>
      </c>
      <c r="V350" s="2" t="s">
        <v>209</v>
      </c>
      <c r="W350" s="2" t="s">
        <v>914</v>
      </c>
      <c r="X350" s="2" t="s">
        <v>2501</v>
      </c>
      <c r="Y350" s="2" t="s">
        <v>2537</v>
      </c>
      <c r="Z350" s="4">
        <v>113</v>
      </c>
      <c r="AA350" s="4">
        <f>=ROUNDDOWN(37.6666666666667,0)</f>
      </c>
      <c r="AB350" s="5">
        <v>3</v>
      </c>
      <c r="AC350" s="2" t="s">
        <v>2250</v>
      </c>
      <c r="AD350" s="4">
        <v>130</v>
      </c>
      <c r="AE350" s="4">
        <v>130</v>
      </c>
      <c r="AF350" s="6">
        <v>64</v>
      </c>
      <c r="AG350" s="6"/>
      <c r="AH350" s="7">
        <v>1</v>
      </c>
      <c r="AI350" s="4"/>
      <c r="AJ350" s="4">
        <f>=ROUNDDOWN({0},0)</f>
      </c>
      <c r="AK350" s="5"/>
      <c r="AL350" s="2" t="s">
        <v>206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 t="s">
        <v>206</v>
      </c>
      <c r="AW350" s="8" t="s">
        <v>206</v>
      </c>
      <c r="AX350" s="4" t="s">
        <v>206</v>
      </c>
      <c r="AY350" s="8" t="s">
        <v>206</v>
      </c>
      <c r="AZ350" s="7" t="s">
        <v>206</v>
      </c>
      <c r="BA350" s="7" t="s">
        <v>206</v>
      </c>
      <c r="BB350" s="7"/>
      <c r="BC350" s="4" t="s">
        <v>206</v>
      </c>
      <c r="BD350" s="8" t="s">
        <v>206</v>
      </c>
      <c r="BE350" s="4" t="s">
        <v>206</v>
      </c>
      <c r="BF350" s="8" t="s">
        <v>206</v>
      </c>
      <c r="BG350" s="7" t="s">
        <v>206</v>
      </c>
      <c r="BH350" s="7" t="s">
        <v>206</v>
      </c>
      <c r="BI350" s="7"/>
      <c r="BJ350" s="4">
        <v>9</v>
      </c>
      <c r="BK350" s="8">
        <v>274.57</v>
      </c>
      <c r="BL350" s="2" t="s">
        <v>1362</v>
      </c>
      <c r="BM350" s="7"/>
      <c r="BN350" s="7"/>
      <c r="BO350" s="4"/>
      <c r="BP350" s="8"/>
      <c r="BQ350" s="4"/>
      <c r="BR350" s="8"/>
      <c r="BS350" s="7"/>
      <c r="BT350" s="7"/>
      <c r="BU350" s="2" t="s">
        <v>2538</v>
      </c>
      <c r="BV350" s="2" t="s">
        <v>206</v>
      </c>
      <c r="BW350" s="2" t="s">
        <v>206</v>
      </c>
      <c r="BX350" s="2" t="s">
        <v>426</v>
      </c>
      <c r="BY350" s="2" t="s">
        <v>215</v>
      </c>
      <c r="BZ350" s="2" t="s">
        <v>203</v>
      </c>
      <c r="CA350" s="2" t="s">
        <v>2539</v>
      </c>
      <c r="CB350" s="2" t="s">
        <v>2540</v>
      </c>
      <c r="CC350" s="2" t="s">
        <v>218</v>
      </c>
      <c r="CD350" s="2" t="s">
        <v>206</v>
      </c>
      <c r="CE350" s="4">
        <v>113</v>
      </c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>
        <v>130</v>
      </c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</row>
    <row r="351">
      <c r="A351" s="2" t="s">
        <v>2541</v>
      </c>
      <c r="B351" s="2" t="s">
        <v>546</v>
      </c>
      <c r="C351" s="2" t="s">
        <v>1145</v>
      </c>
      <c r="D351" s="2" t="s">
        <v>548</v>
      </c>
      <c r="E351" s="2" t="s">
        <v>549</v>
      </c>
      <c r="F351" s="2" t="s">
        <v>2496</v>
      </c>
      <c r="G351" s="2" t="s">
        <v>2497</v>
      </c>
      <c r="H351" s="2" t="s">
        <v>2498</v>
      </c>
      <c r="I351" s="2" t="s">
        <v>2499</v>
      </c>
      <c r="J351" s="2" t="s">
        <v>593</v>
      </c>
      <c r="K351" s="2" t="s">
        <v>336</v>
      </c>
      <c r="L351" s="3">
        <v>33.6</v>
      </c>
      <c r="M351" s="3">
        <v>35.28</v>
      </c>
      <c r="N351" s="3">
        <v>69.99</v>
      </c>
      <c r="O351" s="2" t="s">
        <v>203</v>
      </c>
      <c r="P351" s="2" t="s">
        <v>204</v>
      </c>
      <c r="Q351" s="2" t="s">
        <v>205</v>
      </c>
      <c r="R351" s="2" t="s">
        <v>206</v>
      </c>
      <c r="S351" s="2" t="s">
        <v>2536</v>
      </c>
      <c r="T351" s="2" t="s">
        <v>1721</v>
      </c>
      <c r="U351" s="2" t="s">
        <v>235</v>
      </c>
      <c r="V351" s="2" t="s">
        <v>209</v>
      </c>
      <c r="W351" s="2" t="s">
        <v>914</v>
      </c>
      <c r="X351" s="2" t="s">
        <v>2501</v>
      </c>
      <c r="Y351" s="2" t="s">
        <v>2537</v>
      </c>
      <c r="Z351" s="4">
        <v>138</v>
      </c>
      <c r="AA351" s="4">
        <f>=ROUNDDOWN(27.6,0)</f>
      </c>
      <c r="AB351" s="5">
        <v>5</v>
      </c>
      <c r="AC351" s="2" t="s">
        <v>115</v>
      </c>
      <c r="AD351" s="4">
        <v>70</v>
      </c>
      <c r="AE351" s="4">
        <v>210</v>
      </c>
      <c r="AF351" s="6">
        <v>64</v>
      </c>
      <c r="AG351" s="6"/>
      <c r="AH351" s="7">
        <v>1</v>
      </c>
      <c r="AI351" s="4"/>
      <c r="AJ351" s="4">
        <f>=ROUNDDOWN({0},0)</f>
      </c>
      <c r="AK351" s="5"/>
      <c r="AL351" s="2" t="s">
        <v>206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 t="s">
        <v>206</v>
      </c>
      <c r="AW351" s="8" t="s">
        <v>206</v>
      </c>
      <c r="AX351" s="4" t="s">
        <v>206</v>
      </c>
      <c r="AY351" s="8" t="s">
        <v>206</v>
      </c>
      <c r="AZ351" s="7" t="s">
        <v>206</v>
      </c>
      <c r="BA351" s="7" t="s">
        <v>206</v>
      </c>
      <c r="BB351" s="7"/>
      <c r="BC351" s="4" t="s">
        <v>206</v>
      </c>
      <c r="BD351" s="8" t="s">
        <v>206</v>
      </c>
      <c r="BE351" s="4" t="s">
        <v>206</v>
      </c>
      <c r="BF351" s="8" t="s">
        <v>206</v>
      </c>
      <c r="BG351" s="7" t="s">
        <v>206</v>
      </c>
      <c r="BH351" s="7" t="s">
        <v>206</v>
      </c>
      <c r="BI351" s="7"/>
      <c r="BJ351" s="4">
        <v>27</v>
      </c>
      <c r="BK351" s="8">
        <v>919.27</v>
      </c>
      <c r="BL351" s="2" t="s">
        <v>2542</v>
      </c>
      <c r="BM351" s="7"/>
      <c r="BN351" s="7"/>
      <c r="BO351" s="4"/>
      <c r="BP351" s="8"/>
      <c r="BQ351" s="4"/>
      <c r="BR351" s="8"/>
      <c r="BS351" s="7"/>
      <c r="BT351" s="7"/>
      <c r="BU351" s="2" t="s">
        <v>2543</v>
      </c>
      <c r="BV351" s="2" t="s">
        <v>206</v>
      </c>
      <c r="BW351" s="2" t="s">
        <v>206</v>
      </c>
      <c r="BX351" s="2" t="s">
        <v>426</v>
      </c>
      <c r="BY351" s="2" t="s">
        <v>215</v>
      </c>
      <c r="BZ351" s="2" t="s">
        <v>203</v>
      </c>
      <c r="CA351" s="2" t="s">
        <v>2539</v>
      </c>
      <c r="CB351" s="2" t="s">
        <v>2526</v>
      </c>
      <c r="CC351" s="2" t="s">
        <v>218</v>
      </c>
      <c r="CD351" s="2" t="s">
        <v>206</v>
      </c>
      <c r="CE351" s="4">
        <v>138</v>
      </c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>
        <v>70</v>
      </c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>
        <v>140</v>
      </c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</row>
    <row r="352">
      <c r="A352" s="2" t="s">
        <v>2544</v>
      </c>
      <c r="B352" s="2" t="s">
        <v>546</v>
      </c>
      <c r="C352" s="2" t="s">
        <v>1145</v>
      </c>
      <c r="D352" s="2" t="s">
        <v>529</v>
      </c>
      <c r="E352" s="2" t="s">
        <v>816</v>
      </c>
      <c r="F352" s="2" t="s">
        <v>2496</v>
      </c>
      <c r="G352" s="2" t="s">
        <v>2497</v>
      </c>
      <c r="H352" s="2" t="s">
        <v>2498</v>
      </c>
      <c r="I352" s="2" t="s">
        <v>2528</v>
      </c>
      <c r="J352" s="2" t="s">
        <v>821</v>
      </c>
      <c r="K352" s="2" t="s">
        <v>1410</v>
      </c>
      <c r="L352" s="3">
        <v>31.05</v>
      </c>
      <c r="M352" s="3">
        <v>32.6</v>
      </c>
      <c r="N352" s="3">
        <v>59.99</v>
      </c>
      <c r="O352" s="2" t="s">
        <v>203</v>
      </c>
      <c r="P352" s="2" t="s">
        <v>204</v>
      </c>
      <c r="Q352" s="2" t="s">
        <v>205</v>
      </c>
      <c r="R352" s="2" t="s">
        <v>206</v>
      </c>
      <c r="S352" s="2" t="s">
        <v>2545</v>
      </c>
      <c r="T352" s="2" t="s">
        <v>1721</v>
      </c>
      <c r="U352" s="2" t="s">
        <v>556</v>
      </c>
      <c r="V352" s="2" t="s">
        <v>209</v>
      </c>
      <c r="W352" s="2" t="s">
        <v>914</v>
      </c>
      <c r="X352" s="2" t="s">
        <v>2501</v>
      </c>
      <c r="Y352" s="2" t="s">
        <v>2530</v>
      </c>
      <c r="Z352" s="4">
        <v>126</v>
      </c>
      <c r="AA352" s="4">
        <f>=ROUNDDOWN(42,0)</f>
      </c>
      <c r="AB352" s="5">
        <v>3</v>
      </c>
      <c r="AC352" s="2" t="s">
        <v>206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206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 t="s">
        <v>206</v>
      </c>
      <c r="BD352" s="8" t="s">
        <v>206</v>
      </c>
      <c r="BE352" s="4" t="s">
        <v>206</v>
      </c>
      <c r="BF352" s="8" t="s">
        <v>206</v>
      </c>
      <c r="BG352" s="7" t="s">
        <v>206</v>
      </c>
      <c r="BH352" s="7" t="s">
        <v>206</v>
      </c>
      <c r="BI352" s="7"/>
      <c r="BJ352" s="4">
        <v>4</v>
      </c>
      <c r="BK352" s="8">
        <v>124.86</v>
      </c>
      <c r="BL352" s="2" t="s">
        <v>1335</v>
      </c>
      <c r="BM352" s="7"/>
      <c r="BN352" s="7"/>
      <c r="BO352" s="4"/>
      <c r="BP352" s="8"/>
      <c r="BQ352" s="4"/>
      <c r="BR352" s="8"/>
      <c r="BS352" s="7"/>
      <c r="BT352" s="7"/>
      <c r="BU352" s="2" t="s">
        <v>2546</v>
      </c>
      <c r="BV352" s="2" t="s">
        <v>206</v>
      </c>
      <c r="BW352" s="2" t="s">
        <v>206</v>
      </c>
      <c r="BX352" s="2" t="s">
        <v>850</v>
      </c>
      <c r="BY352" s="2" t="s">
        <v>215</v>
      </c>
      <c r="BZ352" s="2" t="s">
        <v>203</v>
      </c>
      <c r="CA352" s="2" t="s">
        <v>2530</v>
      </c>
      <c r="CB352" s="2" t="s">
        <v>2547</v>
      </c>
      <c r="CC352" s="2" t="s">
        <v>218</v>
      </c>
      <c r="CD352" s="2" t="s">
        <v>206</v>
      </c>
      <c r="CE352" s="4">
        <v>126</v>
      </c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</row>
    <row r="353">
      <c r="A353" s="2" t="s">
        <v>2548</v>
      </c>
      <c r="B353" s="2" t="s">
        <v>546</v>
      </c>
      <c r="C353" s="2" t="s">
        <v>1145</v>
      </c>
      <c r="D353" s="2" t="s">
        <v>548</v>
      </c>
      <c r="E353" s="2" t="s">
        <v>549</v>
      </c>
      <c r="F353" s="2" t="s">
        <v>2496</v>
      </c>
      <c r="G353" s="2" t="s">
        <v>2497</v>
      </c>
      <c r="H353" s="2" t="s">
        <v>2498</v>
      </c>
      <c r="I353" s="2" t="s">
        <v>2499</v>
      </c>
      <c r="J353" s="2" t="s">
        <v>593</v>
      </c>
      <c r="K353" s="2" t="s">
        <v>499</v>
      </c>
      <c r="L353" s="3">
        <v>33.6</v>
      </c>
      <c r="M353" s="3">
        <v>35.28</v>
      </c>
      <c r="N353" s="3">
        <v>69.99</v>
      </c>
      <c r="O353" s="2" t="s">
        <v>203</v>
      </c>
      <c r="P353" s="2" t="s">
        <v>204</v>
      </c>
      <c r="Q353" s="2" t="s">
        <v>205</v>
      </c>
      <c r="R353" s="2" t="s">
        <v>206</v>
      </c>
      <c r="S353" s="2" t="s">
        <v>2549</v>
      </c>
      <c r="T353" s="2" t="s">
        <v>1721</v>
      </c>
      <c r="U353" s="2" t="s">
        <v>235</v>
      </c>
      <c r="V353" s="2" t="s">
        <v>209</v>
      </c>
      <c r="W353" s="2" t="s">
        <v>914</v>
      </c>
      <c r="X353" s="2" t="s">
        <v>2501</v>
      </c>
      <c r="Y353" s="2" t="s">
        <v>2550</v>
      </c>
      <c r="Z353" s="4">
        <v>342</v>
      </c>
      <c r="AA353" s="4">
        <f>=ROUNDDOWN(85.5,0)</f>
      </c>
      <c r="AB353" s="5">
        <v>4</v>
      </c>
      <c r="AC353" s="2" t="s">
        <v>2250</v>
      </c>
      <c r="AD353" s="4">
        <v>60</v>
      </c>
      <c r="AE353" s="4">
        <v>60</v>
      </c>
      <c r="AF353" s="6">
        <v>64</v>
      </c>
      <c r="AG353" s="6"/>
      <c r="AH353" s="7">
        <v>1</v>
      </c>
      <c r="AI353" s="4"/>
      <c r="AJ353" s="4">
        <f>=ROUNDDOWN({0},0)</f>
      </c>
      <c r="AK353" s="5"/>
      <c r="AL353" s="2" t="s">
        <v>206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 t="s">
        <v>206</v>
      </c>
      <c r="BD353" s="8" t="s">
        <v>206</v>
      </c>
      <c r="BE353" s="4" t="s">
        <v>206</v>
      </c>
      <c r="BF353" s="8" t="s">
        <v>206</v>
      </c>
      <c r="BG353" s="7" t="s">
        <v>206</v>
      </c>
      <c r="BH353" s="7" t="s">
        <v>206</v>
      </c>
      <c r="BI353" s="7"/>
      <c r="BJ353" s="4">
        <v>15</v>
      </c>
      <c r="BK353" s="8">
        <v>506.13</v>
      </c>
      <c r="BL353" s="2" t="s">
        <v>2551</v>
      </c>
      <c r="BM353" s="7"/>
      <c r="BN353" s="7"/>
      <c r="BO353" s="4"/>
      <c r="BP353" s="8"/>
      <c r="BQ353" s="4"/>
      <c r="BR353" s="8"/>
      <c r="BS353" s="7"/>
      <c r="BT353" s="7"/>
      <c r="BU353" s="2" t="s">
        <v>2552</v>
      </c>
      <c r="BV353" s="2" t="s">
        <v>206</v>
      </c>
      <c r="BW353" s="2" t="s">
        <v>206</v>
      </c>
      <c r="BX353" s="2" t="s">
        <v>426</v>
      </c>
      <c r="BY353" s="2" t="s">
        <v>215</v>
      </c>
      <c r="BZ353" s="2" t="s">
        <v>203</v>
      </c>
      <c r="CA353" s="2" t="s">
        <v>2550</v>
      </c>
      <c r="CB353" s="2" t="s">
        <v>2553</v>
      </c>
      <c r="CC353" s="2" t="s">
        <v>218</v>
      </c>
      <c r="CD353" s="2" t="s">
        <v>206</v>
      </c>
      <c r="CE353" s="4">
        <v>342</v>
      </c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>
        <v>60</v>
      </c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</row>
    <row r="354">
      <c r="A354" s="2" t="s">
        <v>2554</v>
      </c>
      <c r="B354" s="2" t="s">
        <v>461</v>
      </c>
      <c r="C354" s="2" t="s">
        <v>447</v>
      </c>
      <c r="D354" s="2" t="s">
        <v>1072</v>
      </c>
      <c r="E354" s="2" t="s">
        <v>1073</v>
      </c>
      <c r="F354" s="2" t="s">
        <v>2555</v>
      </c>
      <c r="G354" s="2" t="s">
        <v>2555</v>
      </c>
      <c r="H354" s="2" t="s">
        <v>2555</v>
      </c>
      <c r="I354" s="2" t="s">
        <v>2556</v>
      </c>
      <c r="J354" s="2" t="s">
        <v>434</v>
      </c>
      <c r="K354" s="2" t="s">
        <v>1508</v>
      </c>
      <c r="L354" s="3">
        <v>145.35</v>
      </c>
      <c r="M354" s="3">
        <v>152.62</v>
      </c>
      <c r="N354" s="3">
        <v>299</v>
      </c>
      <c r="O354" s="2" t="s">
        <v>203</v>
      </c>
      <c r="P354" s="2" t="s">
        <v>467</v>
      </c>
      <c r="Q354" s="2" t="s">
        <v>205</v>
      </c>
      <c r="R354" s="2" t="s">
        <v>206</v>
      </c>
      <c r="S354" s="2" t="s">
        <v>206</v>
      </c>
      <c r="T354" s="2" t="s">
        <v>206</v>
      </c>
      <c r="U354" s="2" t="s">
        <v>900</v>
      </c>
      <c r="V354" s="2" t="s">
        <v>468</v>
      </c>
      <c r="W354" s="2" t="s">
        <v>877</v>
      </c>
      <c r="X354" s="2" t="s">
        <v>454</v>
      </c>
      <c r="Y354" s="2" t="s">
        <v>2557</v>
      </c>
      <c r="Z354" s="4">
        <v>146</v>
      </c>
      <c r="AA354" s="4">
        <f>=ROUNDDOWN(69.5238095238095,0)</f>
      </c>
      <c r="AB354" s="5">
        <v>2.1</v>
      </c>
      <c r="AC354" s="2" t="s">
        <v>206</v>
      </c>
      <c r="AD354" s="4"/>
      <c r="AE354" s="4"/>
      <c r="AF354" s="6">
        <v>74</v>
      </c>
      <c r="AG354" s="6"/>
      <c r="AH354" s="7">
        <v>1</v>
      </c>
      <c r="AI354" s="4"/>
      <c r="AJ354" s="4">
        <f>=ROUNDDOWN({0},0)</f>
      </c>
      <c r="AK354" s="5"/>
      <c r="AL354" s="2" t="s">
        <v>206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>
        <v>5</v>
      </c>
      <c r="BK354" s="8">
        <v>786</v>
      </c>
      <c r="BL354" s="2" t="s">
        <v>2558</v>
      </c>
      <c r="BM354" s="7"/>
      <c r="BN354" s="7"/>
      <c r="BO354" s="4"/>
      <c r="BP354" s="8"/>
      <c r="BQ354" s="4"/>
      <c r="BR354" s="8"/>
      <c r="BS354" s="7"/>
      <c r="BT354" s="7"/>
      <c r="BU354" s="2" t="s">
        <v>2559</v>
      </c>
      <c r="BV354" s="2" t="s">
        <v>206</v>
      </c>
      <c r="BW354" s="2" t="s">
        <v>206</v>
      </c>
      <c r="BX354" s="2" t="s">
        <v>214</v>
      </c>
      <c r="BY354" s="2" t="s">
        <v>215</v>
      </c>
      <c r="BZ354" s="2" t="s">
        <v>203</v>
      </c>
      <c r="CA354" s="2" t="s">
        <v>2557</v>
      </c>
      <c r="CB354" s="2" t="s">
        <v>2560</v>
      </c>
      <c r="CC354" s="2" t="s">
        <v>218</v>
      </c>
      <c r="CD354" s="2" t="s">
        <v>206</v>
      </c>
      <c r="CE354" s="4"/>
      <c r="CF354" s="4">
        <v>146</v>
      </c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</row>
    <row r="355">
      <c r="A355" s="2" t="s">
        <v>2561</v>
      </c>
      <c r="B355" s="2" t="s">
        <v>429</v>
      </c>
      <c r="C355" s="2" t="s">
        <v>287</v>
      </c>
      <c r="D355" s="2" t="s">
        <v>2562</v>
      </c>
      <c r="E355" s="2" t="s">
        <v>2563</v>
      </c>
      <c r="F355" s="2" t="s">
        <v>2564</v>
      </c>
      <c r="G355" s="2" t="s">
        <v>2564</v>
      </c>
      <c r="H355" s="2" t="s">
        <v>2564</v>
      </c>
      <c r="I355" s="2" t="s">
        <v>2565</v>
      </c>
      <c r="J355" s="2" t="s">
        <v>2566</v>
      </c>
      <c r="K355" s="2" t="s">
        <v>833</v>
      </c>
      <c r="L355" s="3">
        <v>50.43</v>
      </c>
      <c r="M355" s="3">
        <v>52.95</v>
      </c>
      <c r="N355" s="3">
        <v>93.49</v>
      </c>
      <c r="O355" s="2" t="s">
        <v>203</v>
      </c>
      <c r="P355" s="2" t="s">
        <v>492</v>
      </c>
      <c r="Q355" s="2" t="s">
        <v>205</v>
      </c>
      <c r="R355" s="2" t="s">
        <v>206</v>
      </c>
      <c r="S355" s="2" t="s">
        <v>206</v>
      </c>
      <c r="T355" s="2" t="s">
        <v>206</v>
      </c>
      <c r="U355" s="2" t="s">
        <v>437</v>
      </c>
      <c r="V355" s="2" t="s">
        <v>438</v>
      </c>
      <c r="W355" s="2" t="s">
        <v>206</v>
      </c>
      <c r="X355" s="2" t="s">
        <v>206</v>
      </c>
      <c r="Y355" s="2" t="s">
        <v>493</v>
      </c>
      <c r="Z355" s="4">
        <v>291</v>
      </c>
      <c r="AA355" s="4">
        <f>=ROUNDDOWN(19.4,0)</f>
      </c>
      <c r="AB355" s="5">
        <v>15</v>
      </c>
      <c r="AC355" s="2" t="s">
        <v>2567</v>
      </c>
      <c r="AD355" s="4">
        <v>100</v>
      </c>
      <c r="AE355" s="4">
        <v>130</v>
      </c>
      <c r="AF355" s="6">
        <v>65</v>
      </c>
      <c r="AG355" s="6">
        <v>48</v>
      </c>
      <c r="AH355" s="7">
        <v>0.4839</v>
      </c>
      <c r="AI355" s="4"/>
      <c r="AJ355" s="4">
        <f>=ROUNDDOWN({0},0)</f>
      </c>
      <c r="AK355" s="5"/>
      <c r="AL355" s="2" t="s">
        <v>206</v>
      </c>
      <c r="AM355" s="4"/>
      <c r="AN355" s="4"/>
      <c r="AO355" s="7"/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>
        <v>30</v>
      </c>
      <c r="BK355" s="8">
        <v>1691.78</v>
      </c>
      <c r="BL355" s="2" t="s">
        <v>2568</v>
      </c>
      <c r="BM355" s="7"/>
      <c r="BN355" s="7"/>
      <c r="BO355" s="4"/>
      <c r="BP355" s="8"/>
      <c r="BQ355" s="4"/>
      <c r="BR355" s="8"/>
      <c r="BS355" s="7"/>
      <c r="BT355" s="7"/>
      <c r="BU355" s="2" t="s">
        <v>2569</v>
      </c>
      <c r="BV355" s="2" t="s">
        <v>206</v>
      </c>
      <c r="BW355" s="2" t="s">
        <v>206</v>
      </c>
      <c r="BX355" s="2" t="s">
        <v>426</v>
      </c>
      <c r="BY355" s="2" t="s">
        <v>215</v>
      </c>
      <c r="BZ355" s="2" t="s">
        <v>203</v>
      </c>
      <c r="CA355" s="2" t="s">
        <v>2570</v>
      </c>
      <c r="CB355" s="2" t="s">
        <v>2571</v>
      </c>
      <c r="CC355" s="2" t="s">
        <v>218</v>
      </c>
      <c r="CD355" s="2" t="s">
        <v>206</v>
      </c>
      <c r="CE355" s="4"/>
      <c r="CF355" s="4">
        <v>151</v>
      </c>
      <c r="CG355" s="4"/>
      <c r="CH355" s="4"/>
      <c r="CI355" s="4"/>
      <c r="CJ355" s="4"/>
      <c r="CK355" s="4"/>
      <c r="CL355" s="4"/>
      <c r="CM355" s="4"/>
      <c r="CN355" s="4"/>
      <c r="CO355" s="4">
        <v>140</v>
      </c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>
        <v>100</v>
      </c>
      <c r="FM355" s="4"/>
      <c r="FN355" s="4"/>
      <c r="FO355" s="4"/>
      <c r="FP355" s="4"/>
      <c r="FQ355" s="4"/>
      <c r="FR355" s="4"/>
      <c r="FS355" s="4"/>
      <c r="FT355" s="4"/>
      <c r="FU355" s="4"/>
      <c r="FV355" s="4">
        <v>30</v>
      </c>
      <c r="FW355" s="4"/>
      <c r="FX355" s="4"/>
      <c r="FY355" s="4"/>
      <c r="FZ355" s="4"/>
      <c r="GA355" s="4"/>
      <c r="GB355" s="4"/>
      <c r="GC355" s="4"/>
      <c r="GD355" s="4"/>
      <c r="GE355" s="4"/>
      <c r="GF355" s="4"/>
    </row>
    <row r="356">
      <c r="A356" s="2" t="s">
        <v>2572</v>
      </c>
      <c r="B356" s="2" t="s">
        <v>800</v>
      </c>
      <c r="C356" s="2" t="s">
        <v>1858</v>
      </c>
      <c r="D356" s="2" t="s">
        <v>1859</v>
      </c>
      <c r="E356" s="2" t="s">
        <v>2573</v>
      </c>
      <c r="F356" s="2" t="s">
        <v>2574</v>
      </c>
      <c r="G356" s="2" t="s">
        <v>2574</v>
      </c>
      <c r="H356" s="2" t="s">
        <v>2574</v>
      </c>
      <c r="I356" s="2" t="s">
        <v>2575</v>
      </c>
      <c r="J356" s="2" t="s">
        <v>806</v>
      </c>
      <c r="K356" s="2" t="s">
        <v>1508</v>
      </c>
      <c r="L356" s="3">
        <v>30.02</v>
      </c>
      <c r="M356" s="3">
        <v>31.52</v>
      </c>
      <c r="N356" s="3">
        <v>64.99</v>
      </c>
      <c r="O356" s="2" t="s">
        <v>203</v>
      </c>
      <c r="P356" s="2" t="s">
        <v>204</v>
      </c>
      <c r="Q356" s="2" t="s">
        <v>205</v>
      </c>
      <c r="R356" s="2" t="s">
        <v>206</v>
      </c>
      <c r="S356" s="2" t="s">
        <v>206</v>
      </c>
      <c r="T356" s="2" t="s">
        <v>2576</v>
      </c>
      <c r="U356" s="2" t="s">
        <v>437</v>
      </c>
      <c r="V356" s="2" t="s">
        <v>209</v>
      </c>
      <c r="W356" s="2" t="s">
        <v>210</v>
      </c>
      <c r="X356" s="2" t="s">
        <v>206</v>
      </c>
      <c r="Y356" s="2" t="s">
        <v>2577</v>
      </c>
      <c r="Z356" s="4">
        <v>848</v>
      </c>
      <c r="AA356" s="4">
        <f>=ROUNDDOWN(56.5333333333333,0)</f>
      </c>
      <c r="AB356" s="5">
        <v>15</v>
      </c>
      <c r="AC356" s="2" t="s">
        <v>206</v>
      </c>
      <c r="AD356" s="4"/>
      <c r="AE356" s="4"/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206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>
        <v>55</v>
      </c>
      <c r="BK356" s="8">
        <v>1774.6</v>
      </c>
      <c r="BL356" s="2" t="s">
        <v>2578</v>
      </c>
      <c r="BM356" s="7"/>
      <c r="BN356" s="7"/>
      <c r="BO356" s="4"/>
      <c r="BP356" s="8"/>
      <c r="BQ356" s="4"/>
      <c r="BR356" s="8"/>
      <c r="BS356" s="7"/>
      <c r="BT356" s="7"/>
      <c r="BU356" s="2" t="s">
        <v>2579</v>
      </c>
      <c r="BV356" s="2" t="s">
        <v>206</v>
      </c>
      <c r="BW356" s="2" t="s">
        <v>206</v>
      </c>
      <c r="BX356" s="2" t="s">
        <v>214</v>
      </c>
      <c r="BY356" s="2" t="s">
        <v>215</v>
      </c>
      <c r="BZ356" s="2" t="s">
        <v>203</v>
      </c>
      <c r="CA356" s="2" t="s">
        <v>2580</v>
      </c>
      <c r="CB356" s="2" t="s">
        <v>2581</v>
      </c>
      <c r="CC356" s="2" t="s">
        <v>218</v>
      </c>
      <c r="CD356" s="2" t="s">
        <v>206</v>
      </c>
      <c r="CE356" s="4">
        <v>848</v>
      </c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  <c r="FW356" s="4"/>
      <c r="FX356" s="4"/>
      <c r="FY356" s="4"/>
      <c r="FZ356" s="4"/>
      <c r="GA356" s="4"/>
      <c r="GB356" s="4"/>
      <c r="GC356" s="4"/>
      <c r="GD356" s="4"/>
      <c r="GE356" s="4"/>
      <c r="GF356" s="4"/>
    </row>
    <row r="357">
      <c r="A357" s="2" t="s">
        <v>2582</v>
      </c>
      <c r="B357" s="2" t="s">
        <v>507</v>
      </c>
      <c r="C357" s="2" t="s">
        <v>462</v>
      </c>
      <c r="D357" s="2" t="s">
        <v>508</v>
      </c>
      <c r="E357" s="2" t="s">
        <v>509</v>
      </c>
      <c r="F357" s="2" t="s">
        <v>2583</v>
      </c>
      <c r="G357" s="2" t="s">
        <v>2583</v>
      </c>
      <c r="H357" s="2" t="s">
        <v>2583</v>
      </c>
      <c r="I357" s="2" t="s">
        <v>2584</v>
      </c>
      <c r="J357" s="2" t="s">
        <v>434</v>
      </c>
      <c r="K357" s="2" t="s">
        <v>2585</v>
      </c>
      <c r="L357" s="3">
        <v>49</v>
      </c>
      <c r="M357" s="3">
        <v>51.45</v>
      </c>
      <c r="N357" s="3">
        <v>99.99</v>
      </c>
      <c r="O357" s="2" t="s">
        <v>203</v>
      </c>
      <c r="P357" s="2" t="s">
        <v>467</v>
      </c>
      <c r="Q357" s="2" t="s">
        <v>205</v>
      </c>
      <c r="R357" s="2" t="s">
        <v>206</v>
      </c>
      <c r="S357" s="2" t="s">
        <v>206</v>
      </c>
      <c r="T357" s="2" t="s">
        <v>206</v>
      </c>
      <c r="U357" s="2" t="s">
        <v>437</v>
      </c>
      <c r="V357" s="2" t="s">
        <v>468</v>
      </c>
      <c r="W357" s="2" t="s">
        <v>439</v>
      </c>
      <c r="X357" s="2" t="s">
        <v>210</v>
      </c>
      <c r="Y357" s="2" t="s">
        <v>2586</v>
      </c>
      <c r="Z357" s="4">
        <v>63</v>
      </c>
      <c r="AA357" s="4">
        <f>=ROUNDDOWN(63,0)</f>
      </c>
      <c r="AB357" s="5">
        <v>1</v>
      </c>
      <c r="AC357" s="2" t="s">
        <v>206</v>
      </c>
      <c r="AD357" s="4"/>
      <c r="AE357" s="4"/>
      <c r="AF357" s="6">
        <v>63</v>
      </c>
      <c r="AG357" s="6"/>
      <c r="AH357" s="7">
        <v>1</v>
      </c>
      <c r="AI357" s="4"/>
      <c r="AJ357" s="4">
        <f>=ROUNDDOWN({0},0)</f>
      </c>
      <c r="AK357" s="5"/>
      <c r="AL357" s="2" t="s">
        <v>206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/>
      <c r="BD357" s="8"/>
      <c r="BE357" s="4"/>
      <c r="BF357" s="8"/>
      <c r="BG357" s="7"/>
      <c r="BH357" s="7"/>
      <c r="BI357" s="7"/>
      <c r="BJ357" s="4">
        <v>1</v>
      </c>
      <c r="BK357" s="8">
        <v>54.02</v>
      </c>
      <c r="BL357" s="2" t="s">
        <v>2587</v>
      </c>
      <c r="BM357" s="7"/>
      <c r="BN357" s="7"/>
      <c r="BO357" s="4"/>
      <c r="BP357" s="8"/>
      <c r="BQ357" s="4"/>
      <c r="BR357" s="8"/>
      <c r="BS357" s="7"/>
      <c r="BT357" s="7"/>
      <c r="BU357" s="2" t="s">
        <v>2588</v>
      </c>
      <c r="BV357" s="2" t="s">
        <v>206</v>
      </c>
      <c r="BW357" s="2" t="s">
        <v>206</v>
      </c>
      <c r="BX357" s="2" t="s">
        <v>214</v>
      </c>
      <c r="BY357" s="2" t="s">
        <v>215</v>
      </c>
      <c r="BZ357" s="2" t="s">
        <v>203</v>
      </c>
      <c r="CA357" s="2" t="s">
        <v>2331</v>
      </c>
      <c r="CB357" s="2" t="s">
        <v>2589</v>
      </c>
      <c r="CC357" s="2" t="s">
        <v>218</v>
      </c>
      <c r="CD357" s="2" t="s">
        <v>206</v>
      </c>
      <c r="CE357" s="4"/>
      <c r="CF357" s="4">
        <v>63</v>
      </c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  <c r="FW357" s="4"/>
      <c r="FX357" s="4"/>
      <c r="FY357" s="4"/>
      <c r="FZ357" s="4"/>
      <c r="GA357" s="4"/>
      <c r="GB357" s="4"/>
      <c r="GC357" s="4"/>
      <c r="GD357" s="4"/>
      <c r="GE357" s="4"/>
      <c r="GF357" s="4"/>
    </row>
    <row r="358">
      <c r="A358" s="2" t="s">
        <v>2590</v>
      </c>
      <c r="B358" s="2" t="s">
        <v>429</v>
      </c>
      <c r="C358" s="2" t="s">
        <v>287</v>
      </c>
      <c r="D358" s="2" t="s">
        <v>909</v>
      </c>
      <c r="E358" s="2" t="s">
        <v>910</v>
      </c>
      <c r="F358" s="2" t="s">
        <v>2591</v>
      </c>
      <c r="G358" s="2" t="s">
        <v>2591</v>
      </c>
      <c r="H358" s="2" t="s">
        <v>2591</v>
      </c>
      <c r="I358" s="2" t="s">
        <v>2592</v>
      </c>
      <c r="J358" s="2" t="s">
        <v>434</v>
      </c>
      <c r="K358" s="2" t="s">
        <v>450</v>
      </c>
      <c r="L358" s="3">
        <v>49.63</v>
      </c>
      <c r="M358" s="3">
        <v>52.11</v>
      </c>
      <c r="N358" s="3">
        <v>96.04</v>
      </c>
      <c r="O358" s="2" t="s">
        <v>203</v>
      </c>
      <c r="P358" s="2" t="s">
        <v>1037</v>
      </c>
      <c r="Q358" s="2" t="s">
        <v>205</v>
      </c>
      <c r="R358" s="2" t="s">
        <v>206</v>
      </c>
      <c r="S358" s="2" t="s">
        <v>2593</v>
      </c>
      <c r="T358" s="2" t="s">
        <v>206</v>
      </c>
      <c r="U358" s="2" t="s">
        <v>556</v>
      </c>
      <c r="V358" s="2" t="s">
        <v>452</v>
      </c>
      <c r="W358" s="2" t="s">
        <v>539</v>
      </c>
      <c r="X358" s="2" t="s">
        <v>206</v>
      </c>
      <c r="Y358" s="2" t="s">
        <v>211</v>
      </c>
      <c r="Z358" s="4">
        <v>250</v>
      </c>
      <c r="AA358" s="4">
        <f>=ROUNDDOWN(11.3636363636364,0)</f>
      </c>
      <c r="AB358" s="5">
        <v>22</v>
      </c>
      <c r="AC358" s="2" t="s">
        <v>441</v>
      </c>
      <c r="AD358" s="4">
        <v>200</v>
      </c>
      <c r="AE358" s="4">
        <v>450</v>
      </c>
      <c r="AF358" s="6">
        <v>63</v>
      </c>
      <c r="AG358" s="6">
        <v>46</v>
      </c>
      <c r="AH358" s="7">
        <v>0.6774</v>
      </c>
      <c r="AI358" s="4"/>
      <c r="AJ358" s="4">
        <f>=ROUNDDOWN({0},0)</f>
      </c>
      <c r="AK358" s="5"/>
      <c r="AL358" s="2" t="s">
        <v>206</v>
      </c>
      <c r="AM358" s="4"/>
      <c r="AN358" s="4"/>
      <c r="AO358" s="7"/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>
        <v>226</v>
      </c>
      <c r="BK358" s="8">
        <v>13078.29</v>
      </c>
      <c r="BL358" s="2" t="s">
        <v>2594</v>
      </c>
      <c r="BM358" s="7"/>
      <c r="BN358" s="7"/>
      <c r="BO358" s="4"/>
      <c r="BP358" s="8"/>
      <c r="BQ358" s="4"/>
      <c r="BR358" s="8"/>
      <c r="BS358" s="7"/>
      <c r="BT358" s="7"/>
      <c r="BU358" s="2" t="s">
        <v>2595</v>
      </c>
      <c r="BV358" s="2" t="s">
        <v>206</v>
      </c>
      <c r="BW358" s="2" t="s">
        <v>206</v>
      </c>
      <c r="BX358" s="2" t="s">
        <v>214</v>
      </c>
      <c r="BY358" s="2" t="s">
        <v>215</v>
      </c>
      <c r="BZ358" s="2" t="s">
        <v>203</v>
      </c>
      <c r="CA358" s="2" t="s">
        <v>216</v>
      </c>
      <c r="CB358" s="2" t="s">
        <v>296</v>
      </c>
      <c r="CC358" s="2" t="s">
        <v>218</v>
      </c>
      <c r="CD358" s="2" t="s">
        <v>206</v>
      </c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>
        <v>250</v>
      </c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>
        <v>200</v>
      </c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>
        <v>200</v>
      </c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>
        <v>50</v>
      </c>
      <c r="FS358" s="4"/>
      <c r="FT358" s="4"/>
      <c r="FU358" s="4"/>
      <c r="FV358" s="4"/>
      <c r="FW358" s="4"/>
      <c r="FX358" s="4"/>
      <c r="FY358" s="4"/>
      <c r="FZ358" s="4"/>
      <c r="GA358" s="4"/>
      <c r="GB358" s="4"/>
      <c r="GC358" s="4"/>
      <c r="GD358" s="4"/>
      <c r="GE358" s="4"/>
      <c r="GF358" s="4"/>
    </row>
    <row r="359">
      <c r="A359" s="2" t="s">
        <v>2596</v>
      </c>
      <c r="B359" s="2" t="s">
        <v>429</v>
      </c>
      <c r="C359" s="2" t="s">
        <v>447</v>
      </c>
      <c r="D359" s="2" t="s">
        <v>909</v>
      </c>
      <c r="E359" s="2" t="s">
        <v>431</v>
      </c>
      <c r="F359" s="2" t="s">
        <v>2597</v>
      </c>
      <c r="G359" s="2" t="s">
        <v>2597</v>
      </c>
      <c r="H359" s="2" t="s">
        <v>2597</v>
      </c>
      <c r="I359" s="2" t="s">
        <v>2598</v>
      </c>
      <c r="J359" s="2" t="s">
        <v>434</v>
      </c>
      <c r="K359" s="2" t="s">
        <v>450</v>
      </c>
      <c r="L359" s="3">
        <v>29.92</v>
      </c>
      <c r="M359" s="3">
        <v>31.42</v>
      </c>
      <c r="N359" s="3">
        <v>63.74</v>
      </c>
      <c r="O359" s="2" t="s">
        <v>203</v>
      </c>
      <c r="P359" s="2" t="s">
        <v>204</v>
      </c>
      <c r="Q359" s="2" t="s">
        <v>205</v>
      </c>
      <c r="R359" s="2" t="s">
        <v>206</v>
      </c>
      <c r="S359" s="2" t="s">
        <v>206</v>
      </c>
      <c r="T359" s="2" t="s">
        <v>206</v>
      </c>
      <c r="U359" s="2" t="s">
        <v>900</v>
      </c>
      <c r="V359" s="2" t="s">
        <v>245</v>
      </c>
      <c r="W359" s="2" t="s">
        <v>539</v>
      </c>
      <c r="X359" s="2" t="s">
        <v>454</v>
      </c>
      <c r="Y359" s="2" t="s">
        <v>1062</v>
      </c>
      <c r="Z359" s="4">
        <v>94</v>
      </c>
      <c r="AA359" s="4">
        <f>=ROUNDDOWN(15.6666666666667,0)</f>
      </c>
      <c r="AB359" s="5">
        <v>6</v>
      </c>
      <c r="AC359" s="2" t="s">
        <v>923</v>
      </c>
      <c r="AD359" s="4">
        <v>100</v>
      </c>
      <c r="AE359" s="4">
        <v>100</v>
      </c>
      <c r="AF359" s="6">
        <v>63</v>
      </c>
      <c r="AG359" s="6"/>
      <c r="AH359" s="7">
        <v>1</v>
      </c>
      <c r="AI359" s="4"/>
      <c r="AJ359" s="4">
        <f>=ROUNDDOWN({0},0)</f>
      </c>
      <c r="AK359" s="5"/>
      <c r="AL359" s="2" t="s">
        <v>206</v>
      </c>
      <c r="AM359" s="4"/>
      <c r="AN359" s="4"/>
      <c r="AO359" s="7"/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>
        <v>47</v>
      </c>
      <c r="BK359" s="8">
        <v>1669.24</v>
      </c>
      <c r="BL359" s="2" t="s">
        <v>2599</v>
      </c>
      <c r="BM359" s="7"/>
      <c r="BN359" s="7"/>
      <c r="BO359" s="4"/>
      <c r="BP359" s="8"/>
      <c r="BQ359" s="4"/>
      <c r="BR359" s="8"/>
      <c r="BS359" s="7"/>
      <c r="BT359" s="7"/>
      <c r="BU359" s="2" t="s">
        <v>2600</v>
      </c>
      <c r="BV359" s="2" t="s">
        <v>206</v>
      </c>
      <c r="BW359" s="2" t="s">
        <v>206</v>
      </c>
      <c r="BX359" s="2" t="s">
        <v>214</v>
      </c>
      <c r="BY359" s="2" t="s">
        <v>215</v>
      </c>
      <c r="BZ359" s="2" t="s">
        <v>203</v>
      </c>
      <c r="CA359" s="2" t="s">
        <v>2601</v>
      </c>
      <c r="CB359" s="2" t="s">
        <v>2602</v>
      </c>
      <c r="CC359" s="2" t="s">
        <v>218</v>
      </c>
      <c r="CD359" s="2" t="s">
        <v>206</v>
      </c>
      <c r="CE359" s="4"/>
      <c r="CF359" s="4">
        <v>94</v>
      </c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>
        <v>100</v>
      </c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/>
      <c r="FT359" s="4"/>
      <c r="FU359" s="4"/>
      <c r="FV359" s="4"/>
      <c r="FW359" s="4"/>
      <c r="FX359" s="4"/>
      <c r="FY359" s="4"/>
      <c r="FZ359" s="4"/>
      <c r="GA359" s="4"/>
      <c r="GB359" s="4"/>
      <c r="GC359" s="4"/>
      <c r="GD359" s="4"/>
      <c r="GE359" s="4"/>
      <c r="GF359" s="4"/>
    </row>
    <row r="360">
      <c r="A360" s="2" t="s">
        <v>2603</v>
      </c>
      <c r="B360" s="2" t="s">
        <v>800</v>
      </c>
      <c r="C360" s="2" t="s">
        <v>287</v>
      </c>
      <c r="D360" s="2" t="s">
        <v>1267</v>
      </c>
      <c r="E360" s="2" t="s">
        <v>1268</v>
      </c>
      <c r="F360" s="2" t="s">
        <v>2604</v>
      </c>
      <c r="G360" s="2" t="s">
        <v>2604</v>
      </c>
      <c r="H360" s="2" t="s">
        <v>2604</v>
      </c>
      <c r="I360" s="2" t="s">
        <v>2605</v>
      </c>
      <c r="J360" s="2" t="s">
        <v>231</v>
      </c>
      <c r="K360" s="2" t="s">
        <v>262</v>
      </c>
      <c r="L360" s="3">
        <v>24.14</v>
      </c>
      <c r="M360" s="3">
        <v>25.35</v>
      </c>
      <c r="N360" s="3">
        <v>44.99</v>
      </c>
      <c r="O360" s="2" t="s">
        <v>203</v>
      </c>
      <c r="P360" s="2" t="s">
        <v>204</v>
      </c>
      <c r="Q360" s="2" t="s">
        <v>205</v>
      </c>
      <c r="R360" s="2" t="s">
        <v>206</v>
      </c>
      <c r="S360" s="2" t="s">
        <v>2606</v>
      </c>
      <c r="T360" s="2" t="s">
        <v>234</v>
      </c>
      <c r="U360" s="2" t="s">
        <v>206</v>
      </c>
      <c r="V360" s="2" t="s">
        <v>209</v>
      </c>
      <c r="W360" s="2" t="s">
        <v>210</v>
      </c>
      <c r="X360" s="2" t="s">
        <v>206</v>
      </c>
      <c r="Y360" s="2" t="s">
        <v>211</v>
      </c>
      <c r="Z360" s="4">
        <v>745</v>
      </c>
      <c r="AA360" s="4">
        <f>=ROUNDDOWN(53.2142857142857,0)</f>
      </c>
      <c r="AB360" s="5">
        <v>14</v>
      </c>
      <c r="AC360" s="2" t="s">
        <v>123</v>
      </c>
      <c r="AD360" s="4">
        <v>130</v>
      </c>
      <c r="AE360" s="4">
        <v>130</v>
      </c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206</v>
      </c>
      <c r="AM360" s="4"/>
      <c r="AN360" s="4"/>
      <c r="AO360" s="7"/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 t="s">
        <v>206</v>
      </c>
      <c r="BD360" s="8" t="s">
        <v>206</v>
      </c>
      <c r="BE360" s="4" t="s">
        <v>206</v>
      </c>
      <c r="BF360" s="8" t="s">
        <v>206</v>
      </c>
      <c r="BG360" s="7" t="s">
        <v>206</v>
      </c>
      <c r="BH360" s="7" t="s">
        <v>206</v>
      </c>
      <c r="BI360" s="7"/>
      <c r="BJ360" s="4">
        <v>41</v>
      </c>
      <c r="BK360" s="8">
        <v>920.47</v>
      </c>
      <c r="BL360" s="2" t="s">
        <v>2016</v>
      </c>
      <c r="BM360" s="7"/>
      <c r="BN360" s="7"/>
      <c r="BO360" s="4"/>
      <c r="BP360" s="8"/>
      <c r="BQ360" s="4"/>
      <c r="BR360" s="8"/>
      <c r="BS360" s="7"/>
      <c r="BT360" s="7"/>
      <c r="BU360" s="2" t="s">
        <v>2607</v>
      </c>
      <c r="BV360" s="2" t="s">
        <v>206</v>
      </c>
      <c r="BW360" s="2" t="s">
        <v>206</v>
      </c>
      <c r="BX360" s="2" t="s">
        <v>214</v>
      </c>
      <c r="BY360" s="2" t="s">
        <v>215</v>
      </c>
      <c r="BZ360" s="2" t="s">
        <v>203</v>
      </c>
      <c r="CA360" s="2" t="s">
        <v>216</v>
      </c>
      <c r="CB360" s="2" t="s">
        <v>2608</v>
      </c>
      <c r="CC360" s="2" t="s">
        <v>218</v>
      </c>
      <c r="CD360" s="2" t="s">
        <v>206</v>
      </c>
      <c r="CE360" s="4">
        <v>585</v>
      </c>
      <c r="CF360" s="4">
        <v>160</v>
      </c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>
        <v>130</v>
      </c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  <c r="GE360" s="4"/>
      <c r="GF360" s="4"/>
    </row>
    <row r="361">
      <c r="A361" s="2" t="s">
        <v>2609</v>
      </c>
      <c r="B361" s="2" t="s">
        <v>800</v>
      </c>
      <c r="C361" s="2" t="s">
        <v>287</v>
      </c>
      <c r="D361" s="2" t="s">
        <v>1267</v>
      </c>
      <c r="E361" s="2" t="s">
        <v>1268</v>
      </c>
      <c r="F361" s="2" t="s">
        <v>2604</v>
      </c>
      <c r="G361" s="2" t="s">
        <v>2604</v>
      </c>
      <c r="H361" s="2" t="s">
        <v>2604</v>
      </c>
      <c r="I361" s="2" t="s">
        <v>2605</v>
      </c>
      <c r="J361" s="2" t="s">
        <v>201</v>
      </c>
      <c r="K361" s="2" t="s">
        <v>709</v>
      </c>
      <c r="L361" s="3">
        <v>18.39</v>
      </c>
      <c r="M361" s="3">
        <v>19.31</v>
      </c>
      <c r="N361" s="3">
        <v>34.99</v>
      </c>
      <c r="O361" s="2" t="s">
        <v>203</v>
      </c>
      <c r="P361" s="2" t="s">
        <v>204</v>
      </c>
      <c r="Q361" s="2" t="s">
        <v>205</v>
      </c>
      <c r="R361" s="2" t="s">
        <v>206</v>
      </c>
      <c r="S361" s="2" t="s">
        <v>2610</v>
      </c>
      <c r="T361" s="2" t="s">
        <v>234</v>
      </c>
      <c r="U361" s="2" t="s">
        <v>437</v>
      </c>
      <c r="V361" s="2" t="s">
        <v>209</v>
      </c>
      <c r="W361" s="2" t="s">
        <v>210</v>
      </c>
      <c r="X361" s="2" t="s">
        <v>206</v>
      </c>
      <c r="Y361" s="2" t="s">
        <v>2611</v>
      </c>
      <c r="Z361" s="4">
        <v>455</v>
      </c>
      <c r="AA361" s="4">
        <f>=ROUNDDOWN(96.8085106382979,0)</f>
      </c>
      <c r="AB361" s="5">
        <v>4.7</v>
      </c>
      <c r="AC361" s="2" t="s">
        <v>206</v>
      </c>
      <c r="AD361" s="4"/>
      <c r="AE361" s="4"/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206</v>
      </c>
      <c r="AM361" s="4"/>
      <c r="AN361" s="4"/>
      <c r="AO361" s="7"/>
      <c r="AP361" s="4"/>
      <c r="AQ361" s="8"/>
      <c r="AR361" s="4"/>
      <c r="AS361" s="8"/>
      <c r="AT361" s="7"/>
      <c r="AU361" s="7"/>
      <c r="AV361" s="4" t="s">
        <v>206</v>
      </c>
      <c r="AW361" s="8" t="s">
        <v>206</v>
      </c>
      <c r="AX361" s="4" t="s">
        <v>206</v>
      </c>
      <c r="AY361" s="8" t="s">
        <v>206</v>
      </c>
      <c r="AZ361" s="7" t="s">
        <v>206</v>
      </c>
      <c r="BA361" s="7" t="s">
        <v>206</v>
      </c>
      <c r="BB361" s="7"/>
      <c r="BC361" s="4" t="s">
        <v>206</v>
      </c>
      <c r="BD361" s="8" t="s">
        <v>206</v>
      </c>
      <c r="BE361" s="4" t="s">
        <v>206</v>
      </c>
      <c r="BF361" s="8" t="s">
        <v>206</v>
      </c>
      <c r="BG361" s="7" t="s">
        <v>206</v>
      </c>
      <c r="BH361" s="7" t="s">
        <v>206</v>
      </c>
      <c r="BI361" s="7"/>
      <c r="BJ361" s="4">
        <v>25</v>
      </c>
      <c r="BK361" s="8">
        <v>406.98</v>
      </c>
      <c r="BL361" s="2" t="s">
        <v>719</v>
      </c>
      <c r="BM361" s="7"/>
      <c r="BN361" s="7"/>
      <c r="BO361" s="4"/>
      <c r="BP361" s="8"/>
      <c r="BQ361" s="4"/>
      <c r="BR361" s="8"/>
      <c r="BS361" s="7"/>
      <c r="BT361" s="7"/>
      <c r="BU361" s="2" t="s">
        <v>2612</v>
      </c>
      <c r="BV361" s="2" t="s">
        <v>206</v>
      </c>
      <c r="BW361" s="2" t="s">
        <v>206</v>
      </c>
      <c r="BX361" s="2" t="s">
        <v>214</v>
      </c>
      <c r="BY361" s="2" t="s">
        <v>215</v>
      </c>
      <c r="BZ361" s="2" t="s">
        <v>203</v>
      </c>
      <c r="CA361" s="2" t="s">
        <v>1156</v>
      </c>
      <c r="CB361" s="2" t="s">
        <v>206</v>
      </c>
      <c r="CC361" s="2" t="s">
        <v>218</v>
      </c>
      <c r="CD361" s="2" t="s">
        <v>206</v>
      </c>
      <c r="CE361" s="4">
        <v>314</v>
      </c>
      <c r="CF361" s="4">
        <v>141</v>
      </c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  <c r="FU361" s="4"/>
      <c r="FV361" s="4"/>
      <c r="FW361" s="4"/>
      <c r="FX361" s="4"/>
      <c r="FY361" s="4"/>
      <c r="FZ361" s="4"/>
      <c r="GA361" s="4"/>
      <c r="GB361" s="4"/>
      <c r="GC361" s="4"/>
      <c r="GD361" s="4"/>
      <c r="GE361" s="4"/>
      <c r="GF361" s="4"/>
    </row>
    <row r="362">
      <c r="A362" s="2" t="s">
        <v>2613</v>
      </c>
      <c r="B362" s="2" t="s">
        <v>800</v>
      </c>
      <c r="C362" s="2" t="s">
        <v>287</v>
      </c>
      <c r="D362" s="2" t="s">
        <v>1267</v>
      </c>
      <c r="E362" s="2" t="s">
        <v>1268</v>
      </c>
      <c r="F362" s="2" t="s">
        <v>2604</v>
      </c>
      <c r="G362" s="2" t="s">
        <v>2604</v>
      </c>
      <c r="H362" s="2" t="s">
        <v>2604</v>
      </c>
      <c r="I362" s="2" t="s">
        <v>2605</v>
      </c>
      <c r="J362" s="2" t="s">
        <v>231</v>
      </c>
      <c r="K362" s="2" t="s">
        <v>709</v>
      </c>
      <c r="L362" s="3">
        <v>24.14</v>
      </c>
      <c r="M362" s="3">
        <v>25.35</v>
      </c>
      <c r="N362" s="3">
        <v>44.99</v>
      </c>
      <c r="O362" s="2" t="s">
        <v>203</v>
      </c>
      <c r="P362" s="2" t="s">
        <v>204</v>
      </c>
      <c r="Q362" s="2" t="s">
        <v>205</v>
      </c>
      <c r="R362" s="2" t="s">
        <v>206</v>
      </c>
      <c r="S362" s="2" t="s">
        <v>2610</v>
      </c>
      <c r="T362" s="2" t="s">
        <v>234</v>
      </c>
      <c r="U362" s="2" t="s">
        <v>437</v>
      </c>
      <c r="V362" s="2" t="s">
        <v>209</v>
      </c>
      <c r="W362" s="2" t="s">
        <v>210</v>
      </c>
      <c r="X362" s="2" t="s">
        <v>206</v>
      </c>
      <c r="Y362" s="2" t="s">
        <v>2611</v>
      </c>
      <c r="Z362" s="4">
        <v>499</v>
      </c>
      <c r="AA362" s="4">
        <f>=ROUNDDOWN(83.1666666666667,0)</f>
      </c>
      <c r="AB362" s="5">
        <v>6</v>
      </c>
      <c r="AC362" s="2" t="s">
        <v>206</v>
      </c>
      <c r="AD362" s="4"/>
      <c r="AE362" s="4"/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206</v>
      </c>
      <c r="AM362" s="4"/>
      <c r="AN362" s="4"/>
      <c r="AO362" s="7"/>
      <c r="AP362" s="4"/>
      <c r="AQ362" s="8"/>
      <c r="AR362" s="4"/>
      <c r="AS362" s="8"/>
      <c r="AT362" s="7"/>
      <c r="AU362" s="7"/>
      <c r="AV362" s="4" t="s">
        <v>206</v>
      </c>
      <c r="AW362" s="8" t="s">
        <v>206</v>
      </c>
      <c r="AX362" s="4" t="s">
        <v>206</v>
      </c>
      <c r="AY362" s="8" t="s">
        <v>206</v>
      </c>
      <c r="AZ362" s="7" t="s">
        <v>206</v>
      </c>
      <c r="BA362" s="7" t="s">
        <v>206</v>
      </c>
      <c r="BB362" s="7"/>
      <c r="BC362" s="4" t="s">
        <v>206</v>
      </c>
      <c r="BD362" s="8" t="s">
        <v>206</v>
      </c>
      <c r="BE362" s="4" t="s">
        <v>206</v>
      </c>
      <c r="BF362" s="8" t="s">
        <v>206</v>
      </c>
      <c r="BG362" s="7" t="s">
        <v>206</v>
      </c>
      <c r="BH362" s="7" t="s">
        <v>206</v>
      </c>
      <c r="BI362" s="7"/>
      <c r="BJ362" s="4">
        <v>32</v>
      </c>
      <c r="BK362" s="8">
        <v>670.55</v>
      </c>
      <c r="BL362" s="2" t="s">
        <v>2614</v>
      </c>
      <c r="BM362" s="7"/>
      <c r="BN362" s="7"/>
      <c r="BO362" s="4"/>
      <c r="BP362" s="8"/>
      <c r="BQ362" s="4"/>
      <c r="BR362" s="8"/>
      <c r="BS362" s="7"/>
      <c r="BT362" s="7"/>
      <c r="BU362" s="2" t="s">
        <v>2615</v>
      </c>
      <c r="BV362" s="2" t="s">
        <v>206</v>
      </c>
      <c r="BW362" s="2" t="s">
        <v>206</v>
      </c>
      <c r="BX362" s="2" t="s">
        <v>214</v>
      </c>
      <c r="BY362" s="2" t="s">
        <v>215</v>
      </c>
      <c r="BZ362" s="2" t="s">
        <v>203</v>
      </c>
      <c r="CA362" s="2" t="s">
        <v>1156</v>
      </c>
      <c r="CB362" s="2" t="s">
        <v>517</v>
      </c>
      <c r="CC362" s="2" t="s">
        <v>218</v>
      </c>
      <c r="CD362" s="2" t="s">
        <v>206</v>
      </c>
      <c r="CE362" s="4">
        <v>321</v>
      </c>
      <c r="CF362" s="4">
        <v>178</v>
      </c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  <c r="FW362" s="4"/>
      <c r="FX362" s="4"/>
      <c r="FY362" s="4"/>
      <c r="FZ362" s="4"/>
      <c r="GA362" s="4"/>
      <c r="GB362" s="4"/>
      <c r="GC362" s="4"/>
      <c r="GD362" s="4"/>
      <c r="GE362" s="4"/>
      <c r="GF362" s="4"/>
    </row>
    <row r="363">
      <c r="A363" s="2" t="s">
        <v>2616</v>
      </c>
      <c r="B363" s="2" t="s">
        <v>800</v>
      </c>
      <c r="C363" s="2" t="s">
        <v>287</v>
      </c>
      <c r="D363" s="2" t="s">
        <v>1267</v>
      </c>
      <c r="E363" s="2" t="s">
        <v>1268</v>
      </c>
      <c r="F363" s="2" t="s">
        <v>2604</v>
      </c>
      <c r="G363" s="2" t="s">
        <v>2604</v>
      </c>
      <c r="H363" s="2" t="s">
        <v>2604</v>
      </c>
      <c r="I363" s="2" t="s">
        <v>2605</v>
      </c>
      <c r="J363" s="2" t="s">
        <v>201</v>
      </c>
      <c r="K363" s="2" t="s">
        <v>374</v>
      </c>
      <c r="L363" s="3">
        <v>18.39</v>
      </c>
      <c r="M363" s="3">
        <v>19.31</v>
      </c>
      <c r="N363" s="3">
        <v>34.99</v>
      </c>
      <c r="O363" s="2" t="s">
        <v>203</v>
      </c>
      <c r="P363" s="2" t="s">
        <v>204</v>
      </c>
      <c r="Q363" s="2" t="s">
        <v>205</v>
      </c>
      <c r="R363" s="2" t="s">
        <v>206</v>
      </c>
      <c r="S363" s="2" t="s">
        <v>2617</v>
      </c>
      <c r="T363" s="2" t="s">
        <v>234</v>
      </c>
      <c r="U363" s="2" t="s">
        <v>206</v>
      </c>
      <c r="V363" s="2" t="s">
        <v>209</v>
      </c>
      <c r="W363" s="2" t="s">
        <v>210</v>
      </c>
      <c r="X363" s="2" t="s">
        <v>206</v>
      </c>
      <c r="Y363" s="2" t="s">
        <v>211</v>
      </c>
      <c r="Z363" s="4">
        <v>419</v>
      </c>
      <c r="AA363" s="4">
        <f>=ROUNDDOWN(41.9,0)</f>
      </c>
      <c r="AB363" s="5">
        <v>10</v>
      </c>
      <c r="AC363" s="2" t="s">
        <v>123</v>
      </c>
      <c r="AD363" s="4">
        <v>150</v>
      </c>
      <c r="AE363" s="4">
        <v>150</v>
      </c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206</v>
      </c>
      <c r="AM363" s="4"/>
      <c r="AN363" s="4"/>
      <c r="AO363" s="7"/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 t="s">
        <v>206</v>
      </c>
      <c r="BD363" s="8" t="s">
        <v>206</v>
      </c>
      <c r="BE363" s="4" t="s">
        <v>206</v>
      </c>
      <c r="BF363" s="8" t="s">
        <v>206</v>
      </c>
      <c r="BG363" s="7" t="s">
        <v>206</v>
      </c>
      <c r="BH363" s="7" t="s">
        <v>206</v>
      </c>
      <c r="BI363" s="7"/>
      <c r="BJ363" s="4">
        <v>67</v>
      </c>
      <c r="BK363" s="8">
        <v>960.73</v>
      </c>
      <c r="BL363" s="2" t="s">
        <v>2618</v>
      </c>
      <c r="BM363" s="7"/>
      <c r="BN363" s="7"/>
      <c r="BO363" s="4"/>
      <c r="BP363" s="8"/>
      <c r="BQ363" s="4"/>
      <c r="BR363" s="8"/>
      <c r="BS363" s="7"/>
      <c r="BT363" s="7"/>
      <c r="BU363" s="2" t="s">
        <v>2619</v>
      </c>
      <c r="BV363" s="2" t="s">
        <v>206</v>
      </c>
      <c r="BW363" s="2" t="s">
        <v>206</v>
      </c>
      <c r="BX363" s="2" t="s">
        <v>214</v>
      </c>
      <c r="BY363" s="2" t="s">
        <v>215</v>
      </c>
      <c r="BZ363" s="2" t="s">
        <v>203</v>
      </c>
      <c r="CA363" s="2" t="s">
        <v>216</v>
      </c>
      <c r="CB363" s="2" t="s">
        <v>2372</v>
      </c>
      <c r="CC363" s="2" t="s">
        <v>218</v>
      </c>
      <c r="CD363" s="2" t="s">
        <v>206</v>
      </c>
      <c r="CE363" s="4">
        <v>111</v>
      </c>
      <c r="CF363" s="4">
        <v>308</v>
      </c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>
        <v>150</v>
      </c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  <c r="FU363" s="4"/>
      <c r="FV363" s="4"/>
      <c r="FW363" s="4"/>
      <c r="FX363" s="4"/>
      <c r="FY363" s="4"/>
      <c r="FZ363" s="4"/>
      <c r="GA363" s="4"/>
      <c r="GB363" s="4"/>
      <c r="GC363" s="4"/>
      <c r="GD363" s="4"/>
      <c r="GE363" s="4"/>
      <c r="GF363" s="4"/>
    </row>
    <row r="364">
      <c r="A364" s="2" t="s">
        <v>2620</v>
      </c>
      <c r="B364" s="2" t="s">
        <v>800</v>
      </c>
      <c r="C364" s="2" t="s">
        <v>287</v>
      </c>
      <c r="D364" s="2" t="s">
        <v>1267</v>
      </c>
      <c r="E364" s="2" t="s">
        <v>1268</v>
      </c>
      <c r="F364" s="2" t="s">
        <v>2604</v>
      </c>
      <c r="G364" s="2" t="s">
        <v>2604</v>
      </c>
      <c r="H364" s="2" t="s">
        <v>2604</v>
      </c>
      <c r="I364" s="2" t="s">
        <v>2605</v>
      </c>
      <c r="J364" s="2" t="s">
        <v>231</v>
      </c>
      <c r="K364" s="2" t="s">
        <v>656</v>
      </c>
      <c r="L364" s="3">
        <v>24.14</v>
      </c>
      <c r="M364" s="3">
        <v>25.35</v>
      </c>
      <c r="N364" s="3">
        <v>44.99</v>
      </c>
      <c r="O364" s="2" t="s">
        <v>203</v>
      </c>
      <c r="P364" s="2" t="s">
        <v>204</v>
      </c>
      <c r="Q364" s="2" t="s">
        <v>205</v>
      </c>
      <c r="R364" s="2" t="s">
        <v>206</v>
      </c>
      <c r="S364" s="2" t="s">
        <v>2621</v>
      </c>
      <c r="T364" s="2" t="s">
        <v>234</v>
      </c>
      <c r="U364" s="2" t="s">
        <v>206</v>
      </c>
      <c r="V364" s="2" t="s">
        <v>209</v>
      </c>
      <c r="W364" s="2" t="s">
        <v>210</v>
      </c>
      <c r="X364" s="2" t="s">
        <v>206</v>
      </c>
      <c r="Y364" s="2" t="s">
        <v>211</v>
      </c>
      <c r="Z364" s="4">
        <v>415</v>
      </c>
      <c r="AA364" s="4">
        <f>=ROUNDDOWN(41.5,0)</f>
      </c>
      <c r="AB364" s="5">
        <v>10</v>
      </c>
      <c r="AC364" s="2" t="s">
        <v>2622</v>
      </c>
      <c r="AD364" s="4">
        <v>180</v>
      </c>
      <c r="AE364" s="4">
        <v>180</v>
      </c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206</v>
      </c>
      <c r="AM364" s="4"/>
      <c r="AN364" s="4"/>
      <c r="AO364" s="7"/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206</v>
      </c>
      <c r="BD364" s="8" t="s">
        <v>206</v>
      </c>
      <c r="BE364" s="4" t="s">
        <v>206</v>
      </c>
      <c r="BF364" s="8" t="s">
        <v>206</v>
      </c>
      <c r="BG364" s="7" t="s">
        <v>206</v>
      </c>
      <c r="BH364" s="7" t="s">
        <v>206</v>
      </c>
      <c r="BI364" s="7"/>
      <c r="BJ364" s="4">
        <v>46</v>
      </c>
      <c r="BK364" s="8">
        <v>944.55</v>
      </c>
      <c r="BL364" s="2" t="s">
        <v>2623</v>
      </c>
      <c r="BM364" s="7"/>
      <c r="BN364" s="7"/>
      <c r="BO364" s="4"/>
      <c r="BP364" s="8"/>
      <c r="BQ364" s="4"/>
      <c r="BR364" s="8"/>
      <c r="BS364" s="7"/>
      <c r="BT364" s="7"/>
      <c r="BU364" s="2" t="s">
        <v>2624</v>
      </c>
      <c r="BV364" s="2" t="s">
        <v>206</v>
      </c>
      <c r="BW364" s="2" t="s">
        <v>206</v>
      </c>
      <c r="BX364" s="2" t="s">
        <v>214</v>
      </c>
      <c r="BY364" s="2" t="s">
        <v>215</v>
      </c>
      <c r="BZ364" s="2" t="s">
        <v>203</v>
      </c>
      <c r="CA364" s="2" t="s">
        <v>216</v>
      </c>
      <c r="CB364" s="2" t="s">
        <v>2625</v>
      </c>
      <c r="CC364" s="2" t="s">
        <v>218</v>
      </c>
      <c r="CD364" s="2" t="s">
        <v>206</v>
      </c>
      <c r="CE364" s="4">
        <v>279</v>
      </c>
      <c r="CF364" s="4">
        <v>136</v>
      </c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>
        <v>180</v>
      </c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4"/>
      <c r="GA364" s="4"/>
      <c r="GB364" s="4"/>
      <c r="GC364" s="4"/>
      <c r="GD364" s="4"/>
      <c r="GE364" s="4"/>
      <c r="GF364" s="4"/>
    </row>
    <row r="365">
      <c r="A365" s="2" t="s">
        <v>2626</v>
      </c>
      <c r="B365" s="2" t="s">
        <v>800</v>
      </c>
      <c r="C365" s="2" t="s">
        <v>287</v>
      </c>
      <c r="D365" s="2" t="s">
        <v>1267</v>
      </c>
      <c r="E365" s="2" t="s">
        <v>1268</v>
      </c>
      <c r="F365" s="2" t="s">
        <v>2604</v>
      </c>
      <c r="G365" s="2" t="s">
        <v>2604</v>
      </c>
      <c r="H365" s="2" t="s">
        <v>2604</v>
      </c>
      <c r="I365" s="2" t="s">
        <v>2605</v>
      </c>
      <c r="J365" s="2" t="s">
        <v>201</v>
      </c>
      <c r="K365" s="2" t="s">
        <v>605</v>
      </c>
      <c r="L365" s="3">
        <v>18.39</v>
      </c>
      <c r="M365" s="3">
        <v>19.31</v>
      </c>
      <c r="N365" s="3">
        <v>34.99</v>
      </c>
      <c r="O365" s="2" t="s">
        <v>203</v>
      </c>
      <c r="P365" s="2" t="s">
        <v>204</v>
      </c>
      <c r="Q365" s="2" t="s">
        <v>205</v>
      </c>
      <c r="R365" s="2" t="s">
        <v>206</v>
      </c>
      <c r="S365" s="2" t="s">
        <v>2627</v>
      </c>
      <c r="T365" s="2" t="s">
        <v>234</v>
      </c>
      <c r="U365" s="2" t="s">
        <v>206</v>
      </c>
      <c r="V365" s="2" t="s">
        <v>209</v>
      </c>
      <c r="W365" s="2" t="s">
        <v>210</v>
      </c>
      <c r="X365" s="2" t="s">
        <v>206</v>
      </c>
      <c r="Y365" s="2" t="s">
        <v>211</v>
      </c>
      <c r="Z365" s="4">
        <v>604</v>
      </c>
      <c r="AA365" s="4">
        <f>=ROUNDDOWN(28.7619047619048,0)</f>
      </c>
      <c r="AB365" s="5">
        <v>21</v>
      </c>
      <c r="AC365" s="2" t="s">
        <v>123</v>
      </c>
      <c r="AD365" s="4">
        <v>200</v>
      </c>
      <c r="AE365" s="4">
        <v>300</v>
      </c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206</v>
      </c>
      <c r="AM365" s="4"/>
      <c r="AN365" s="4"/>
      <c r="AO365" s="7"/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206</v>
      </c>
      <c r="BD365" s="8" t="s">
        <v>206</v>
      </c>
      <c r="BE365" s="4" t="s">
        <v>206</v>
      </c>
      <c r="BF365" s="8" t="s">
        <v>206</v>
      </c>
      <c r="BG365" s="7" t="s">
        <v>206</v>
      </c>
      <c r="BH365" s="7" t="s">
        <v>206</v>
      </c>
      <c r="BI365" s="7"/>
      <c r="BJ365" s="4">
        <v>71</v>
      </c>
      <c r="BK365" s="8">
        <v>1048.11</v>
      </c>
      <c r="BL365" s="2" t="s">
        <v>2628</v>
      </c>
      <c r="BM365" s="7"/>
      <c r="BN365" s="7"/>
      <c r="BO365" s="4"/>
      <c r="BP365" s="8"/>
      <c r="BQ365" s="4"/>
      <c r="BR365" s="8"/>
      <c r="BS365" s="7"/>
      <c r="BT365" s="7"/>
      <c r="BU365" s="2" t="s">
        <v>2629</v>
      </c>
      <c r="BV365" s="2" t="s">
        <v>206</v>
      </c>
      <c r="BW365" s="2" t="s">
        <v>206</v>
      </c>
      <c r="BX365" s="2" t="s">
        <v>214</v>
      </c>
      <c r="BY365" s="2" t="s">
        <v>215</v>
      </c>
      <c r="BZ365" s="2" t="s">
        <v>203</v>
      </c>
      <c r="CA365" s="2" t="s">
        <v>216</v>
      </c>
      <c r="CB365" s="2" t="s">
        <v>2608</v>
      </c>
      <c r="CC365" s="2" t="s">
        <v>218</v>
      </c>
      <c r="CD365" s="2" t="s">
        <v>206</v>
      </c>
      <c r="CE365" s="4">
        <v>604</v>
      </c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>
        <v>200</v>
      </c>
      <c r="DL365" s="4"/>
      <c r="DM365" s="4"/>
      <c r="DN365" s="4"/>
      <c r="DO365" s="4"/>
      <c r="DP365" s="4">
        <v>100</v>
      </c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4"/>
      <c r="GA365" s="4"/>
      <c r="GB365" s="4"/>
      <c r="GC365" s="4"/>
      <c r="GD365" s="4"/>
      <c r="GE365" s="4"/>
      <c r="GF365" s="4"/>
    </row>
    <row r="366">
      <c r="A366" s="2" t="s">
        <v>2630</v>
      </c>
      <c r="B366" s="2" t="s">
        <v>613</v>
      </c>
      <c r="C366" s="2" t="s">
        <v>287</v>
      </c>
      <c r="D366" s="2" t="s">
        <v>628</v>
      </c>
      <c r="E366" s="2" t="s">
        <v>1802</v>
      </c>
      <c r="F366" s="2" t="s">
        <v>2631</v>
      </c>
      <c r="G366" s="2" t="s">
        <v>2632</v>
      </c>
      <c r="H366" s="2" t="s">
        <v>2633</v>
      </c>
      <c r="I366" s="2" t="s">
        <v>2634</v>
      </c>
      <c r="J366" s="2" t="s">
        <v>2635</v>
      </c>
      <c r="K366" s="2" t="s">
        <v>262</v>
      </c>
      <c r="L366" s="3">
        <v>28.5</v>
      </c>
      <c r="M366" s="3">
        <v>29.93</v>
      </c>
      <c r="N366" s="3">
        <v>62.99</v>
      </c>
      <c r="O366" s="2" t="s">
        <v>203</v>
      </c>
      <c r="P366" s="2" t="s">
        <v>204</v>
      </c>
      <c r="Q366" s="2" t="s">
        <v>205</v>
      </c>
      <c r="R366" s="2" t="s">
        <v>206</v>
      </c>
      <c r="S366" s="2" t="s">
        <v>2636</v>
      </c>
      <c r="T366" s="2" t="s">
        <v>292</v>
      </c>
      <c r="U366" s="2" t="s">
        <v>437</v>
      </c>
      <c r="V366" s="2" t="s">
        <v>209</v>
      </c>
      <c r="W366" s="2" t="s">
        <v>210</v>
      </c>
      <c r="X366" s="2" t="s">
        <v>206</v>
      </c>
      <c r="Y366" s="2" t="s">
        <v>2637</v>
      </c>
      <c r="Z366" s="4">
        <v>142</v>
      </c>
      <c r="AA366" s="4">
        <f>=ROUNDDOWN(23.6666666666667,0)</f>
      </c>
      <c r="AB366" s="5">
        <v>6</v>
      </c>
      <c r="AC366" s="2" t="s">
        <v>119</v>
      </c>
      <c r="AD366" s="4">
        <v>72</v>
      </c>
      <c r="AE366" s="4">
        <v>102</v>
      </c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206</v>
      </c>
      <c r="AM366" s="4"/>
      <c r="AN366" s="4"/>
      <c r="AO366" s="7"/>
      <c r="AP366" s="4"/>
      <c r="AQ366" s="8"/>
      <c r="AR366" s="4"/>
      <c r="AS366" s="8"/>
      <c r="AT366" s="7"/>
      <c r="AU366" s="7"/>
      <c r="AV366" s="4" t="s">
        <v>206</v>
      </c>
      <c r="AW366" s="8" t="s">
        <v>206</v>
      </c>
      <c r="AX366" s="4" t="s">
        <v>206</v>
      </c>
      <c r="AY366" s="8" t="s">
        <v>206</v>
      </c>
      <c r="AZ366" s="7" t="s">
        <v>206</v>
      </c>
      <c r="BA366" s="7" t="s">
        <v>206</v>
      </c>
      <c r="BB366" s="7"/>
      <c r="BC366" s="4" t="s">
        <v>206</v>
      </c>
      <c r="BD366" s="8" t="s">
        <v>206</v>
      </c>
      <c r="BE366" s="4" t="s">
        <v>206</v>
      </c>
      <c r="BF366" s="8" t="s">
        <v>206</v>
      </c>
      <c r="BG366" s="7" t="s">
        <v>206</v>
      </c>
      <c r="BH366" s="7" t="s">
        <v>206</v>
      </c>
      <c r="BI366" s="7"/>
      <c r="BJ366" s="4">
        <v>38</v>
      </c>
      <c r="BK366" s="8">
        <v>1313.69</v>
      </c>
      <c r="BL366" s="2" t="s">
        <v>2638</v>
      </c>
      <c r="BM366" s="7"/>
      <c r="BN366" s="7"/>
      <c r="BO366" s="4"/>
      <c r="BP366" s="8"/>
      <c r="BQ366" s="4"/>
      <c r="BR366" s="8"/>
      <c r="BS366" s="7"/>
      <c r="BT366" s="7"/>
      <c r="BU366" s="2" t="s">
        <v>2639</v>
      </c>
      <c r="BV366" s="2" t="s">
        <v>206</v>
      </c>
      <c r="BW366" s="2" t="s">
        <v>206</v>
      </c>
      <c r="BX366" s="2" t="s">
        <v>214</v>
      </c>
      <c r="BY366" s="2" t="s">
        <v>215</v>
      </c>
      <c r="BZ366" s="2" t="s">
        <v>203</v>
      </c>
      <c r="CA366" s="2" t="s">
        <v>2640</v>
      </c>
      <c r="CB366" s="2" t="s">
        <v>472</v>
      </c>
      <c r="CC366" s="2" t="s">
        <v>218</v>
      </c>
      <c r="CD366" s="2" t="s">
        <v>206</v>
      </c>
      <c r="CE366" s="4">
        <v>142</v>
      </c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>
        <v>72</v>
      </c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>
        <v>30</v>
      </c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  <c r="FW366" s="4"/>
      <c r="FX366" s="4"/>
      <c r="FY366" s="4"/>
      <c r="FZ366" s="4"/>
      <c r="GA366" s="4"/>
      <c r="GB366" s="4"/>
      <c r="GC366" s="4"/>
      <c r="GD366" s="4"/>
      <c r="GE366" s="4"/>
      <c r="GF366" s="4"/>
    </row>
    <row r="367">
      <c r="A367" s="2" t="s">
        <v>2641</v>
      </c>
      <c r="B367" s="2" t="s">
        <v>613</v>
      </c>
      <c r="C367" s="2" t="s">
        <v>287</v>
      </c>
      <c r="D367" s="2" t="s">
        <v>628</v>
      </c>
      <c r="E367" s="2" t="s">
        <v>1802</v>
      </c>
      <c r="F367" s="2" t="s">
        <v>2631</v>
      </c>
      <c r="G367" s="2" t="s">
        <v>2632</v>
      </c>
      <c r="H367" s="2" t="s">
        <v>2633</v>
      </c>
      <c r="I367" s="2" t="s">
        <v>2634</v>
      </c>
      <c r="J367" s="2" t="s">
        <v>1810</v>
      </c>
      <c r="K367" s="2" t="s">
        <v>262</v>
      </c>
      <c r="L367" s="3">
        <v>29.25</v>
      </c>
      <c r="M367" s="3">
        <v>30.71</v>
      </c>
      <c r="N367" s="3">
        <v>64.99</v>
      </c>
      <c r="O367" s="2" t="s">
        <v>203</v>
      </c>
      <c r="P367" s="2" t="s">
        <v>204</v>
      </c>
      <c r="Q367" s="2" t="s">
        <v>205</v>
      </c>
      <c r="R367" s="2" t="s">
        <v>206</v>
      </c>
      <c r="S367" s="2" t="s">
        <v>2636</v>
      </c>
      <c r="T367" s="2" t="s">
        <v>292</v>
      </c>
      <c r="U367" s="2" t="s">
        <v>437</v>
      </c>
      <c r="V367" s="2" t="s">
        <v>209</v>
      </c>
      <c r="W367" s="2" t="s">
        <v>210</v>
      </c>
      <c r="X367" s="2" t="s">
        <v>206</v>
      </c>
      <c r="Y367" s="2" t="s">
        <v>2642</v>
      </c>
      <c r="Z367" s="4">
        <v>183</v>
      </c>
      <c r="AA367" s="4">
        <f>=ROUNDDOWN(26.1428571428571,0)</f>
      </c>
      <c r="AB367" s="5">
        <v>7</v>
      </c>
      <c r="AC367" s="2" t="s">
        <v>206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206</v>
      </c>
      <c r="AM367" s="4"/>
      <c r="AN367" s="4"/>
      <c r="AO367" s="7"/>
      <c r="AP367" s="4"/>
      <c r="AQ367" s="8"/>
      <c r="AR367" s="4"/>
      <c r="AS367" s="8"/>
      <c r="AT367" s="7"/>
      <c r="AU367" s="7"/>
      <c r="AV367" s="4" t="s">
        <v>206</v>
      </c>
      <c r="AW367" s="8" t="s">
        <v>206</v>
      </c>
      <c r="AX367" s="4" t="s">
        <v>206</v>
      </c>
      <c r="AY367" s="8" t="s">
        <v>206</v>
      </c>
      <c r="AZ367" s="7" t="s">
        <v>206</v>
      </c>
      <c r="BA367" s="7" t="s">
        <v>206</v>
      </c>
      <c r="BB367" s="7"/>
      <c r="BC367" s="4" t="s">
        <v>206</v>
      </c>
      <c r="BD367" s="8" t="s">
        <v>206</v>
      </c>
      <c r="BE367" s="4" t="s">
        <v>206</v>
      </c>
      <c r="BF367" s="8" t="s">
        <v>206</v>
      </c>
      <c r="BG367" s="7" t="s">
        <v>206</v>
      </c>
      <c r="BH367" s="7" t="s">
        <v>206</v>
      </c>
      <c r="BI367" s="7"/>
      <c r="BJ367" s="4">
        <v>43</v>
      </c>
      <c r="BK367" s="8">
        <v>1399.66</v>
      </c>
      <c r="BL367" s="2" t="s">
        <v>1271</v>
      </c>
      <c r="BM367" s="7"/>
      <c r="BN367" s="7"/>
      <c r="BO367" s="4"/>
      <c r="BP367" s="8"/>
      <c r="BQ367" s="4"/>
      <c r="BR367" s="8"/>
      <c r="BS367" s="7"/>
      <c r="BT367" s="7"/>
      <c r="BU367" s="2" t="s">
        <v>2643</v>
      </c>
      <c r="BV367" s="2" t="s">
        <v>206</v>
      </c>
      <c r="BW367" s="2" t="s">
        <v>206</v>
      </c>
      <c r="BX367" s="2" t="s">
        <v>214</v>
      </c>
      <c r="BY367" s="2" t="s">
        <v>215</v>
      </c>
      <c r="BZ367" s="2" t="s">
        <v>203</v>
      </c>
      <c r="CA367" s="2" t="s">
        <v>2642</v>
      </c>
      <c r="CB367" s="2" t="s">
        <v>2644</v>
      </c>
      <c r="CC367" s="2" t="s">
        <v>218</v>
      </c>
      <c r="CD367" s="2" t="s">
        <v>206</v>
      </c>
      <c r="CE367" s="4">
        <v>183</v>
      </c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  <c r="FU367" s="4"/>
      <c r="FV367" s="4"/>
      <c r="FW367" s="4"/>
      <c r="FX367" s="4"/>
      <c r="FY367" s="4"/>
      <c r="FZ367" s="4"/>
      <c r="GA367" s="4"/>
      <c r="GB367" s="4"/>
      <c r="GC367" s="4"/>
      <c r="GD367" s="4"/>
      <c r="GE367" s="4"/>
      <c r="GF367" s="4"/>
    </row>
    <row r="368">
      <c r="A368" s="2" t="s">
        <v>2645</v>
      </c>
      <c r="B368" s="2" t="s">
        <v>613</v>
      </c>
      <c r="C368" s="2" t="s">
        <v>287</v>
      </c>
      <c r="D368" s="2" t="s">
        <v>628</v>
      </c>
      <c r="E368" s="2" t="s">
        <v>1802</v>
      </c>
      <c r="F368" s="2" t="s">
        <v>2631</v>
      </c>
      <c r="G368" s="2" t="s">
        <v>2632</v>
      </c>
      <c r="H368" s="2" t="s">
        <v>2633</v>
      </c>
      <c r="I368" s="2" t="s">
        <v>2634</v>
      </c>
      <c r="J368" s="2" t="s">
        <v>1815</v>
      </c>
      <c r="K368" s="2" t="s">
        <v>262</v>
      </c>
      <c r="L368" s="3">
        <v>32.2</v>
      </c>
      <c r="M368" s="3">
        <v>33.81</v>
      </c>
      <c r="N368" s="3">
        <v>69.99</v>
      </c>
      <c r="O368" s="2" t="s">
        <v>203</v>
      </c>
      <c r="P368" s="2" t="s">
        <v>204</v>
      </c>
      <c r="Q368" s="2" t="s">
        <v>205</v>
      </c>
      <c r="R368" s="2" t="s">
        <v>206</v>
      </c>
      <c r="S368" s="2" t="s">
        <v>2636</v>
      </c>
      <c r="T368" s="2" t="s">
        <v>292</v>
      </c>
      <c r="U368" s="2" t="s">
        <v>437</v>
      </c>
      <c r="V368" s="2" t="s">
        <v>209</v>
      </c>
      <c r="W368" s="2" t="s">
        <v>210</v>
      </c>
      <c r="X368" s="2" t="s">
        <v>206</v>
      </c>
      <c r="Y368" s="2" t="s">
        <v>2642</v>
      </c>
      <c r="Z368" s="4">
        <v>156</v>
      </c>
      <c r="AA368" s="4">
        <f>=ROUNDDOWN(19.5,0)</f>
      </c>
      <c r="AB368" s="5">
        <v>8</v>
      </c>
      <c r="AC368" s="2" t="s">
        <v>119</v>
      </c>
      <c r="AD368" s="4">
        <v>72</v>
      </c>
      <c r="AE368" s="4">
        <v>174</v>
      </c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206</v>
      </c>
      <c r="AM368" s="4"/>
      <c r="AN368" s="4"/>
      <c r="AO368" s="7"/>
      <c r="AP368" s="4"/>
      <c r="AQ368" s="8"/>
      <c r="AR368" s="4"/>
      <c r="AS368" s="8"/>
      <c r="AT368" s="7"/>
      <c r="AU368" s="7"/>
      <c r="AV368" s="4" t="s">
        <v>206</v>
      </c>
      <c r="AW368" s="8" t="s">
        <v>206</v>
      </c>
      <c r="AX368" s="4" t="s">
        <v>206</v>
      </c>
      <c r="AY368" s="8" t="s">
        <v>206</v>
      </c>
      <c r="AZ368" s="7" t="s">
        <v>206</v>
      </c>
      <c r="BA368" s="7" t="s">
        <v>206</v>
      </c>
      <c r="BB368" s="7"/>
      <c r="BC368" s="4" t="s">
        <v>206</v>
      </c>
      <c r="BD368" s="8" t="s">
        <v>206</v>
      </c>
      <c r="BE368" s="4" t="s">
        <v>206</v>
      </c>
      <c r="BF368" s="8" t="s">
        <v>206</v>
      </c>
      <c r="BG368" s="7" t="s">
        <v>206</v>
      </c>
      <c r="BH368" s="7" t="s">
        <v>206</v>
      </c>
      <c r="BI368" s="7"/>
      <c r="BJ368" s="4">
        <v>41</v>
      </c>
      <c r="BK368" s="8">
        <v>1459.8</v>
      </c>
      <c r="BL368" s="2" t="s">
        <v>2646</v>
      </c>
      <c r="BM368" s="7"/>
      <c r="BN368" s="7"/>
      <c r="BO368" s="4"/>
      <c r="BP368" s="8"/>
      <c r="BQ368" s="4"/>
      <c r="BR368" s="8"/>
      <c r="BS368" s="7"/>
      <c r="BT368" s="7"/>
      <c r="BU368" s="2" t="s">
        <v>2647</v>
      </c>
      <c r="BV368" s="2" t="s">
        <v>206</v>
      </c>
      <c r="BW368" s="2" t="s">
        <v>206</v>
      </c>
      <c r="BX368" s="2" t="s">
        <v>214</v>
      </c>
      <c r="BY368" s="2" t="s">
        <v>215</v>
      </c>
      <c r="BZ368" s="2" t="s">
        <v>203</v>
      </c>
      <c r="CA368" s="2" t="s">
        <v>2642</v>
      </c>
      <c r="CB368" s="2" t="s">
        <v>2234</v>
      </c>
      <c r="CC368" s="2" t="s">
        <v>218</v>
      </c>
      <c r="CD368" s="2" t="s">
        <v>206</v>
      </c>
      <c r="CE368" s="4">
        <v>156</v>
      </c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>
        <v>72</v>
      </c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>
        <v>102</v>
      </c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  <c r="FT368" s="4"/>
      <c r="FU368" s="4"/>
      <c r="FV368" s="4"/>
      <c r="FW368" s="4"/>
      <c r="FX368" s="4"/>
      <c r="FY368" s="4"/>
      <c r="FZ368" s="4"/>
      <c r="GA368" s="4"/>
      <c r="GB368" s="4"/>
      <c r="GC368" s="4"/>
      <c r="GD368" s="4"/>
      <c r="GE368" s="4"/>
      <c r="GF368" s="4"/>
    </row>
    <row r="369">
      <c r="A369" s="2" t="s">
        <v>2648</v>
      </c>
      <c r="B369" s="2" t="s">
        <v>613</v>
      </c>
      <c r="C369" s="2" t="s">
        <v>287</v>
      </c>
      <c r="D369" s="2" t="s">
        <v>628</v>
      </c>
      <c r="E369" s="2" t="s">
        <v>1802</v>
      </c>
      <c r="F369" s="2" t="s">
        <v>2631</v>
      </c>
      <c r="G369" s="2" t="s">
        <v>2632</v>
      </c>
      <c r="H369" s="2" t="s">
        <v>2633</v>
      </c>
      <c r="I369" s="2" t="s">
        <v>2634</v>
      </c>
      <c r="J369" s="2" t="s">
        <v>1824</v>
      </c>
      <c r="K369" s="2" t="s">
        <v>262</v>
      </c>
      <c r="L369" s="3">
        <v>38.4</v>
      </c>
      <c r="M369" s="3">
        <v>40.32</v>
      </c>
      <c r="N369" s="3">
        <v>79.99</v>
      </c>
      <c r="O369" s="2" t="s">
        <v>203</v>
      </c>
      <c r="P369" s="2" t="s">
        <v>204</v>
      </c>
      <c r="Q369" s="2" t="s">
        <v>205</v>
      </c>
      <c r="R369" s="2" t="s">
        <v>206</v>
      </c>
      <c r="S369" s="2" t="s">
        <v>2636</v>
      </c>
      <c r="T369" s="2" t="s">
        <v>292</v>
      </c>
      <c r="U369" s="2" t="s">
        <v>437</v>
      </c>
      <c r="V369" s="2" t="s">
        <v>209</v>
      </c>
      <c r="W369" s="2" t="s">
        <v>210</v>
      </c>
      <c r="X369" s="2" t="s">
        <v>206</v>
      </c>
      <c r="Y369" s="2" t="s">
        <v>2642</v>
      </c>
      <c r="Z369" s="4">
        <v>272</v>
      </c>
      <c r="AA369" s="4">
        <f>=ROUNDDOWN(45.3333333333333,0)</f>
      </c>
      <c r="AB369" s="5">
        <v>6</v>
      </c>
      <c r="AC369" s="2" t="s">
        <v>119</v>
      </c>
      <c r="AD369" s="4">
        <v>84</v>
      </c>
      <c r="AE369" s="4">
        <v>84</v>
      </c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206</v>
      </c>
      <c r="AM369" s="4"/>
      <c r="AN369" s="4"/>
      <c r="AO369" s="7"/>
      <c r="AP369" s="4"/>
      <c r="AQ369" s="8"/>
      <c r="AR369" s="4"/>
      <c r="AS369" s="8"/>
      <c r="AT369" s="7"/>
      <c r="AU369" s="7"/>
      <c r="AV369" s="4" t="s">
        <v>206</v>
      </c>
      <c r="AW369" s="8" t="s">
        <v>206</v>
      </c>
      <c r="AX369" s="4" t="s">
        <v>206</v>
      </c>
      <c r="AY369" s="8" t="s">
        <v>206</v>
      </c>
      <c r="AZ369" s="7" t="s">
        <v>206</v>
      </c>
      <c r="BA369" s="7" t="s">
        <v>206</v>
      </c>
      <c r="BB369" s="7"/>
      <c r="BC369" s="4" t="s">
        <v>206</v>
      </c>
      <c r="BD369" s="8" t="s">
        <v>206</v>
      </c>
      <c r="BE369" s="4" t="s">
        <v>206</v>
      </c>
      <c r="BF369" s="8" t="s">
        <v>206</v>
      </c>
      <c r="BG369" s="7" t="s">
        <v>206</v>
      </c>
      <c r="BH369" s="7" t="s">
        <v>206</v>
      </c>
      <c r="BI369" s="7"/>
      <c r="BJ369" s="4">
        <v>20</v>
      </c>
      <c r="BK369" s="8">
        <v>928.5</v>
      </c>
      <c r="BL369" s="2" t="s">
        <v>2649</v>
      </c>
      <c r="BM369" s="7"/>
      <c r="BN369" s="7"/>
      <c r="BO369" s="4"/>
      <c r="BP369" s="8"/>
      <c r="BQ369" s="4"/>
      <c r="BR369" s="8"/>
      <c r="BS369" s="7"/>
      <c r="BT369" s="7"/>
      <c r="BU369" s="2" t="s">
        <v>2650</v>
      </c>
      <c r="BV369" s="2" t="s">
        <v>206</v>
      </c>
      <c r="BW369" s="2" t="s">
        <v>206</v>
      </c>
      <c r="BX369" s="2" t="s">
        <v>214</v>
      </c>
      <c r="BY369" s="2" t="s">
        <v>215</v>
      </c>
      <c r="BZ369" s="2" t="s">
        <v>203</v>
      </c>
      <c r="CA369" s="2" t="s">
        <v>2642</v>
      </c>
      <c r="CB369" s="2" t="s">
        <v>2651</v>
      </c>
      <c r="CC369" s="2" t="s">
        <v>218</v>
      </c>
      <c r="CD369" s="2" t="s">
        <v>206</v>
      </c>
      <c r="CE369" s="4">
        <v>272</v>
      </c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>
        <v>84</v>
      </c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</row>
    <row r="370">
      <c r="A370" s="2" t="s">
        <v>2652</v>
      </c>
      <c r="B370" s="2" t="s">
        <v>613</v>
      </c>
      <c r="C370" s="2" t="s">
        <v>287</v>
      </c>
      <c r="D370" s="2" t="s">
        <v>628</v>
      </c>
      <c r="E370" s="2" t="s">
        <v>1802</v>
      </c>
      <c r="F370" s="2" t="s">
        <v>2631</v>
      </c>
      <c r="G370" s="2" t="s">
        <v>2632</v>
      </c>
      <c r="H370" s="2" t="s">
        <v>2633</v>
      </c>
      <c r="I370" s="2" t="s">
        <v>2634</v>
      </c>
      <c r="J370" s="2" t="s">
        <v>1804</v>
      </c>
      <c r="K370" s="2" t="s">
        <v>336</v>
      </c>
      <c r="L370" s="3">
        <v>27</v>
      </c>
      <c r="M370" s="3">
        <v>28.35</v>
      </c>
      <c r="N370" s="3">
        <v>59.99</v>
      </c>
      <c r="O370" s="2" t="s">
        <v>203</v>
      </c>
      <c r="P370" s="2" t="s">
        <v>204</v>
      </c>
      <c r="Q370" s="2" t="s">
        <v>205</v>
      </c>
      <c r="R370" s="2" t="s">
        <v>206</v>
      </c>
      <c r="S370" s="2" t="s">
        <v>2653</v>
      </c>
      <c r="T370" s="2" t="s">
        <v>292</v>
      </c>
      <c r="U370" s="2" t="s">
        <v>437</v>
      </c>
      <c r="V370" s="2" t="s">
        <v>209</v>
      </c>
      <c r="W370" s="2" t="s">
        <v>210</v>
      </c>
      <c r="X370" s="2" t="s">
        <v>206</v>
      </c>
      <c r="Y370" s="2" t="s">
        <v>2654</v>
      </c>
      <c r="Z370" s="4">
        <v>253</v>
      </c>
      <c r="AA370" s="4">
        <f>=ROUNDDOWN(28.1111111111111,0)</f>
      </c>
      <c r="AB370" s="5">
        <v>9</v>
      </c>
      <c r="AC370" s="2" t="s">
        <v>645</v>
      </c>
      <c r="AD370" s="4">
        <v>186</v>
      </c>
      <c r="AE370" s="4">
        <v>186</v>
      </c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206</v>
      </c>
      <c r="AM370" s="4"/>
      <c r="AN370" s="4"/>
      <c r="AO370" s="7"/>
      <c r="AP370" s="4"/>
      <c r="AQ370" s="8"/>
      <c r="AR370" s="4"/>
      <c r="AS370" s="8"/>
      <c r="AT370" s="7"/>
      <c r="AU370" s="7"/>
      <c r="AV370" s="4" t="s">
        <v>206</v>
      </c>
      <c r="AW370" s="8" t="s">
        <v>206</v>
      </c>
      <c r="AX370" s="4" t="s">
        <v>206</v>
      </c>
      <c r="AY370" s="8" t="s">
        <v>206</v>
      </c>
      <c r="AZ370" s="7" t="s">
        <v>206</v>
      </c>
      <c r="BA370" s="7" t="s">
        <v>206</v>
      </c>
      <c r="BB370" s="7"/>
      <c r="BC370" s="4" t="s">
        <v>206</v>
      </c>
      <c r="BD370" s="8" t="s">
        <v>206</v>
      </c>
      <c r="BE370" s="4" t="s">
        <v>206</v>
      </c>
      <c r="BF370" s="8" t="s">
        <v>206</v>
      </c>
      <c r="BG370" s="7" t="s">
        <v>206</v>
      </c>
      <c r="BH370" s="7" t="s">
        <v>206</v>
      </c>
      <c r="BI370" s="7"/>
      <c r="BJ370" s="4">
        <v>21</v>
      </c>
      <c r="BK370" s="8">
        <v>664.67</v>
      </c>
      <c r="BL370" s="2" t="s">
        <v>2655</v>
      </c>
      <c r="BM370" s="7"/>
      <c r="BN370" s="7"/>
      <c r="BO370" s="4"/>
      <c r="BP370" s="8"/>
      <c r="BQ370" s="4"/>
      <c r="BR370" s="8"/>
      <c r="BS370" s="7"/>
      <c r="BT370" s="7"/>
      <c r="BU370" s="2" t="s">
        <v>2656</v>
      </c>
      <c r="BV370" s="2" t="s">
        <v>206</v>
      </c>
      <c r="BW370" s="2" t="s">
        <v>206</v>
      </c>
      <c r="BX370" s="2" t="s">
        <v>426</v>
      </c>
      <c r="BY370" s="2" t="s">
        <v>215</v>
      </c>
      <c r="BZ370" s="2" t="s">
        <v>203</v>
      </c>
      <c r="CA370" s="2" t="s">
        <v>2657</v>
      </c>
      <c r="CB370" s="2" t="s">
        <v>2177</v>
      </c>
      <c r="CC370" s="2" t="s">
        <v>218</v>
      </c>
      <c r="CD370" s="2" t="s">
        <v>206</v>
      </c>
      <c r="CE370" s="4">
        <v>253</v>
      </c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>
        <v>186</v>
      </c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  <c r="FT370" s="4"/>
      <c r="FU370" s="4"/>
      <c r="FV370" s="4"/>
      <c r="FW370" s="4"/>
      <c r="FX370" s="4"/>
      <c r="FY370" s="4"/>
      <c r="FZ370" s="4"/>
      <c r="GA370" s="4"/>
      <c r="GB370" s="4"/>
      <c r="GC370" s="4"/>
      <c r="GD370" s="4"/>
      <c r="GE370" s="4"/>
      <c r="GF370" s="4"/>
    </row>
    <row r="371">
      <c r="A371" s="2" t="s">
        <v>2658</v>
      </c>
      <c r="B371" s="2" t="s">
        <v>613</v>
      </c>
      <c r="C371" s="2" t="s">
        <v>287</v>
      </c>
      <c r="D371" s="2" t="s">
        <v>628</v>
      </c>
      <c r="E371" s="2" t="s">
        <v>1802</v>
      </c>
      <c r="F371" s="2" t="s">
        <v>2631</v>
      </c>
      <c r="G371" s="2" t="s">
        <v>2632</v>
      </c>
      <c r="H371" s="2" t="s">
        <v>2633</v>
      </c>
      <c r="I371" s="2" t="s">
        <v>2634</v>
      </c>
      <c r="J371" s="2" t="s">
        <v>2635</v>
      </c>
      <c r="K371" s="2" t="s">
        <v>336</v>
      </c>
      <c r="L371" s="3">
        <v>28.5</v>
      </c>
      <c r="M371" s="3">
        <v>29.93</v>
      </c>
      <c r="N371" s="3">
        <v>62.99</v>
      </c>
      <c r="O371" s="2" t="s">
        <v>203</v>
      </c>
      <c r="P371" s="2" t="s">
        <v>204</v>
      </c>
      <c r="Q371" s="2" t="s">
        <v>205</v>
      </c>
      <c r="R371" s="2" t="s">
        <v>206</v>
      </c>
      <c r="S371" s="2" t="s">
        <v>2653</v>
      </c>
      <c r="T371" s="2" t="s">
        <v>292</v>
      </c>
      <c r="U371" s="2" t="s">
        <v>437</v>
      </c>
      <c r="V371" s="2" t="s">
        <v>209</v>
      </c>
      <c r="W371" s="2" t="s">
        <v>210</v>
      </c>
      <c r="X371" s="2" t="s">
        <v>206</v>
      </c>
      <c r="Y371" s="2" t="s">
        <v>2659</v>
      </c>
      <c r="Z371" s="4">
        <v>293</v>
      </c>
      <c r="AA371" s="4">
        <f>=ROUNDDOWN(48.8333333333333,0)</f>
      </c>
      <c r="AB371" s="5">
        <v>6</v>
      </c>
      <c r="AC371" s="2" t="s">
        <v>206</v>
      </c>
      <c r="AD371" s="4"/>
      <c r="AE371" s="4"/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206</v>
      </c>
      <c r="AM371" s="4"/>
      <c r="AN371" s="4"/>
      <c r="AO371" s="7"/>
      <c r="AP371" s="4"/>
      <c r="AQ371" s="8"/>
      <c r="AR371" s="4"/>
      <c r="AS371" s="8"/>
      <c r="AT371" s="7"/>
      <c r="AU371" s="7"/>
      <c r="AV371" s="4" t="s">
        <v>206</v>
      </c>
      <c r="AW371" s="8" t="s">
        <v>206</v>
      </c>
      <c r="AX371" s="4" t="s">
        <v>206</v>
      </c>
      <c r="AY371" s="8" t="s">
        <v>206</v>
      </c>
      <c r="AZ371" s="7" t="s">
        <v>206</v>
      </c>
      <c r="BA371" s="7" t="s">
        <v>206</v>
      </c>
      <c r="BB371" s="7"/>
      <c r="BC371" s="4" t="s">
        <v>206</v>
      </c>
      <c r="BD371" s="8" t="s">
        <v>206</v>
      </c>
      <c r="BE371" s="4" t="s">
        <v>206</v>
      </c>
      <c r="BF371" s="8" t="s">
        <v>206</v>
      </c>
      <c r="BG371" s="7" t="s">
        <v>206</v>
      </c>
      <c r="BH371" s="7" t="s">
        <v>206</v>
      </c>
      <c r="BI371" s="7"/>
      <c r="BJ371" s="4">
        <v>8</v>
      </c>
      <c r="BK371" s="8">
        <v>255.83</v>
      </c>
      <c r="BL371" s="2" t="s">
        <v>2660</v>
      </c>
      <c r="BM371" s="7"/>
      <c r="BN371" s="7"/>
      <c r="BO371" s="4"/>
      <c r="BP371" s="8"/>
      <c r="BQ371" s="4"/>
      <c r="BR371" s="8"/>
      <c r="BS371" s="7"/>
      <c r="BT371" s="7"/>
      <c r="BU371" s="2" t="s">
        <v>2661</v>
      </c>
      <c r="BV371" s="2" t="s">
        <v>206</v>
      </c>
      <c r="BW371" s="2" t="s">
        <v>206</v>
      </c>
      <c r="BX371" s="2" t="s">
        <v>214</v>
      </c>
      <c r="BY371" s="2" t="s">
        <v>215</v>
      </c>
      <c r="BZ371" s="2" t="s">
        <v>203</v>
      </c>
      <c r="CA371" s="2" t="s">
        <v>2662</v>
      </c>
      <c r="CB371" s="2" t="s">
        <v>2663</v>
      </c>
      <c r="CC371" s="2" t="s">
        <v>218</v>
      </c>
      <c r="CD371" s="2" t="s">
        <v>206</v>
      </c>
      <c r="CE371" s="4">
        <v>293</v>
      </c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  <c r="FU371" s="4"/>
      <c r="FV371" s="4"/>
      <c r="FW371" s="4"/>
      <c r="FX371" s="4"/>
      <c r="FY371" s="4"/>
      <c r="FZ371" s="4"/>
      <c r="GA371" s="4"/>
      <c r="GB371" s="4"/>
      <c r="GC371" s="4"/>
      <c r="GD371" s="4"/>
      <c r="GE371" s="4"/>
      <c r="GF371" s="4"/>
    </row>
    <row r="372">
      <c r="A372" s="2" t="s">
        <v>2664</v>
      </c>
      <c r="B372" s="2" t="s">
        <v>613</v>
      </c>
      <c r="C372" s="2" t="s">
        <v>287</v>
      </c>
      <c r="D372" s="2" t="s">
        <v>628</v>
      </c>
      <c r="E372" s="2" t="s">
        <v>1802</v>
      </c>
      <c r="F372" s="2" t="s">
        <v>2631</v>
      </c>
      <c r="G372" s="2" t="s">
        <v>2632</v>
      </c>
      <c r="H372" s="2" t="s">
        <v>2633</v>
      </c>
      <c r="I372" s="2" t="s">
        <v>2634</v>
      </c>
      <c r="J372" s="2" t="s">
        <v>1810</v>
      </c>
      <c r="K372" s="2" t="s">
        <v>336</v>
      </c>
      <c r="L372" s="3">
        <v>29.25</v>
      </c>
      <c r="M372" s="3">
        <v>30.71</v>
      </c>
      <c r="N372" s="3">
        <v>64.99</v>
      </c>
      <c r="O372" s="2" t="s">
        <v>203</v>
      </c>
      <c r="P372" s="2" t="s">
        <v>1037</v>
      </c>
      <c r="Q372" s="2" t="s">
        <v>205</v>
      </c>
      <c r="R372" s="2" t="s">
        <v>206</v>
      </c>
      <c r="S372" s="2" t="s">
        <v>2653</v>
      </c>
      <c r="T372" s="2" t="s">
        <v>292</v>
      </c>
      <c r="U372" s="2" t="s">
        <v>437</v>
      </c>
      <c r="V372" s="2" t="s">
        <v>209</v>
      </c>
      <c r="W372" s="2" t="s">
        <v>210</v>
      </c>
      <c r="X372" s="2" t="s">
        <v>206</v>
      </c>
      <c r="Y372" s="2" t="s">
        <v>2654</v>
      </c>
      <c r="Z372" s="4">
        <v>540</v>
      </c>
      <c r="AA372" s="4">
        <f>=ROUNDDOWN(33.75,0)</f>
      </c>
      <c r="AB372" s="5">
        <v>16</v>
      </c>
      <c r="AC372" s="2" t="s">
        <v>645</v>
      </c>
      <c r="AD372" s="4">
        <v>150</v>
      </c>
      <c r="AE372" s="4">
        <v>150</v>
      </c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206</v>
      </c>
      <c r="AM372" s="4"/>
      <c r="AN372" s="4"/>
      <c r="AO372" s="7"/>
      <c r="AP372" s="4"/>
      <c r="AQ372" s="8"/>
      <c r="AR372" s="4"/>
      <c r="AS372" s="8"/>
      <c r="AT372" s="7"/>
      <c r="AU372" s="7"/>
      <c r="AV372" s="4" t="s">
        <v>206</v>
      </c>
      <c r="AW372" s="8" t="s">
        <v>206</v>
      </c>
      <c r="AX372" s="4" t="s">
        <v>206</v>
      </c>
      <c r="AY372" s="8" t="s">
        <v>206</v>
      </c>
      <c r="AZ372" s="7" t="s">
        <v>206</v>
      </c>
      <c r="BA372" s="7" t="s">
        <v>206</v>
      </c>
      <c r="BB372" s="7"/>
      <c r="BC372" s="4" t="s">
        <v>206</v>
      </c>
      <c r="BD372" s="8" t="s">
        <v>206</v>
      </c>
      <c r="BE372" s="4" t="s">
        <v>206</v>
      </c>
      <c r="BF372" s="8" t="s">
        <v>206</v>
      </c>
      <c r="BG372" s="7" t="s">
        <v>206</v>
      </c>
      <c r="BH372" s="7" t="s">
        <v>206</v>
      </c>
      <c r="BI372" s="7"/>
      <c r="BJ372" s="4">
        <v>12</v>
      </c>
      <c r="BK372" s="8">
        <v>384.98</v>
      </c>
      <c r="BL372" s="2" t="s">
        <v>2665</v>
      </c>
      <c r="BM372" s="7"/>
      <c r="BN372" s="7"/>
      <c r="BO372" s="4"/>
      <c r="BP372" s="8"/>
      <c r="BQ372" s="4"/>
      <c r="BR372" s="8"/>
      <c r="BS372" s="7"/>
      <c r="BT372" s="7"/>
      <c r="BU372" s="2" t="s">
        <v>2666</v>
      </c>
      <c r="BV372" s="2" t="s">
        <v>206</v>
      </c>
      <c r="BW372" s="2" t="s">
        <v>206</v>
      </c>
      <c r="BX372" s="2" t="s">
        <v>214</v>
      </c>
      <c r="BY372" s="2" t="s">
        <v>215</v>
      </c>
      <c r="BZ372" s="2" t="s">
        <v>203</v>
      </c>
      <c r="CA372" s="2" t="s">
        <v>2657</v>
      </c>
      <c r="CB372" s="2" t="s">
        <v>2667</v>
      </c>
      <c r="CC372" s="2" t="s">
        <v>218</v>
      </c>
      <c r="CD372" s="2" t="s">
        <v>206</v>
      </c>
      <c r="CE372" s="4">
        <v>540</v>
      </c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>
        <v>150</v>
      </c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  <c r="FU372" s="4"/>
      <c r="FV372" s="4"/>
      <c r="FW372" s="4"/>
      <c r="FX372" s="4"/>
      <c r="FY372" s="4"/>
      <c r="FZ372" s="4"/>
      <c r="GA372" s="4"/>
      <c r="GB372" s="4"/>
      <c r="GC372" s="4"/>
      <c r="GD372" s="4"/>
      <c r="GE372" s="4"/>
      <c r="GF372" s="4"/>
    </row>
    <row r="373">
      <c r="A373" s="2" t="s">
        <v>2668</v>
      </c>
      <c r="B373" s="2" t="s">
        <v>613</v>
      </c>
      <c r="C373" s="2" t="s">
        <v>287</v>
      </c>
      <c r="D373" s="2" t="s">
        <v>628</v>
      </c>
      <c r="E373" s="2" t="s">
        <v>1802</v>
      </c>
      <c r="F373" s="2" t="s">
        <v>2631</v>
      </c>
      <c r="G373" s="2" t="s">
        <v>2632</v>
      </c>
      <c r="H373" s="2" t="s">
        <v>2633</v>
      </c>
      <c r="I373" s="2" t="s">
        <v>2634</v>
      </c>
      <c r="J373" s="2" t="s">
        <v>2669</v>
      </c>
      <c r="K373" s="2" t="s">
        <v>336</v>
      </c>
      <c r="L373" s="3">
        <v>33.5</v>
      </c>
      <c r="M373" s="3">
        <v>35.18</v>
      </c>
      <c r="N373" s="3">
        <v>74.99</v>
      </c>
      <c r="O373" s="2" t="s">
        <v>203</v>
      </c>
      <c r="P373" s="2" t="s">
        <v>492</v>
      </c>
      <c r="Q373" s="2" t="s">
        <v>205</v>
      </c>
      <c r="R373" s="2" t="s">
        <v>206</v>
      </c>
      <c r="S373" s="2" t="s">
        <v>2653</v>
      </c>
      <c r="T373" s="2" t="s">
        <v>292</v>
      </c>
      <c r="U373" s="2" t="s">
        <v>437</v>
      </c>
      <c r="V373" s="2" t="s">
        <v>209</v>
      </c>
      <c r="W373" s="2" t="s">
        <v>210</v>
      </c>
      <c r="X373" s="2" t="s">
        <v>206</v>
      </c>
      <c r="Y373" s="2" t="s">
        <v>2659</v>
      </c>
      <c r="Z373" s="4">
        <v>425</v>
      </c>
      <c r="AA373" s="4">
        <f>=ROUNDDOWN(35.4166666666667,0)</f>
      </c>
      <c r="AB373" s="5">
        <v>12</v>
      </c>
      <c r="AC373" s="2" t="s">
        <v>206</v>
      </c>
      <c r="AD373" s="4"/>
      <c r="AE373" s="4"/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206</v>
      </c>
      <c r="AM373" s="4"/>
      <c r="AN373" s="4"/>
      <c r="AO373" s="7"/>
      <c r="AP373" s="4"/>
      <c r="AQ373" s="8"/>
      <c r="AR373" s="4"/>
      <c r="AS373" s="8"/>
      <c r="AT373" s="7"/>
      <c r="AU373" s="7"/>
      <c r="AV373" s="4" t="s">
        <v>206</v>
      </c>
      <c r="AW373" s="8" t="s">
        <v>206</v>
      </c>
      <c r="AX373" s="4" t="s">
        <v>206</v>
      </c>
      <c r="AY373" s="8" t="s">
        <v>206</v>
      </c>
      <c r="AZ373" s="7" t="s">
        <v>206</v>
      </c>
      <c r="BA373" s="7" t="s">
        <v>206</v>
      </c>
      <c r="BB373" s="7"/>
      <c r="BC373" s="4" t="s">
        <v>206</v>
      </c>
      <c r="BD373" s="8" t="s">
        <v>206</v>
      </c>
      <c r="BE373" s="4" t="s">
        <v>206</v>
      </c>
      <c r="BF373" s="8" t="s">
        <v>206</v>
      </c>
      <c r="BG373" s="7" t="s">
        <v>206</v>
      </c>
      <c r="BH373" s="7" t="s">
        <v>206</v>
      </c>
      <c r="BI373" s="7"/>
      <c r="BJ373" s="4">
        <v>40</v>
      </c>
      <c r="BK373" s="8">
        <v>1358</v>
      </c>
      <c r="BL373" s="2" t="s">
        <v>2670</v>
      </c>
      <c r="BM373" s="7"/>
      <c r="BN373" s="7"/>
      <c r="BO373" s="4"/>
      <c r="BP373" s="8"/>
      <c r="BQ373" s="4"/>
      <c r="BR373" s="8"/>
      <c r="BS373" s="7"/>
      <c r="BT373" s="7"/>
      <c r="BU373" s="2" t="s">
        <v>2671</v>
      </c>
      <c r="BV373" s="2" t="s">
        <v>206</v>
      </c>
      <c r="BW373" s="2" t="s">
        <v>206</v>
      </c>
      <c r="BX373" s="2" t="s">
        <v>214</v>
      </c>
      <c r="BY373" s="2" t="s">
        <v>215</v>
      </c>
      <c r="BZ373" s="2" t="s">
        <v>203</v>
      </c>
      <c r="CA373" s="2" t="s">
        <v>2662</v>
      </c>
      <c r="CB373" s="2" t="s">
        <v>2672</v>
      </c>
      <c r="CC373" s="2" t="s">
        <v>218</v>
      </c>
      <c r="CD373" s="2" t="s">
        <v>206</v>
      </c>
      <c r="CE373" s="4">
        <v>425</v>
      </c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  <c r="FV373" s="4"/>
      <c r="FW373" s="4"/>
      <c r="FX373" s="4"/>
      <c r="FY373" s="4"/>
      <c r="FZ373" s="4"/>
      <c r="GA373" s="4"/>
      <c r="GB373" s="4"/>
      <c r="GC373" s="4"/>
      <c r="GD373" s="4"/>
      <c r="GE373" s="4"/>
      <c r="GF373" s="4"/>
    </row>
    <row r="374">
      <c r="A374" s="2" t="s">
        <v>2673</v>
      </c>
      <c r="B374" s="2" t="s">
        <v>613</v>
      </c>
      <c r="C374" s="2" t="s">
        <v>287</v>
      </c>
      <c r="D374" s="2" t="s">
        <v>628</v>
      </c>
      <c r="E374" s="2" t="s">
        <v>1802</v>
      </c>
      <c r="F374" s="2" t="s">
        <v>2631</v>
      </c>
      <c r="G374" s="2" t="s">
        <v>2632</v>
      </c>
      <c r="H374" s="2" t="s">
        <v>2633</v>
      </c>
      <c r="I374" s="2" t="s">
        <v>2634</v>
      </c>
      <c r="J374" s="2" t="s">
        <v>1810</v>
      </c>
      <c r="K374" s="2" t="s">
        <v>353</v>
      </c>
      <c r="L374" s="3">
        <v>29.25</v>
      </c>
      <c r="M374" s="3">
        <v>30.71</v>
      </c>
      <c r="N374" s="3">
        <v>64.99</v>
      </c>
      <c r="O374" s="2" t="s">
        <v>203</v>
      </c>
      <c r="P374" s="2" t="s">
        <v>2674</v>
      </c>
      <c r="Q374" s="2" t="s">
        <v>205</v>
      </c>
      <c r="R374" s="2" t="s">
        <v>206</v>
      </c>
      <c r="S374" s="2" t="s">
        <v>2675</v>
      </c>
      <c r="T374" s="2" t="s">
        <v>292</v>
      </c>
      <c r="U374" s="2" t="s">
        <v>437</v>
      </c>
      <c r="V374" s="2" t="s">
        <v>209</v>
      </c>
      <c r="W374" s="2" t="s">
        <v>210</v>
      </c>
      <c r="X374" s="2" t="s">
        <v>206</v>
      </c>
      <c r="Y374" s="2" t="s">
        <v>2654</v>
      </c>
      <c r="Z374" s="4">
        <v>2219</v>
      </c>
      <c r="AA374" s="4">
        <f>=ROUNDDOWN(38.9298245614035,0)</f>
      </c>
      <c r="AB374" s="5">
        <v>57</v>
      </c>
      <c r="AC374" s="2" t="s">
        <v>113</v>
      </c>
      <c r="AD374" s="4">
        <v>210</v>
      </c>
      <c r="AE374" s="4">
        <v>210</v>
      </c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206</v>
      </c>
      <c r="AM374" s="4"/>
      <c r="AN374" s="4"/>
      <c r="AO374" s="7"/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 t="s">
        <v>206</v>
      </c>
      <c r="BD374" s="8" t="s">
        <v>206</v>
      </c>
      <c r="BE374" s="4" t="s">
        <v>206</v>
      </c>
      <c r="BF374" s="8" t="s">
        <v>206</v>
      </c>
      <c r="BG374" s="7" t="s">
        <v>206</v>
      </c>
      <c r="BH374" s="7" t="s">
        <v>206</v>
      </c>
      <c r="BI374" s="7"/>
      <c r="BJ374" s="4">
        <v>249</v>
      </c>
      <c r="BK374" s="8">
        <v>7834.89</v>
      </c>
      <c r="BL374" s="2" t="s">
        <v>2676</v>
      </c>
      <c r="BM374" s="7"/>
      <c r="BN374" s="7"/>
      <c r="BO374" s="4"/>
      <c r="BP374" s="8"/>
      <c r="BQ374" s="4"/>
      <c r="BR374" s="8"/>
      <c r="BS374" s="7"/>
      <c r="BT374" s="7"/>
      <c r="BU374" s="2" t="s">
        <v>2677</v>
      </c>
      <c r="BV374" s="2" t="s">
        <v>206</v>
      </c>
      <c r="BW374" s="2" t="s">
        <v>206</v>
      </c>
      <c r="BX374" s="2" t="s">
        <v>214</v>
      </c>
      <c r="BY374" s="2" t="s">
        <v>215</v>
      </c>
      <c r="BZ374" s="2" t="s">
        <v>203</v>
      </c>
      <c r="CA374" s="2" t="s">
        <v>2657</v>
      </c>
      <c r="CB374" s="2" t="s">
        <v>2667</v>
      </c>
      <c r="CC374" s="2" t="s">
        <v>218</v>
      </c>
      <c r="CD374" s="2" t="s">
        <v>206</v>
      </c>
      <c r="CE374" s="4">
        <v>2219</v>
      </c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>
        <v>210</v>
      </c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  <c r="FV374" s="4"/>
      <c r="FW374" s="4"/>
      <c r="FX374" s="4"/>
      <c r="FY374" s="4"/>
      <c r="FZ374" s="4"/>
      <c r="GA374" s="4"/>
      <c r="GB374" s="4"/>
      <c r="GC374" s="4"/>
      <c r="GD374" s="4"/>
      <c r="GE374" s="4"/>
      <c r="GF374" s="4"/>
    </row>
    <row r="375">
      <c r="A375" s="2" t="s">
        <v>2678</v>
      </c>
      <c r="B375" s="2" t="s">
        <v>613</v>
      </c>
      <c r="C375" s="2" t="s">
        <v>287</v>
      </c>
      <c r="D375" s="2" t="s">
        <v>628</v>
      </c>
      <c r="E375" s="2" t="s">
        <v>1802</v>
      </c>
      <c r="F375" s="2" t="s">
        <v>2631</v>
      </c>
      <c r="G375" s="2" t="s">
        <v>2632</v>
      </c>
      <c r="H375" s="2" t="s">
        <v>2633</v>
      </c>
      <c r="I375" s="2" t="s">
        <v>2634</v>
      </c>
      <c r="J375" s="2" t="s">
        <v>2635</v>
      </c>
      <c r="K375" s="2" t="s">
        <v>1060</v>
      </c>
      <c r="L375" s="3">
        <v>28.5</v>
      </c>
      <c r="M375" s="3">
        <v>29.93</v>
      </c>
      <c r="N375" s="3">
        <v>62.99</v>
      </c>
      <c r="O375" s="2" t="s">
        <v>203</v>
      </c>
      <c r="P375" s="2" t="s">
        <v>204</v>
      </c>
      <c r="Q375" s="2" t="s">
        <v>205</v>
      </c>
      <c r="R375" s="2" t="s">
        <v>206</v>
      </c>
      <c r="S375" s="2" t="s">
        <v>2679</v>
      </c>
      <c r="T375" s="2" t="s">
        <v>292</v>
      </c>
      <c r="U375" s="2" t="s">
        <v>437</v>
      </c>
      <c r="V375" s="2" t="s">
        <v>209</v>
      </c>
      <c r="W375" s="2" t="s">
        <v>210</v>
      </c>
      <c r="X375" s="2" t="s">
        <v>206</v>
      </c>
      <c r="Y375" s="2" t="s">
        <v>2637</v>
      </c>
      <c r="Z375" s="4">
        <v>335</v>
      </c>
      <c r="AA375" s="4">
        <f>=ROUNDDOWN(27.9166666666667,0)</f>
      </c>
      <c r="AB375" s="5">
        <v>12</v>
      </c>
      <c r="AC375" s="2" t="s">
        <v>1620</v>
      </c>
      <c r="AD375" s="4">
        <v>432</v>
      </c>
      <c r="AE375" s="4">
        <v>540</v>
      </c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206</v>
      </c>
      <c r="AM375" s="4"/>
      <c r="AN375" s="4"/>
      <c r="AO375" s="7"/>
      <c r="AP375" s="4"/>
      <c r="AQ375" s="8"/>
      <c r="AR375" s="4"/>
      <c r="AS375" s="8"/>
      <c r="AT375" s="7"/>
      <c r="AU375" s="7"/>
      <c r="AV375" s="4" t="s">
        <v>206</v>
      </c>
      <c r="AW375" s="8" t="s">
        <v>206</v>
      </c>
      <c r="AX375" s="4" t="s">
        <v>206</v>
      </c>
      <c r="AY375" s="8" t="s">
        <v>206</v>
      </c>
      <c r="AZ375" s="7" t="s">
        <v>206</v>
      </c>
      <c r="BA375" s="7" t="s">
        <v>206</v>
      </c>
      <c r="BB375" s="7"/>
      <c r="BC375" s="4" t="s">
        <v>206</v>
      </c>
      <c r="BD375" s="8" t="s">
        <v>206</v>
      </c>
      <c r="BE375" s="4" t="s">
        <v>206</v>
      </c>
      <c r="BF375" s="8" t="s">
        <v>206</v>
      </c>
      <c r="BG375" s="7" t="s">
        <v>206</v>
      </c>
      <c r="BH375" s="7" t="s">
        <v>206</v>
      </c>
      <c r="BI375" s="7"/>
      <c r="BJ375" s="4">
        <v>49</v>
      </c>
      <c r="BK375" s="8">
        <v>1599.81</v>
      </c>
      <c r="BL375" s="2" t="s">
        <v>2680</v>
      </c>
      <c r="BM375" s="7"/>
      <c r="BN375" s="7"/>
      <c r="BO375" s="4"/>
      <c r="BP375" s="8"/>
      <c r="BQ375" s="4"/>
      <c r="BR375" s="8"/>
      <c r="BS375" s="7"/>
      <c r="BT375" s="7"/>
      <c r="BU375" s="2" t="s">
        <v>2681</v>
      </c>
      <c r="BV375" s="2" t="s">
        <v>206</v>
      </c>
      <c r="BW375" s="2" t="s">
        <v>206</v>
      </c>
      <c r="BX375" s="2" t="s">
        <v>214</v>
      </c>
      <c r="BY375" s="2" t="s">
        <v>215</v>
      </c>
      <c r="BZ375" s="2" t="s">
        <v>203</v>
      </c>
      <c r="CA375" s="2" t="s">
        <v>2640</v>
      </c>
      <c r="CB375" s="2" t="s">
        <v>2682</v>
      </c>
      <c r="CC375" s="2" t="s">
        <v>218</v>
      </c>
      <c r="CD375" s="2" t="s">
        <v>206</v>
      </c>
      <c r="CE375" s="4">
        <v>281</v>
      </c>
      <c r="CF375" s="4"/>
      <c r="CG375" s="4"/>
      <c r="CH375" s="4"/>
      <c r="CI375" s="4"/>
      <c r="CJ375" s="4"/>
      <c r="CK375" s="4">
        <v>54</v>
      </c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>
        <v>432</v>
      </c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>
        <v>108</v>
      </c>
      <c r="FN375" s="4"/>
      <c r="FO375" s="4"/>
      <c r="FP375" s="4"/>
      <c r="FQ375" s="4"/>
      <c r="FR375" s="4"/>
      <c r="FS375" s="4"/>
      <c r="FT375" s="4"/>
      <c r="FU375" s="4"/>
      <c r="FV375" s="4"/>
      <c r="FW375" s="4"/>
      <c r="FX375" s="4"/>
      <c r="FY375" s="4"/>
      <c r="FZ375" s="4"/>
      <c r="GA375" s="4"/>
      <c r="GB375" s="4"/>
      <c r="GC375" s="4"/>
      <c r="GD375" s="4"/>
      <c r="GE375" s="4"/>
      <c r="GF375" s="4"/>
    </row>
    <row r="376">
      <c r="A376" s="2" t="s">
        <v>2683</v>
      </c>
      <c r="B376" s="2" t="s">
        <v>613</v>
      </c>
      <c r="C376" s="2" t="s">
        <v>287</v>
      </c>
      <c r="D376" s="2" t="s">
        <v>628</v>
      </c>
      <c r="E376" s="2" t="s">
        <v>1802</v>
      </c>
      <c r="F376" s="2" t="s">
        <v>2631</v>
      </c>
      <c r="G376" s="2" t="s">
        <v>2632</v>
      </c>
      <c r="H376" s="2" t="s">
        <v>2633</v>
      </c>
      <c r="I376" s="2" t="s">
        <v>2634</v>
      </c>
      <c r="J376" s="2" t="s">
        <v>1810</v>
      </c>
      <c r="K376" s="2" t="s">
        <v>1060</v>
      </c>
      <c r="L376" s="3">
        <v>29.25</v>
      </c>
      <c r="M376" s="3">
        <v>30.71</v>
      </c>
      <c r="N376" s="3">
        <v>64.99</v>
      </c>
      <c r="O376" s="2" t="s">
        <v>203</v>
      </c>
      <c r="P376" s="2" t="s">
        <v>204</v>
      </c>
      <c r="Q376" s="2" t="s">
        <v>205</v>
      </c>
      <c r="R376" s="2" t="s">
        <v>206</v>
      </c>
      <c r="S376" s="2" t="s">
        <v>2679</v>
      </c>
      <c r="T376" s="2" t="s">
        <v>292</v>
      </c>
      <c r="U376" s="2" t="s">
        <v>437</v>
      </c>
      <c r="V376" s="2" t="s">
        <v>209</v>
      </c>
      <c r="W376" s="2" t="s">
        <v>210</v>
      </c>
      <c r="X376" s="2" t="s">
        <v>206</v>
      </c>
      <c r="Y376" s="2" t="s">
        <v>2642</v>
      </c>
      <c r="Z376" s="4">
        <v>286</v>
      </c>
      <c r="AA376" s="4">
        <f>=ROUNDDOWN(12.4347826086957,0)</f>
      </c>
      <c r="AB376" s="5">
        <v>23</v>
      </c>
      <c r="AC376" s="2" t="s">
        <v>1620</v>
      </c>
      <c r="AD376" s="4">
        <v>432</v>
      </c>
      <c r="AE376" s="4">
        <v>912</v>
      </c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206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 t="s">
        <v>206</v>
      </c>
      <c r="AW376" s="8" t="s">
        <v>206</v>
      </c>
      <c r="AX376" s="4" t="s">
        <v>206</v>
      </c>
      <c r="AY376" s="8" t="s">
        <v>206</v>
      </c>
      <c r="AZ376" s="7" t="s">
        <v>206</v>
      </c>
      <c r="BA376" s="7" t="s">
        <v>206</v>
      </c>
      <c r="BB376" s="7"/>
      <c r="BC376" s="4" t="s">
        <v>206</v>
      </c>
      <c r="BD376" s="8" t="s">
        <v>206</v>
      </c>
      <c r="BE376" s="4" t="s">
        <v>206</v>
      </c>
      <c r="BF376" s="8" t="s">
        <v>206</v>
      </c>
      <c r="BG376" s="7" t="s">
        <v>206</v>
      </c>
      <c r="BH376" s="7" t="s">
        <v>206</v>
      </c>
      <c r="BI376" s="7"/>
      <c r="BJ376" s="4">
        <v>38</v>
      </c>
      <c r="BK376" s="8">
        <v>1192.86</v>
      </c>
      <c r="BL376" s="2" t="s">
        <v>2684</v>
      </c>
      <c r="BM376" s="7"/>
      <c r="BN376" s="7"/>
      <c r="BO376" s="4"/>
      <c r="BP376" s="8"/>
      <c r="BQ376" s="4"/>
      <c r="BR376" s="8"/>
      <c r="BS376" s="7"/>
      <c r="BT376" s="7"/>
      <c r="BU376" s="2" t="s">
        <v>2685</v>
      </c>
      <c r="BV376" s="2" t="s">
        <v>206</v>
      </c>
      <c r="BW376" s="2" t="s">
        <v>206</v>
      </c>
      <c r="BX376" s="2" t="s">
        <v>214</v>
      </c>
      <c r="BY376" s="2" t="s">
        <v>215</v>
      </c>
      <c r="BZ376" s="2" t="s">
        <v>203</v>
      </c>
      <c r="CA376" s="2" t="s">
        <v>2642</v>
      </c>
      <c r="CB376" s="2" t="s">
        <v>2686</v>
      </c>
      <c r="CC376" s="2" t="s">
        <v>218</v>
      </c>
      <c r="CD376" s="2" t="s">
        <v>206</v>
      </c>
      <c r="CE376" s="4">
        <v>232</v>
      </c>
      <c r="CF376" s="4"/>
      <c r="CG376" s="4"/>
      <c r="CH376" s="4"/>
      <c r="CI376" s="4"/>
      <c r="CJ376" s="4"/>
      <c r="CK376" s="4">
        <v>54</v>
      </c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>
        <v>432</v>
      </c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>
        <v>300</v>
      </c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>
        <v>30</v>
      </c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>
        <v>90</v>
      </c>
      <c r="FF376" s="4"/>
      <c r="FG376" s="4"/>
      <c r="FH376" s="4"/>
      <c r="FI376" s="4"/>
      <c r="FJ376" s="4"/>
      <c r="FK376" s="4"/>
      <c r="FL376" s="4"/>
      <c r="FM376" s="4">
        <v>60</v>
      </c>
      <c r="FN376" s="4"/>
      <c r="FO376" s="4"/>
      <c r="FP376" s="4"/>
      <c r="FQ376" s="4"/>
      <c r="FR376" s="4"/>
      <c r="FS376" s="4"/>
      <c r="FT376" s="4"/>
      <c r="FU376" s="4"/>
      <c r="FV376" s="4"/>
      <c r="FW376" s="4"/>
      <c r="FX376" s="4"/>
      <c r="FY376" s="4"/>
      <c r="FZ376" s="4"/>
      <c r="GA376" s="4"/>
      <c r="GB376" s="4"/>
      <c r="GC376" s="4"/>
      <c r="GD376" s="4"/>
      <c r="GE376" s="4"/>
      <c r="GF376" s="4"/>
    </row>
    <row r="377">
      <c r="A377" s="2" t="s">
        <v>2687</v>
      </c>
      <c r="B377" s="2" t="s">
        <v>613</v>
      </c>
      <c r="C377" s="2" t="s">
        <v>287</v>
      </c>
      <c r="D377" s="2" t="s">
        <v>628</v>
      </c>
      <c r="E377" s="2" t="s">
        <v>1802</v>
      </c>
      <c r="F377" s="2" t="s">
        <v>2631</v>
      </c>
      <c r="G377" s="2" t="s">
        <v>2632</v>
      </c>
      <c r="H377" s="2" t="s">
        <v>2633</v>
      </c>
      <c r="I377" s="2" t="s">
        <v>2634</v>
      </c>
      <c r="J377" s="2" t="s">
        <v>1815</v>
      </c>
      <c r="K377" s="2" t="s">
        <v>1060</v>
      </c>
      <c r="L377" s="3">
        <v>32.2</v>
      </c>
      <c r="M377" s="3">
        <v>33.81</v>
      </c>
      <c r="N377" s="3">
        <v>69.99</v>
      </c>
      <c r="O377" s="2" t="s">
        <v>203</v>
      </c>
      <c r="P377" s="2" t="s">
        <v>204</v>
      </c>
      <c r="Q377" s="2" t="s">
        <v>205</v>
      </c>
      <c r="R377" s="2" t="s">
        <v>206</v>
      </c>
      <c r="S377" s="2" t="s">
        <v>2679</v>
      </c>
      <c r="T377" s="2" t="s">
        <v>292</v>
      </c>
      <c r="U377" s="2" t="s">
        <v>437</v>
      </c>
      <c r="V377" s="2" t="s">
        <v>209</v>
      </c>
      <c r="W377" s="2" t="s">
        <v>210</v>
      </c>
      <c r="X377" s="2" t="s">
        <v>206</v>
      </c>
      <c r="Y377" s="2" t="s">
        <v>2642</v>
      </c>
      <c r="Z377" s="4">
        <v>519</v>
      </c>
      <c r="AA377" s="4">
        <f>=ROUNDDOWN(21.625,0)</f>
      </c>
      <c r="AB377" s="5">
        <v>24</v>
      </c>
      <c r="AC377" s="2" t="s">
        <v>1620</v>
      </c>
      <c r="AD377" s="4">
        <v>1440</v>
      </c>
      <c r="AE377" s="4">
        <v>1782</v>
      </c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206</v>
      </c>
      <c r="AM377" s="4"/>
      <c r="AN377" s="4"/>
      <c r="AO377" s="7"/>
      <c r="AP377" s="4"/>
      <c r="AQ377" s="8"/>
      <c r="AR377" s="4"/>
      <c r="AS377" s="8"/>
      <c r="AT377" s="7"/>
      <c r="AU377" s="7"/>
      <c r="AV377" s="4" t="s">
        <v>206</v>
      </c>
      <c r="AW377" s="8" t="s">
        <v>206</v>
      </c>
      <c r="AX377" s="4" t="s">
        <v>206</v>
      </c>
      <c r="AY377" s="8" t="s">
        <v>206</v>
      </c>
      <c r="AZ377" s="7" t="s">
        <v>206</v>
      </c>
      <c r="BA377" s="7" t="s">
        <v>206</v>
      </c>
      <c r="BB377" s="7"/>
      <c r="BC377" s="4" t="s">
        <v>206</v>
      </c>
      <c r="BD377" s="8" t="s">
        <v>206</v>
      </c>
      <c r="BE377" s="4" t="s">
        <v>206</v>
      </c>
      <c r="BF377" s="8" t="s">
        <v>206</v>
      </c>
      <c r="BG377" s="7" t="s">
        <v>206</v>
      </c>
      <c r="BH377" s="7" t="s">
        <v>206</v>
      </c>
      <c r="BI377" s="7"/>
      <c r="BJ377" s="4">
        <v>93</v>
      </c>
      <c r="BK377" s="8">
        <v>3209.71</v>
      </c>
      <c r="BL377" s="2" t="s">
        <v>2688</v>
      </c>
      <c r="BM377" s="7"/>
      <c r="BN377" s="7"/>
      <c r="BO377" s="4"/>
      <c r="BP377" s="8"/>
      <c r="BQ377" s="4"/>
      <c r="BR377" s="8"/>
      <c r="BS377" s="7"/>
      <c r="BT377" s="7"/>
      <c r="BU377" s="2" t="s">
        <v>2689</v>
      </c>
      <c r="BV377" s="2" t="s">
        <v>206</v>
      </c>
      <c r="BW377" s="2" t="s">
        <v>206</v>
      </c>
      <c r="BX377" s="2" t="s">
        <v>214</v>
      </c>
      <c r="BY377" s="2" t="s">
        <v>215</v>
      </c>
      <c r="BZ377" s="2" t="s">
        <v>203</v>
      </c>
      <c r="CA377" s="2" t="s">
        <v>2642</v>
      </c>
      <c r="CB377" s="2" t="s">
        <v>2690</v>
      </c>
      <c r="CC377" s="2" t="s">
        <v>218</v>
      </c>
      <c r="CD377" s="2" t="s">
        <v>206</v>
      </c>
      <c r="CE377" s="4">
        <v>519</v>
      </c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>
        <v>1440</v>
      </c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>
        <v>90</v>
      </c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>
        <v>90</v>
      </c>
      <c r="FF377" s="4"/>
      <c r="FG377" s="4"/>
      <c r="FH377" s="4"/>
      <c r="FI377" s="4"/>
      <c r="FJ377" s="4"/>
      <c r="FK377" s="4"/>
      <c r="FL377" s="4"/>
      <c r="FM377" s="4">
        <v>162</v>
      </c>
      <c r="FN377" s="4"/>
      <c r="FO377" s="4"/>
      <c r="FP377" s="4"/>
      <c r="FQ377" s="4"/>
      <c r="FR377" s="4"/>
      <c r="FS377" s="4"/>
      <c r="FT377" s="4"/>
      <c r="FU377" s="4"/>
      <c r="FV377" s="4"/>
      <c r="FW377" s="4"/>
      <c r="FX377" s="4"/>
      <c r="FY377" s="4"/>
      <c r="FZ377" s="4"/>
      <c r="GA377" s="4"/>
      <c r="GB377" s="4"/>
      <c r="GC377" s="4"/>
      <c r="GD377" s="4"/>
      <c r="GE377" s="4"/>
      <c r="GF377" s="4"/>
    </row>
    <row r="378">
      <c r="A378" s="2" t="s">
        <v>2691</v>
      </c>
      <c r="B378" s="2" t="s">
        <v>613</v>
      </c>
      <c r="C378" s="2" t="s">
        <v>287</v>
      </c>
      <c r="D378" s="2" t="s">
        <v>628</v>
      </c>
      <c r="E378" s="2" t="s">
        <v>1802</v>
      </c>
      <c r="F378" s="2" t="s">
        <v>2631</v>
      </c>
      <c r="G378" s="2" t="s">
        <v>2632</v>
      </c>
      <c r="H378" s="2" t="s">
        <v>2633</v>
      </c>
      <c r="I378" s="2" t="s">
        <v>2634</v>
      </c>
      <c r="J378" s="2" t="s">
        <v>1819</v>
      </c>
      <c r="K378" s="2" t="s">
        <v>1060</v>
      </c>
      <c r="L378" s="3">
        <v>34.5</v>
      </c>
      <c r="M378" s="3">
        <v>36.22</v>
      </c>
      <c r="N378" s="3">
        <v>74.99</v>
      </c>
      <c r="O378" s="2" t="s">
        <v>203</v>
      </c>
      <c r="P378" s="2" t="s">
        <v>1037</v>
      </c>
      <c r="Q378" s="2" t="s">
        <v>205</v>
      </c>
      <c r="R378" s="2" t="s">
        <v>206</v>
      </c>
      <c r="S378" s="2" t="s">
        <v>2679</v>
      </c>
      <c r="T378" s="2" t="s">
        <v>292</v>
      </c>
      <c r="U378" s="2" t="s">
        <v>437</v>
      </c>
      <c r="V378" s="2" t="s">
        <v>209</v>
      </c>
      <c r="W378" s="2" t="s">
        <v>210</v>
      </c>
      <c r="X378" s="2" t="s">
        <v>206</v>
      </c>
      <c r="Y378" s="2" t="s">
        <v>2642</v>
      </c>
      <c r="Z378" s="4">
        <v>694</v>
      </c>
      <c r="AA378" s="4">
        <f>=ROUNDDOWN(28.9166666666667,0)</f>
      </c>
      <c r="AB378" s="5">
        <v>24</v>
      </c>
      <c r="AC378" s="2" t="s">
        <v>1620</v>
      </c>
      <c r="AD378" s="4">
        <v>576</v>
      </c>
      <c r="AE378" s="4">
        <v>810</v>
      </c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206</v>
      </c>
      <c r="AM378" s="4"/>
      <c r="AN378" s="4"/>
      <c r="AO378" s="7"/>
      <c r="AP378" s="4"/>
      <c r="AQ378" s="8"/>
      <c r="AR378" s="4"/>
      <c r="AS378" s="8"/>
      <c r="AT378" s="7"/>
      <c r="AU378" s="7"/>
      <c r="AV378" s="4" t="s">
        <v>206</v>
      </c>
      <c r="AW378" s="8" t="s">
        <v>206</v>
      </c>
      <c r="AX378" s="4" t="s">
        <v>206</v>
      </c>
      <c r="AY378" s="8" t="s">
        <v>206</v>
      </c>
      <c r="AZ378" s="7" t="s">
        <v>206</v>
      </c>
      <c r="BA378" s="7" t="s">
        <v>206</v>
      </c>
      <c r="BB378" s="7"/>
      <c r="BC378" s="4" t="s">
        <v>206</v>
      </c>
      <c r="BD378" s="8" t="s">
        <v>206</v>
      </c>
      <c r="BE378" s="4" t="s">
        <v>206</v>
      </c>
      <c r="BF378" s="8" t="s">
        <v>206</v>
      </c>
      <c r="BG378" s="7" t="s">
        <v>206</v>
      </c>
      <c r="BH378" s="7" t="s">
        <v>206</v>
      </c>
      <c r="BI378" s="7"/>
      <c r="BJ378" s="4">
        <v>67</v>
      </c>
      <c r="BK378" s="8">
        <v>2478.43</v>
      </c>
      <c r="BL378" s="2" t="s">
        <v>2692</v>
      </c>
      <c r="BM378" s="7"/>
      <c r="BN378" s="7"/>
      <c r="BO378" s="4"/>
      <c r="BP378" s="8"/>
      <c r="BQ378" s="4"/>
      <c r="BR378" s="8"/>
      <c r="BS378" s="7"/>
      <c r="BT378" s="7"/>
      <c r="BU378" s="2" t="s">
        <v>2693</v>
      </c>
      <c r="BV378" s="2" t="s">
        <v>206</v>
      </c>
      <c r="BW378" s="2" t="s">
        <v>206</v>
      </c>
      <c r="BX378" s="2" t="s">
        <v>214</v>
      </c>
      <c r="BY378" s="2" t="s">
        <v>215</v>
      </c>
      <c r="BZ378" s="2" t="s">
        <v>203</v>
      </c>
      <c r="CA378" s="2" t="s">
        <v>2642</v>
      </c>
      <c r="CB378" s="2" t="s">
        <v>2651</v>
      </c>
      <c r="CC378" s="2" t="s">
        <v>218</v>
      </c>
      <c r="CD378" s="2" t="s">
        <v>206</v>
      </c>
      <c r="CE378" s="4">
        <v>622</v>
      </c>
      <c r="CF378" s="4"/>
      <c r="CG378" s="4"/>
      <c r="CH378" s="4"/>
      <c r="CI378" s="4"/>
      <c r="CJ378" s="4"/>
      <c r="CK378" s="4">
        <v>72</v>
      </c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>
        <v>576</v>
      </c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>
        <v>54</v>
      </c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>
        <v>60</v>
      </c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>
        <v>120</v>
      </c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  <c r="FU378" s="4"/>
      <c r="FV378" s="4"/>
      <c r="FW378" s="4"/>
      <c r="FX378" s="4"/>
      <c r="FY378" s="4"/>
      <c r="FZ378" s="4"/>
      <c r="GA378" s="4"/>
      <c r="GB378" s="4"/>
      <c r="GC378" s="4"/>
      <c r="GD378" s="4"/>
      <c r="GE378" s="4"/>
      <c r="GF378" s="4"/>
    </row>
    <row r="379">
      <c r="A379" s="2" t="s">
        <v>2694</v>
      </c>
      <c r="B379" s="2" t="s">
        <v>613</v>
      </c>
      <c r="C379" s="2" t="s">
        <v>287</v>
      </c>
      <c r="D379" s="2" t="s">
        <v>628</v>
      </c>
      <c r="E379" s="2" t="s">
        <v>1802</v>
      </c>
      <c r="F379" s="2" t="s">
        <v>2631</v>
      </c>
      <c r="G379" s="2" t="s">
        <v>2632</v>
      </c>
      <c r="H379" s="2" t="s">
        <v>2633</v>
      </c>
      <c r="I379" s="2" t="s">
        <v>2634</v>
      </c>
      <c r="J379" s="2" t="s">
        <v>1824</v>
      </c>
      <c r="K379" s="2" t="s">
        <v>1060</v>
      </c>
      <c r="L379" s="3">
        <v>38.4</v>
      </c>
      <c r="M379" s="3">
        <v>40.32</v>
      </c>
      <c r="N379" s="3">
        <v>79.99</v>
      </c>
      <c r="O379" s="2" t="s">
        <v>203</v>
      </c>
      <c r="P379" s="2" t="s">
        <v>492</v>
      </c>
      <c r="Q379" s="2" t="s">
        <v>205</v>
      </c>
      <c r="R379" s="2" t="s">
        <v>206</v>
      </c>
      <c r="S379" s="2" t="s">
        <v>2679</v>
      </c>
      <c r="T379" s="2" t="s">
        <v>292</v>
      </c>
      <c r="U379" s="2" t="s">
        <v>437</v>
      </c>
      <c r="V379" s="2" t="s">
        <v>209</v>
      </c>
      <c r="W379" s="2" t="s">
        <v>210</v>
      </c>
      <c r="X379" s="2" t="s">
        <v>206</v>
      </c>
      <c r="Y379" s="2" t="s">
        <v>2642</v>
      </c>
      <c r="Z379" s="4">
        <v>523</v>
      </c>
      <c r="AA379" s="4">
        <f>=ROUNDDOWN(30.7647058823529,0)</f>
      </c>
      <c r="AB379" s="5">
        <v>17</v>
      </c>
      <c r="AC379" s="2" t="s">
        <v>1620</v>
      </c>
      <c r="AD379" s="4">
        <v>2256</v>
      </c>
      <c r="AE379" s="4">
        <v>2454</v>
      </c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206</v>
      </c>
      <c r="AM379" s="4"/>
      <c r="AN379" s="4"/>
      <c r="AO379" s="7"/>
      <c r="AP379" s="4"/>
      <c r="AQ379" s="8"/>
      <c r="AR379" s="4"/>
      <c r="AS379" s="8"/>
      <c r="AT379" s="7"/>
      <c r="AU379" s="7"/>
      <c r="AV379" s="4" t="s">
        <v>206</v>
      </c>
      <c r="AW379" s="8" t="s">
        <v>206</v>
      </c>
      <c r="AX379" s="4" t="s">
        <v>206</v>
      </c>
      <c r="AY379" s="8" t="s">
        <v>206</v>
      </c>
      <c r="AZ379" s="7" t="s">
        <v>206</v>
      </c>
      <c r="BA379" s="7" t="s">
        <v>206</v>
      </c>
      <c r="BB379" s="7"/>
      <c r="BC379" s="4" t="s">
        <v>206</v>
      </c>
      <c r="BD379" s="8" t="s">
        <v>206</v>
      </c>
      <c r="BE379" s="4" t="s">
        <v>206</v>
      </c>
      <c r="BF379" s="8" t="s">
        <v>206</v>
      </c>
      <c r="BG379" s="7" t="s">
        <v>206</v>
      </c>
      <c r="BH379" s="7" t="s">
        <v>206</v>
      </c>
      <c r="BI379" s="7"/>
      <c r="BJ379" s="4">
        <v>32</v>
      </c>
      <c r="BK379" s="8">
        <v>1344.22</v>
      </c>
      <c r="BL379" s="2" t="s">
        <v>2695</v>
      </c>
      <c r="BM379" s="7"/>
      <c r="BN379" s="7"/>
      <c r="BO379" s="4"/>
      <c r="BP379" s="8"/>
      <c r="BQ379" s="4"/>
      <c r="BR379" s="8"/>
      <c r="BS379" s="7"/>
      <c r="BT379" s="7"/>
      <c r="BU379" s="2" t="s">
        <v>2696</v>
      </c>
      <c r="BV379" s="2" t="s">
        <v>206</v>
      </c>
      <c r="BW379" s="2" t="s">
        <v>206</v>
      </c>
      <c r="BX379" s="2" t="s">
        <v>426</v>
      </c>
      <c r="BY379" s="2" t="s">
        <v>215</v>
      </c>
      <c r="BZ379" s="2" t="s">
        <v>203</v>
      </c>
      <c r="CA379" s="2" t="s">
        <v>2697</v>
      </c>
      <c r="CB379" s="2" t="s">
        <v>2698</v>
      </c>
      <c r="CC379" s="2" t="s">
        <v>218</v>
      </c>
      <c r="CD379" s="2" t="s">
        <v>206</v>
      </c>
      <c r="CE379" s="4">
        <v>379</v>
      </c>
      <c r="CF379" s="4"/>
      <c r="CG379" s="4"/>
      <c r="CH379" s="4"/>
      <c r="CI379" s="4"/>
      <c r="CJ379" s="4"/>
      <c r="CK379" s="4">
        <v>144</v>
      </c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>
        <v>2256</v>
      </c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>
        <v>54</v>
      </c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>
        <v>54</v>
      </c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>
        <v>90</v>
      </c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  <c r="FV379" s="4"/>
      <c r="FW379" s="4"/>
      <c r="FX379" s="4"/>
      <c r="FY379" s="4"/>
      <c r="FZ379" s="4"/>
      <c r="GA379" s="4"/>
      <c r="GB379" s="4"/>
      <c r="GC379" s="4"/>
      <c r="GD379" s="4"/>
      <c r="GE379" s="4"/>
      <c r="GF379" s="4"/>
    </row>
    <row r="380">
      <c r="A380" s="2" t="s">
        <v>2699</v>
      </c>
      <c r="B380" s="2" t="s">
        <v>613</v>
      </c>
      <c r="C380" s="2" t="s">
        <v>287</v>
      </c>
      <c r="D380" s="2" t="s">
        <v>628</v>
      </c>
      <c r="E380" s="2" t="s">
        <v>1802</v>
      </c>
      <c r="F380" s="2" t="s">
        <v>2631</v>
      </c>
      <c r="G380" s="2" t="s">
        <v>2632</v>
      </c>
      <c r="H380" s="2" t="s">
        <v>2633</v>
      </c>
      <c r="I380" s="2" t="s">
        <v>2634</v>
      </c>
      <c r="J380" s="2" t="s">
        <v>2700</v>
      </c>
      <c r="K380" s="2" t="s">
        <v>202</v>
      </c>
      <c r="L380" s="3">
        <v>23.75</v>
      </c>
      <c r="M380" s="3">
        <v>24.94</v>
      </c>
      <c r="N380" s="3">
        <v>53.99</v>
      </c>
      <c r="O380" s="2" t="s">
        <v>203</v>
      </c>
      <c r="P380" s="2" t="s">
        <v>492</v>
      </c>
      <c r="Q380" s="2" t="s">
        <v>205</v>
      </c>
      <c r="R380" s="2" t="s">
        <v>206</v>
      </c>
      <c r="S380" s="2" t="s">
        <v>2701</v>
      </c>
      <c r="T380" s="2" t="s">
        <v>292</v>
      </c>
      <c r="U380" s="2" t="s">
        <v>437</v>
      </c>
      <c r="V380" s="2" t="s">
        <v>209</v>
      </c>
      <c r="W380" s="2" t="s">
        <v>210</v>
      </c>
      <c r="X380" s="2" t="s">
        <v>206</v>
      </c>
      <c r="Y380" s="2" t="s">
        <v>2637</v>
      </c>
      <c r="Z380" s="4">
        <v>639</v>
      </c>
      <c r="AA380" s="4">
        <f>=ROUNDDOWN(49.1538461538462,0)</f>
      </c>
      <c r="AB380" s="5">
        <v>13</v>
      </c>
      <c r="AC380" s="2" t="s">
        <v>206</v>
      </c>
      <c r="AD380" s="4"/>
      <c r="AE380" s="4"/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206</v>
      </c>
      <c r="AM380" s="4"/>
      <c r="AN380" s="4"/>
      <c r="AO380" s="7"/>
      <c r="AP380" s="4"/>
      <c r="AQ380" s="8"/>
      <c r="AR380" s="4"/>
      <c r="AS380" s="8"/>
      <c r="AT380" s="7"/>
      <c r="AU380" s="7"/>
      <c r="AV380" s="4" t="s">
        <v>206</v>
      </c>
      <c r="AW380" s="8" t="s">
        <v>206</v>
      </c>
      <c r="AX380" s="4" t="s">
        <v>206</v>
      </c>
      <c r="AY380" s="8" t="s">
        <v>206</v>
      </c>
      <c r="AZ380" s="7" t="s">
        <v>206</v>
      </c>
      <c r="BA380" s="7" t="s">
        <v>206</v>
      </c>
      <c r="BB380" s="7"/>
      <c r="BC380" s="4" t="s">
        <v>206</v>
      </c>
      <c r="BD380" s="8" t="s">
        <v>206</v>
      </c>
      <c r="BE380" s="4" t="s">
        <v>206</v>
      </c>
      <c r="BF380" s="8" t="s">
        <v>206</v>
      </c>
      <c r="BG380" s="7" t="s">
        <v>206</v>
      </c>
      <c r="BH380" s="7" t="s">
        <v>206</v>
      </c>
      <c r="BI380" s="7"/>
      <c r="BJ380" s="4">
        <v>96</v>
      </c>
      <c r="BK380" s="8">
        <v>2630.4</v>
      </c>
      <c r="BL380" s="2" t="s">
        <v>2702</v>
      </c>
      <c r="BM380" s="7"/>
      <c r="BN380" s="7"/>
      <c r="BO380" s="4"/>
      <c r="BP380" s="8"/>
      <c r="BQ380" s="4"/>
      <c r="BR380" s="8"/>
      <c r="BS380" s="7"/>
      <c r="BT380" s="7"/>
      <c r="BU380" s="2" t="s">
        <v>2703</v>
      </c>
      <c r="BV380" s="2" t="s">
        <v>206</v>
      </c>
      <c r="BW380" s="2" t="s">
        <v>206</v>
      </c>
      <c r="BX380" s="2" t="s">
        <v>426</v>
      </c>
      <c r="BY380" s="2" t="s">
        <v>215</v>
      </c>
      <c r="BZ380" s="2" t="s">
        <v>203</v>
      </c>
      <c r="CA380" s="2" t="s">
        <v>2640</v>
      </c>
      <c r="CB380" s="2" t="s">
        <v>2682</v>
      </c>
      <c r="CC380" s="2" t="s">
        <v>218</v>
      </c>
      <c r="CD380" s="2" t="s">
        <v>206</v>
      </c>
      <c r="CE380" s="4">
        <v>639</v>
      </c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  <c r="FU380" s="4"/>
      <c r="FV380" s="4"/>
      <c r="FW380" s="4"/>
      <c r="FX380" s="4"/>
      <c r="FY380" s="4"/>
      <c r="FZ380" s="4"/>
      <c r="GA380" s="4"/>
      <c r="GB380" s="4"/>
      <c r="GC380" s="4"/>
      <c r="GD380" s="4"/>
      <c r="GE380" s="4"/>
      <c r="GF380" s="4"/>
    </row>
    <row r="381">
      <c r="A381" s="2" t="s">
        <v>2704</v>
      </c>
      <c r="B381" s="2" t="s">
        <v>613</v>
      </c>
      <c r="C381" s="2" t="s">
        <v>287</v>
      </c>
      <c r="D381" s="2" t="s">
        <v>628</v>
      </c>
      <c r="E381" s="2" t="s">
        <v>1802</v>
      </c>
      <c r="F381" s="2" t="s">
        <v>2631</v>
      </c>
      <c r="G381" s="2" t="s">
        <v>2632</v>
      </c>
      <c r="H381" s="2" t="s">
        <v>2633</v>
      </c>
      <c r="I381" s="2" t="s">
        <v>2634</v>
      </c>
      <c r="J381" s="2" t="s">
        <v>1804</v>
      </c>
      <c r="K381" s="2" t="s">
        <v>202</v>
      </c>
      <c r="L381" s="3">
        <v>27</v>
      </c>
      <c r="M381" s="3">
        <v>28.35</v>
      </c>
      <c r="N381" s="3">
        <v>59.99</v>
      </c>
      <c r="O381" s="2" t="s">
        <v>203</v>
      </c>
      <c r="P381" s="2" t="s">
        <v>1037</v>
      </c>
      <c r="Q381" s="2" t="s">
        <v>205</v>
      </c>
      <c r="R381" s="2" t="s">
        <v>206</v>
      </c>
      <c r="S381" s="2" t="s">
        <v>2701</v>
      </c>
      <c r="T381" s="2" t="s">
        <v>292</v>
      </c>
      <c r="U381" s="2" t="s">
        <v>437</v>
      </c>
      <c r="V381" s="2" t="s">
        <v>209</v>
      </c>
      <c r="W381" s="2" t="s">
        <v>210</v>
      </c>
      <c r="X381" s="2" t="s">
        <v>206</v>
      </c>
      <c r="Y381" s="2" t="s">
        <v>2705</v>
      </c>
      <c r="Z381" s="4">
        <v>1483</v>
      </c>
      <c r="AA381" s="4">
        <f>=ROUNDDOWN(70.6190476190476,0)</f>
      </c>
      <c r="AB381" s="5">
        <v>21</v>
      </c>
      <c r="AC381" s="2" t="s">
        <v>206</v>
      </c>
      <c r="AD381" s="4"/>
      <c r="AE381" s="4"/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206</v>
      </c>
      <c r="AM381" s="4"/>
      <c r="AN381" s="4"/>
      <c r="AO381" s="7"/>
      <c r="AP381" s="4"/>
      <c r="AQ381" s="8"/>
      <c r="AR381" s="4"/>
      <c r="AS381" s="8"/>
      <c r="AT381" s="7"/>
      <c r="AU381" s="7"/>
      <c r="AV381" s="4" t="s">
        <v>206</v>
      </c>
      <c r="AW381" s="8" t="s">
        <v>206</v>
      </c>
      <c r="AX381" s="4" t="s">
        <v>206</v>
      </c>
      <c r="AY381" s="8" t="s">
        <v>206</v>
      </c>
      <c r="AZ381" s="7" t="s">
        <v>206</v>
      </c>
      <c r="BA381" s="7" t="s">
        <v>206</v>
      </c>
      <c r="BB381" s="7"/>
      <c r="BC381" s="4" t="s">
        <v>206</v>
      </c>
      <c r="BD381" s="8" t="s">
        <v>206</v>
      </c>
      <c r="BE381" s="4" t="s">
        <v>206</v>
      </c>
      <c r="BF381" s="8" t="s">
        <v>206</v>
      </c>
      <c r="BG381" s="7" t="s">
        <v>206</v>
      </c>
      <c r="BH381" s="7" t="s">
        <v>206</v>
      </c>
      <c r="BI381" s="7"/>
      <c r="BJ381" s="4">
        <v>70</v>
      </c>
      <c r="BK381" s="8">
        <v>2022.81</v>
      </c>
      <c r="BL381" s="2" t="s">
        <v>2706</v>
      </c>
      <c r="BM381" s="7"/>
      <c r="BN381" s="7"/>
      <c r="BO381" s="4"/>
      <c r="BP381" s="8"/>
      <c r="BQ381" s="4"/>
      <c r="BR381" s="8"/>
      <c r="BS381" s="7"/>
      <c r="BT381" s="7"/>
      <c r="BU381" s="2" t="s">
        <v>2707</v>
      </c>
      <c r="BV381" s="2" t="s">
        <v>206</v>
      </c>
      <c r="BW381" s="2" t="s">
        <v>206</v>
      </c>
      <c r="BX381" s="2" t="s">
        <v>214</v>
      </c>
      <c r="BY381" s="2" t="s">
        <v>215</v>
      </c>
      <c r="BZ381" s="2" t="s">
        <v>203</v>
      </c>
      <c r="CA381" s="2" t="s">
        <v>2708</v>
      </c>
      <c r="CB381" s="2" t="s">
        <v>2186</v>
      </c>
      <c r="CC381" s="2" t="s">
        <v>218</v>
      </c>
      <c r="CD381" s="2" t="s">
        <v>206</v>
      </c>
      <c r="CE381" s="4">
        <v>1483</v>
      </c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  <c r="FU381" s="4"/>
      <c r="FV381" s="4"/>
      <c r="FW381" s="4"/>
      <c r="FX381" s="4"/>
      <c r="FY381" s="4"/>
      <c r="FZ381" s="4"/>
      <c r="GA381" s="4"/>
      <c r="GB381" s="4"/>
      <c r="GC381" s="4"/>
      <c r="GD381" s="4"/>
      <c r="GE381" s="4"/>
      <c r="GF381" s="4"/>
    </row>
    <row r="382">
      <c r="A382" s="2" t="s">
        <v>2709</v>
      </c>
      <c r="B382" s="2" t="s">
        <v>613</v>
      </c>
      <c r="C382" s="2" t="s">
        <v>287</v>
      </c>
      <c r="D382" s="2" t="s">
        <v>628</v>
      </c>
      <c r="E382" s="2" t="s">
        <v>1802</v>
      </c>
      <c r="F382" s="2" t="s">
        <v>2631</v>
      </c>
      <c r="G382" s="2" t="s">
        <v>2632</v>
      </c>
      <c r="H382" s="2" t="s">
        <v>2633</v>
      </c>
      <c r="I382" s="2" t="s">
        <v>2634</v>
      </c>
      <c r="J382" s="2" t="s">
        <v>2635</v>
      </c>
      <c r="K382" s="2" t="s">
        <v>202</v>
      </c>
      <c r="L382" s="3">
        <v>28.5</v>
      </c>
      <c r="M382" s="3">
        <v>29.93</v>
      </c>
      <c r="N382" s="3">
        <v>62.99</v>
      </c>
      <c r="O382" s="2" t="s">
        <v>203</v>
      </c>
      <c r="P382" s="2" t="s">
        <v>492</v>
      </c>
      <c r="Q382" s="2" t="s">
        <v>205</v>
      </c>
      <c r="R382" s="2" t="s">
        <v>206</v>
      </c>
      <c r="S382" s="2" t="s">
        <v>2701</v>
      </c>
      <c r="T382" s="2" t="s">
        <v>292</v>
      </c>
      <c r="U382" s="2" t="s">
        <v>437</v>
      </c>
      <c r="V382" s="2" t="s">
        <v>209</v>
      </c>
      <c r="W382" s="2" t="s">
        <v>210</v>
      </c>
      <c r="X382" s="2" t="s">
        <v>206</v>
      </c>
      <c r="Y382" s="2" t="s">
        <v>2637</v>
      </c>
      <c r="Z382" s="4">
        <v>428</v>
      </c>
      <c r="AA382" s="4">
        <f>=ROUNDDOWN(32.9230769230769,0)</f>
      </c>
      <c r="AB382" s="5">
        <v>13</v>
      </c>
      <c r="AC382" s="2" t="s">
        <v>119</v>
      </c>
      <c r="AD382" s="4">
        <v>120</v>
      </c>
      <c r="AE382" s="4">
        <v>330</v>
      </c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206</v>
      </c>
      <c r="AM382" s="4"/>
      <c r="AN382" s="4"/>
      <c r="AO382" s="7"/>
      <c r="AP382" s="4"/>
      <c r="AQ382" s="8"/>
      <c r="AR382" s="4"/>
      <c r="AS382" s="8"/>
      <c r="AT382" s="7"/>
      <c r="AU382" s="7"/>
      <c r="AV382" s="4" t="s">
        <v>206</v>
      </c>
      <c r="AW382" s="8" t="s">
        <v>206</v>
      </c>
      <c r="AX382" s="4" t="s">
        <v>206</v>
      </c>
      <c r="AY382" s="8" t="s">
        <v>206</v>
      </c>
      <c r="AZ382" s="7" t="s">
        <v>206</v>
      </c>
      <c r="BA382" s="7" t="s">
        <v>206</v>
      </c>
      <c r="BB382" s="7"/>
      <c r="BC382" s="4" t="s">
        <v>206</v>
      </c>
      <c r="BD382" s="8" t="s">
        <v>206</v>
      </c>
      <c r="BE382" s="4" t="s">
        <v>206</v>
      </c>
      <c r="BF382" s="8" t="s">
        <v>206</v>
      </c>
      <c r="BG382" s="7" t="s">
        <v>206</v>
      </c>
      <c r="BH382" s="7" t="s">
        <v>206</v>
      </c>
      <c r="BI382" s="7"/>
      <c r="BJ382" s="4">
        <v>45</v>
      </c>
      <c r="BK382" s="8">
        <v>1492.43</v>
      </c>
      <c r="BL382" s="2" t="s">
        <v>2680</v>
      </c>
      <c r="BM382" s="7"/>
      <c r="BN382" s="7"/>
      <c r="BO382" s="4"/>
      <c r="BP382" s="8"/>
      <c r="BQ382" s="4"/>
      <c r="BR382" s="8"/>
      <c r="BS382" s="7"/>
      <c r="BT382" s="7"/>
      <c r="BU382" s="2" t="s">
        <v>2710</v>
      </c>
      <c r="BV382" s="2" t="s">
        <v>206</v>
      </c>
      <c r="BW382" s="2" t="s">
        <v>206</v>
      </c>
      <c r="BX382" s="2" t="s">
        <v>214</v>
      </c>
      <c r="BY382" s="2" t="s">
        <v>215</v>
      </c>
      <c r="BZ382" s="2" t="s">
        <v>203</v>
      </c>
      <c r="CA382" s="2" t="s">
        <v>2640</v>
      </c>
      <c r="CB382" s="2" t="s">
        <v>2682</v>
      </c>
      <c r="CC382" s="2" t="s">
        <v>218</v>
      </c>
      <c r="CD382" s="2" t="s">
        <v>206</v>
      </c>
      <c r="CE382" s="4">
        <v>428</v>
      </c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>
        <v>120</v>
      </c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>
        <v>210</v>
      </c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  <c r="FU382" s="4"/>
      <c r="FV382" s="4"/>
      <c r="FW382" s="4"/>
      <c r="FX382" s="4"/>
      <c r="FY382" s="4"/>
      <c r="FZ382" s="4"/>
      <c r="GA382" s="4"/>
      <c r="GB382" s="4"/>
      <c r="GC382" s="4"/>
      <c r="GD382" s="4"/>
      <c r="GE382" s="4"/>
      <c r="GF382" s="4"/>
    </row>
    <row r="383">
      <c r="A383" s="2" t="s">
        <v>2711</v>
      </c>
      <c r="B383" s="2" t="s">
        <v>613</v>
      </c>
      <c r="C383" s="2" t="s">
        <v>287</v>
      </c>
      <c r="D383" s="2" t="s">
        <v>628</v>
      </c>
      <c r="E383" s="2" t="s">
        <v>1802</v>
      </c>
      <c r="F383" s="2" t="s">
        <v>2631</v>
      </c>
      <c r="G383" s="2" t="s">
        <v>2632</v>
      </c>
      <c r="H383" s="2" t="s">
        <v>2633</v>
      </c>
      <c r="I383" s="2" t="s">
        <v>2634</v>
      </c>
      <c r="J383" s="2" t="s">
        <v>1815</v>
      </c>
      <c r="K383" s="2" t="s">
        <v>202</v>
      </c>
      <c r="L383" s="3">
        <v>32.2</v>
      </c>
      <c r="M383" s="3">
        <v>33.81</v>
      </c>
      <c r="N383" s="3">
        <v>69.99</v>
      </c>
      <c r="O383" s="2" t="s">
        <v>203</v>
      </c>
      <c r="P383" s="2" t="s">
        <v>1037</v>
      </c>
      <c r="Q383" s="2" t="s">
        <v>205</v>
      </c>
      <c r="R383" s="2" t="s">
        <v>206</v>
      </c>
      <c r="S383" s="2" t="s">
        <v>2701</v>
      </c>
      <c r="T383" s="2" t="s">
        <v>292</v>
      </c>
      <c r="U383" s="2" t="s">
        <v>437</v>
      </c>
      <c r="V383" s="2" t="s">
        <v>209</v>
      </c>
      <c r="W383" s="2" t="s">
        <v>210</v>
      </c>
      <c r="X383" s="2" t="s">
        <v>206</v>
      </c>
      <c r="Y383" s="2" t="s">
        <v>2705</v>
      </c>
      <c r="Z383" s="4">
        <v>503</v>
      </c>
      <c r="AA383" s="4">
        <f>=ROUNDDOWN(29.5882352941176,0)</f>
      </c>
      <c r="AB383" s="5">
        <v>17</v>
      </c>
      <c r="AC383" s="2" t="s">
        <v>119</v>
      </c>
      <c r="AD383" s="4">
        <v>60</v>
      </c>
      <c r="AE383" s="4">
        <v>300</v>
      </c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206</v>
      </c>
      <c r="AM383" s="4"/>
      <c r="AN383" s="4"/>
      <c r="AO383" s="7"/>
      <c r="AP383" s="4"/>
      <c r="AQ383" s="8"/>
      <c r="AR383" s="4"/>
      <c r="AS383" s="8"/>
      <c r="AT383" s="7"/>
      <c r="AU383" s="7"/>
      <c r="AV383" s="4" t="s">
        <v>206</v>
      </c>
      <c r="AW383" s="8" t="s">
        <v>206</v>
      </c>
      <c r="AX383" s="4" t="s">
        <v>206</v>
      </c>
      <c r="AY383" s="8" t="s">
        <v>206</v>
      </c>
      <c r="AZ383" s="7" t="s">
        <v>206</v>
      </c>
      <c r="BA383" s="7" t="s">
        <v>206</v>
      </c>
      <c r="BB383" s="7"/>
      <c r="BC383" s="4" t="s">
        <v>206</v>
      </c>
      <c r="BD383" s="8" t="s">
        <v>206</v>
      </c>
      <c r="BE383" s="4" t="s">
        <v>206</v>
      </c>
      <c r="BF383" s="8" t="s">
        <v>206</v>
      </c>
      <c r="BG383" s="7" t="s">
        <v>206</v>
      </c>
      <c r="BH383" s="7" t="s">
        <v>206</v>
      </c>
      <c r="BI383" s="7"/>
      <c r="BJ383" s="4">
        <v>111</v>
      </c>
      <c r="BK383" s="8">
        <v>3913.2</v>
      </c>
      <c r="BL383" s="2" t="s">
        <v>1917</v>
      </c>
      <c r="BM383" s="7"/>
      <c r="BN383" s="7"/>
      <c r="BO383" s="4"/>
      <c r="BP383" s="8"/>
      <c r="BQ383" s="4"/>
      <c r="BR383" s="8"/>
      <c r="BS383" s="7"/>
      <c r="BT383" s="7"/>
      <c r="BU383" s="2" t="s">
        <v>2712</v>
      </c>
      <c r="BV383" s="2" t="s">
        <v>206</v>
      </c>
      <c r="BW383" s="2" t="s">
        <v>206</v>
      </c>
      <c r="BX383" s="2" t="s">
        <v>426</v>
      </c>
      <c r="BY383" s="2" t="s">
        <v>215</v>
      </c>
      <c r="BZ383" s="2" t="s">
        <v>203</v>
      </c>
      <c r="CA383" s="2" t="s">
        <v>2708</v>
      </c>
      <c r="CB383" s="2" t="s">
        <v>2713</v>
      </c>
      <c r="CC383" s="2" t="s">
        <v>218</v>
      </c>
      <c r="CD383" s="2" t="s">
        <v>206</v>
      </c>
      <c r="CE383" s="4">
        <v>503</v>
      </c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>
        <v>60</v>
      </c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>
        <v>240</v>
      </c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  <c r="FV383" s="4"/>
      <c r="FW383" s="4"/>
      <c r="FX383" s="4"/>
      <c r="FY383" s="4"/>
      <c r="FZ383" s="4"/>
      <c r="GA383" s="4"/>
      <c r="GB383" s="4"/>
      <c r="GC383" s="4"/>
      <c r="GD383" s="4"/>
      <c r="GE383" s="4"/>
      <c r="GF383" s="4"/>
    </row>
    <row r="384">
      <c r="A384" s="2" t="s">
        <v>2714</v>
      </c>
      <c r="B384" s="2" t="s">
        <v>528</v>
      </c>
      <c r="C384" s="2" t="s">
        <v>941</v>
      </c>
      <c r="D384" s="2" t="s">
        <v>529</v>
      </c>
      <c r="E384" s="2" t="s">
        <v>816</v>
      </c>
      <c r="F384" s="2" t="s">
        <v>2715</v>
      </c>
      <c r="G384" s="2" t="s">
        <v>2715</v>
      </c>
      <c r="H384" s="2" t="s">
        <v>2715</v>
      </c>
      <c r="I384" s="2" t="s">
        <v>2716</v>
      </c>
      <c r="J384" s="2" t="s">
        <v>310</v>
      </c>
      <c r="K384" s="2" t="s">
        <v>696</v>
      </c>
      <c r="L384" s="3">
        <v>204.28</v>
      </c>
      <c r="M384" s="3">
        <v>214.49</v>
      </c>
      <c r="N384" s="3">
        <v>599.99</v>
      </c>
      <c r="O384" s="2" t="s">
        <v>203</v>
      </c>
      <c r="P384" s="2" t="s">
        <v>204</v>
      </c>
      <c r="Q384" s="2" t="s">
        <v>205</v>
      </c>
      <c r="R384" s="2" t="s">
        <v>206</v>
      </c>
      <c r="S384" s="2" t="s">
        <v>206</v>
      </c>
      <c r="T384" s="2" t="s">
        <v>206</v>
      </c>
      <c r="U384" s="2" t="s">
        <v>235</v>
      </c>
      <c r="V384" s="2" t="s">
        <v>2717</v>
      </c>
      <c r="W384" s="2" t="s">
        <v>453</v>
      </c>
      <c r="X384" s="2" t="s">
        <v>206</v>
      </c>
      <c r="Y384" s="2" t="s">
        <v>2718</v>
      </c>
      <c r="Z384" s="4">
        <v>125</v>
      </c>
      <c r="AA384" s="4">
        <f>=ROUNDDOWN(40.3225806451613,0)</f>
      </c>
      <c r="AB384" s="5">
        <v>3.1</v>
      </c>
      <c r="AC384" s="2" t="s">
        <v>206</v>
      </c>
      <c r="AD384" s="4"/>
      <c r="AE384" s="4"/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206</v>
      </c>
      <c r="AM384" s="4"/>
      <c r="AN384" s="4"/>
      <c r="AO384" s="7"/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 t="s">
        <v>206</v>
      </c>
      <c r="BD384" s="8" t="s">
        <v>206</v>
      </c>
      <c r="BE384" s="4" t="s">
        <v>206</v>
      </c>
      <c r="BF384" s="8" t="s">
        <v>206</v>
      </c>
      <c r="BG384" s="7" t="s">
        <v>206</v>
      </c>
      <c r="BH384" s="7" t="s">
        <v>206</v>
      </c>
      <c r="BI384" s="7"/>
      <c r="BJ384" s="4">
        <v>22</v>
      </c>
      <c r="BK384" s="8">
        <v>4984.39</v>
      </c>
      <c r="BL384" s="2" t="s">
        <v>2719</v>
      </c>
      <c r="BM384" s="7"/>
      <c r="BN384" s="7"/>
      <c r="BO384" s="4"/>
      <c r="BP384" s="8"/>
      <c r="BQ384" s="4"/>
      <c r="BR384" s="8"/>
      <c r="BS384" s="7"/>
      <c r="BT384" s="7"/>
      <c r="BU384" s="2" t="s">
        <v>2720</v>
      </c>
      <c r="BV384" s="2" t="s">
        <v>206</v>
      </c>
      <c r="BW384" s="2" t="s">
        <v>206</v>
      </c>
      <c r="BX384" s="2" t="s">
        <v>426</v>
      </c>
      <c r="BY384" s="2" t="s">
        <v>215</v>
      </c>
      <c r="BZ384" s="2" t="s">
        <v>203</v>
      </c>
      <c r="CA384" s="2" t="s">
        <v>2721</v>
      </c>
      <c r="CB384" s="2" t="s">
        <v>571</v>
      </c>
      <c r="CC384" s="2" t="s">
        <v>218</v>
      </c>
      <c r="CD384" s="2" t="s">
        <v>206</v>
      </c>
      <c r="CE384" s="4">
        <v>125</v>
      </c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  <c r="FU384" s="4"/>
      <c r="FV384" s="4"/>
      <c r="FW384" s="4"/>
      <c r="FX384" s="4"/>
      <c r="FY384" s="4"/>
      <c r="FZ384" s="4"/>
      <c r="GA384" s="4"/>
      <c r="GB384" s="4"/>
      <c r="GC384" s="4"/>
      <c r="GD384" s="4"/>
      <c r="GE384" s="4"/>
      <c r="GF384" s="4"/>
    </row>
    <row r="385">
      <c r="A385" s="2" t="s">
        <v>2722</v>
      </c>
      <c r="B385" s="2" t="s">
        <v>528</v>
      </c>
      <c r="C385" s="2" t="s">
        <v>941</v>
      </c>
      <c r="D385" s="2" t="s">
        <v>529</v>
      </c>
      <c r="E385" s="2" t="s">
        <v>816</v>
      </c>
      <c r="F385" s="2" t="s">
        <v>2715</v>
      </c>
      <c r="G385" s="2" t="s">
        <v>2715</v>
      </c>
      <c r="H385" s="2" t="s">
        <v>2715</v>
      </c>
      <c r="I385" s="2" t="s">
        <v>2723</v>
      </c>
      <c r="J385" s="2" t="s">
        <v>310</v>
      </c>
      <c r="K385" s="2" t="s">
        <v>674</v>
      </c>
      <c r="L385" s="3">
        <v>204.28</v>
      </c>
      <c r="M385" s="3">
        <v>214.49</v>
      </c>
      <c r="N385" s="3">
        <v>599.99</v>
      </c>
      <c r="O385" s="2" t="s">
        <v>203</v>
      </c>
      <c r="P385" s="2" t="s">
        <v>204</v>
      </c>
      <c r="Q385" s="2" t="s">
        <v>205</v>
      </c>
      <c r="R385" s="2" t="s">
        <v>206</v>
      </c>
      <c r="S385" s="2" t="s">
        <v>206</v>
      </c>
      <c r="T385" s="2" t="s">
        <v>206</v>
      </c>
      <c r="U385" s="2" t="s">
        <v>235</v>
      </c>
      <c r="V385" s="2" t="s">
        <v>2717</v>
      </c>
      <c r="W385" s="2" t="s">
        <v>453</v>
      </c>
      <c r="X385" s="2" t="s">
        <v>206</v>
      </c>
      <c r="Y385" s="2" t="s">
        <v>1685</v>
      </c>
      <c r="Z385" s="4">
        <v>132</v>
      </c>
      <c r="AA385" s="4">
        <f>=ROUNDDOWN(52.8,0)</f>
      </c>
      <c r="AB385" s="5">
        <v>2.5</v>
      </c>
      <c r="AC385" s="2" t="s">
        <v>206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206</v>
      </c>
      <c r="AM385" s="4"/>
      <c r="AN385" s="4"/>
      <c r="AO385" s="7"/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 t="s">
        <v>206</v>
      </c>
      <c r="BD385" s="8" t="s">
        <v>206</v>
      </c>
      <c r="BE385" s="4" t="s">
        <v>206</v>
      </c>
      <c r="BF385" s="8" t="s">
        <v>206</v>
      </c>
      <c r="BG385" s="7" t="s">
        <v>206</v>
      </c>
      <c r="BH385" s="7" t="s">
        <v>206</v>
      </c>
      <c r="BI385" s="7"/>
      <c r="BJ385" s="4">
        <v>16</v>
      </c>
      <c r="BK385" s="8">
        <v>3448.12</v>
      </c>
      <c r="BL385" s="2" t="s">
        <v>2719</v>
      </c>
      <c r="BM385" s="7"/>
      <c r="BN385" s="7"/>
      <c r="BO385" s="4"/>
      <c r="BP385" s="8"/>
      <c r="BQ385" s="4"/>
      <c r="BR385" s="8"/>
      <c r="BS385" s="7"/>
      <c r="BT385" s="7"/>
      <c r="BU385" s="2" t="s">
        <v>2724</v>
      </c>
      <c r="BV385" s="2" t="s">
        <v>206</v>
      </c>
      <c r="BW385" s="2" t="s">
        <v>206</v>
      </c>
      <c r="BX385" s="2" t="s">
        <v>426</v>
      </c>
      <c r="BY385" s="2" t="s">
        <v>215</v>
      </c>
      <c r="BZ385" s="2" t="s">
        <v>203</v>
      </c>
      <c r="CA385" s="2" t="s">
        <v>2721</v>
      </c>
      <c r="CB385" s="2" t="s">
        <v>571</v>
      </c>
      <c r="CC385" s="2" t="s">
        <v>218</v>
      </c>
      <c r="CD385" s="2" t="s">
        <v>206</v>
      </c>
      <c r="CE385" s="4">
        <v>59</v>
      </c>
      <c r="CF385" s="4">
        <v>73</v>
      </c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  <c r="FU385" s="4"/>
      <c r="FV385" s="4"/>
      <c r="FW385" s="4"/>
      <c r="FX385" s="4"/>
      <c r="FY385" s="4"/>
      <c r="FZ385" s="4"/>
      <c r="GA385" s="4"/>
      <c r="GB385" s="4"/>
      <c r="GC385" s="4"/>
      <c r="GD385" s="4"/>
      <c r="GE385" s="4"/>
      <c r="GF385" s="4"/>
    </row>
    <row r="386">
      <c r="A386" s="2" t="s">
        <v>2725</v>
      </c>
      <c r="B386" s="2" t="s">
        <v>800</v>
      </c>
      <c r="C386" s="2" t="s">
        <v>2726</v>
      </c>
      <c r="D386" s="2" t="s">
        <v>1267</v>
      </c>
      <c r="E386" s="2" t="s">
        <v>1268</v>
      </c>
      <c r="F386" s="2" t="s">
        <v>2727</v>
      </c>
      <c r="G386" s="2" t="s">
        <v>2727</v>
      </c>
      <c r="H386" s="2" t="s">
        <v>2727</v>
      </c>
      <c r="I386" s="2" t="s">
        <v>2728</v>
      </c>
      <c r="J386" s="2" t="s">
        <v>231</v>
      </c>
      <c r="K386" s="2" t="s">
        <v>262</v>
      </c>
      <c r="L386" s="3">
        <v>32.9</v>
      </c>
      <c r="M386" s="3">
        <v>34.54</v>
      </c>
      <c r="N386" s="3">
        <v>69.99</v>
      </c>
      <c r="O386" s="2" t="s">
        <v>203</v>
      </c>
      <c r="P386" s="2" t="s">
        <v>204</v>
      </c>
      <c r="Q386" s="2" t="s">
        <v>205</v>
      </c>
      <c r="R386" s="2" t="s">
        <v>206</v>
      </c>
      <c r="S386" s="2" t="s">
        <v>2729</v>
      </c>
      <c r="T386" s="2" t="s">
        <v>234</v>
      </c>
      <c r="U386" s="2" t="s">
        <v>437</v>
      </c>
      <c r="V386" s="2" t="s">
        <v>209</v>
      </c>
      <c r="W386" s="2" t="s">
        <v>210</v>
      </c>
      <c r="X386" s="2" t="s">
        <v>901</v>
      </c>
      <c r="Y386" s="2" t="s">
        <v>2730</v>
      </c>
      <c r="Z386" s="4">
        <v>25</v>
      </c>
      <c r="AA386" s="4">
        <f>=ROUNDDOWN(2.27272727272727,0)</f>
      </c>
      <c r="AB386" s="5">
        <v>11</v>
      </c>
      <c r="AC386" s="2" t="s">
        <v>514</v>
      </c>
      <c r="AD386" s="4">
        <v>300</v>
      </c>
      <c r="AE386" s="4">
        <v>667</v>
      </c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206</v>
      </c>
      <c r="AM386" s="4"/>
      <c r="AN386" s="4"/>
      <c r="AO386" s="7"/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 t="s">
        <v>206</v>
      </c>
      <c r="BD386" s="8" t="s">
        <v>206</v>
      </c>
      <c r="BE386" s="4" t="s">
        <v>206</v>
      </c>
      <c r="BF386" s="8" t="s">
        <v>206</v>
      </c>
      <c r="BG386" s="7" t="s">
        <v>206</v>
      </c>
      <c r="BH386" s="7" t="s">
        <v>206</v>
      </c>
      <c r="BI386" s="7"/>
      <c r="BJ386" s="4">
        <v>19</v>
      </c>
      <c r="BK386" s="8">
        <v>684.23</v>
      </c>
      <c r="BL386" s="2" t="s">
        <v>2731</v>
      </c>
      <c r="BM386" s="7"/>
      <c r="BN386" s="7"/>
      <c r="BO386" s="4"/>
      <c r="BP386" s="8"/>
      <c r="BQ386" s="4"/>
      <c r="BR386" s="8"/>
      <c r="BS386" s="7"/>
      <c r="BT386" s="7"/>
      <c r="BU386" s="2" t="s">
        <v>2732</v>
      </c>
      <c r="BV386" s="2" t="s">
        <v>206</v>
      </c>
      <c r="BW386" s="2" t="s">
        <v>206</v>
      </c>
      <c r="BX386" s="2" t="s">
        <v>214</v>
      </c>
      <c r="BY386" s="2" t="s">
        <v>215</v>
      </c>
      <c r="BZ386" s="2" t="s">
        <v>203</v>
      </c>
      <c r="CA386" s="2" t="s">
        <v>2730</v>
      </c>
      <c r="CB386" s="2" t="s">
        <v>1274</v>
      </c>
      <c r="CC386" s="2" t="s">
        <v>218</v>
      </c>
      <c r="CD386" s="2" t="s">
        <v>206</v>
      </c>
      <c r="CE386" s="4">
        <v>25</v>
      </c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>
        <v>300</v>
      </c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>
        <v>367</v>
      </c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  <c r="FU386" s="4"/>
      <c r="FV386" s="4"/>
      <c r="FW386" s="4"/>
      <c r="FX386" s="4"/>
      <c r="FY386" s="4"/>
      <c r="FZ386" s="4"/>
      <c r="GA386" s="4"/>
      <c r="GB386" s="4"/>
      <c r="GC386" s="4"/>
      <c r="GD386" s="4"/>
      <c r="GE386" s="4"/>
      <c r="GF386" s="4"/>
    </row>
    <row r="387">
      <c r="A387" s="2" t="s">
        <v>2733</v>
      </c>
      <c r="B387" s="2" t="s">
        <v>800</v>
      </c>
      <c r="C387" s="2" t="s">
        <v>2726</v>
      </c>
      <c r="D387" s="2" t="s">
        <v>1267</v>
      </c>
      <c r="E387" s="2" t="s">
        <v>1268</v>
      </c>
      <c r="F387" s="2" t="s">
        <v>2727</v>
      </c>
      <c r="G387" s="2" t="s">
        <v>2727</v>
      </c>
      <c r="H387" s="2" t="s">
        <v>2727</v>
      </c>
      <c r="I387" s="2" t="s">
        <v>2728</v>
      </c>
      <c r="J387" s="2" t="s">
        <v>231</v>
      </c>
      <c r="K387" s="2" t="s">
        <v>763</v>
      </c>
      <c r="L387" s="3">
        <v>32.9</v>
      </c>
      <c r="M387" s="3">
        <v>34.55</v>
      </c>
      <c r="N387" s="3">
        <v>69.99</v>
      </c>
      <c r="O387" s="2" t="s">
        <v>203</v>
      </c>
      <c r="P387" s="2" t="s">
        <v>204</v>
      </c>
      <c r="Q387" s="2" t="s">
        <v>205</v>
      </c>
      <c r="R387" s="2" t="s">
        <v>206</v>
      </c>
      <c r="S387" s="2" t="s">
        <v>2734</v>
      </c>
      <c r="T387" s="2" t="s">
        <v>234</v>
      </c>
      <c r="U387" s="2" t="s">
        <v>437</v>
      </c>
      <c r="V387" s="2" t="s">
        <v>209</v>
      </c>
      <c r="W387" s="2" t="s">
        <v>210</v>
      </c>
      <c r="X387" s="2" t="s">
        <v>901</v>
      </c>
      <c r="Y387" s="2" t="s">
        <v>2735</v>
      </c>
      <c r="Z387" s="4">
        <v>136</v>
      </c>
      <c r="AA387" s="4">
        <f>=ROUNDDOWN(19.4285714285714,0)</f>
      </c>
      <c r="AB387" s="5">
        <v>7</v>
      </c>
      <c r="AC387" s="2" t="s">
        <v>514</v>
      </c>
      <c r="AD387" s="4">
        <v>209</v>
      </c>
      <c r="AE387" s="4">
        <v>403</v>
      </c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206</v>
      </c>
      <c r="AM387" s="4"/>
      <c r="AN387" s="4"/>
      <c r="AO387" s="7"/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 t="s">
        <v>206</v>
      </c>
      <c r="BD387" s="8" t="s">
        <v>206</v>
      </c>
      <c r="BE387" s="4" t="s">
        <v>206</v>
      </c>
      <c r="BF387" s="8" t="s">
        <v>206</v>
      </c>
      <c r="BG387" s="7" t="s">
        <v>206</v>
      </c>
      <c r="BH387" s="7" t="s">
        <v>206</v>
      </c>
      <c r="BI387" s="7"/>
      <c r="BJ387" s="4">
        <v>21</v>
      </c>
      <c r="BK387" s="8">
        <v>744.29</v>
      </c>
      <c r="BL387" s="2" t="s">
        <v>1302</v>
      </c>
      <c r="BM387" s="7"/>
      <c r="BN387" s="7"/>
      <c r="BO387" s="4"/>
      <c r="BP387" s="8"/>
      <c r="BQ387" s="4"/>
      <c r="BR387" s="8"/>
      <c r="BS387" s="7"/>
      <c r="BT387" s="7"/>
      <c r="BU387" s="2" t="s">
        <v>2736</v>
      </c>
      <c r="BV387" s="2" t="s">
        <v>206</v>
      </c>
      <c r="BW387" s="2" t="s">
        <v>206</v>
      </c>
      <c r="BX387" s="2" t="s">
        <v>214</v>
      </c>
      <c r="BY387" s="2" t="s">
        <v>215</v>
      </c>
      <c r="BZ387" s="2" t="s">
        <v>203</v>
      </c>
      <c r="CA387" s="2" t="s">
        <v>2737</v>
      </c>
      <c r="CB387" s="2" t="s">
        <v>513</v>
      </c>
      <c r="CC387" s="2" t="s">
        <v>218</v>
      </c>
      <c r="CD387" s="2" t="s">
        <v>206</v>
      </c>
      <c r="CE387" s="4">
        <v>136</v>
      </c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>
        <v>209</v>
      </c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>
        <v>194</v>
      </c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  <c r="FU387" s="4"/>
      <c r="FV387" s="4"/>
      <c r="FW387" s="4"/>
      <c r="FX387" s="4"/>
      <c r="FY387" s="4"/>
      <c r="FZ387" s="4"/>
      <c r="GA387" s="4"/>
      <c r="GB387" s="4"/>
      <c r="GC387" s="4"/>
      <c r="GD387" s="4"/>
      <c r="GE387" s="4"/>
      <c r="GF387" s="4"/>
    </row>
    <row r="388">
      <c r="A388" s="2" t="s">
        <v>2738</v>
      </c>
      <c r="B388" s="2" t="s">
        <v>561</v>
      </c>
      <c r="C388" s="2" t="s">
        <v>562</v>
      </c>
      <c r="D388" s="2" t="s">
        <v>563</v>
      </c>
      <c r="E388" s="2" t="s">
        <v>564</v>
      </c>
      <c r="F388" s="2" t="s">
        <v>2739</v>
      </c>
      <c r="G388" s="2" t="s">
        <v>2739</v>
      </c>
      <c r="H388" s="2" t="s">
        <v>2739</v>
      </c>
      <c r="I388" s="2" t="s">
        <v>2740</v>
      </c>
      <c r="J388" s="2" t="s">
        <v>434</v>
      </c>
      <c r="K388" s="2" t="s">
        <v>2741</v>
      </c>
      <c r="L388" s="3">
        <v>20.81</v>
      </c>
      <c r="M388" s="3">
        <v>21.85</v>
      </c>
      <c r="N388" s="3">
        <v>29.99</v>
      </c>
      <c r="O388" s="2" t="s">
        <v>203</v>
      </c>
      <c r="P388" s="2" t="s">
        <v>204</v>
      </c>
      <c r="Q388" s="2" t="s">
        <v>205</v>
      </c>
      <c r="R388" s="2" t="s">
        <v>206</v>
      </c>
      <c r="S388" s="2" t="s">
        <v>206</v>
      </c>
      <c r="T388" s="2" t="s">
        <v>206</v>
      </c>
      <c r="U388" s="2" t="s">
        <v>437</v>
      </c>
      <c r="V388" s="2" t="s">
        <v>468</v>
      </c>
      <c r="W388" s="2" t="s">
        <v>210</v>
      </c>
      <c r="X388" s="2" t="s">
        <v>206</v>
      </c>
      <c r="Y388" s="2" t="s">
        <v>2742</v>
      </c>
      <c r="Z388" s="4">
        <v>592</v>
      </c>
      <c r="AA388" s="4">
        <f>=ROUNDDOWN(296,0)</f>
      </c>
      <c r="AB388" s="5">
        <v>2</v>
      </c>
      <c r="AC388" s="2" t="s">
        <v>206</v>
      </c>
      <c r="AD388" s="4"/>
      <c r="AE388" s="4"/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206</v>
      </c>
      <c r="AM388" s="4"/>
      <c r="AN388" s="4"/>
      <c r="AO388" s="7"/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/>
      <c r="BD388" s="8"/>
      <c r="BE388" s="4"/>
      <c r="BF388" s="8"/>
      <c r="BG388" s="7"/>
      <c r="BH388" s="7"/>
      <c r="BI388" s="7"/>
      <c r="BJ388" s="4"/>
      <c r="BK388" s="8"/>
      <c r="BL388" s="2" t="s">
        <v>2558</v>
      </c>
      <c r="BM388" s="7"/>
      <c r="BN388" s="7"/>
      <c r="BO388" s="4"/>
      <c r="BP388" s="8"/>
      <c r="BQ388" s="4"/>
      <c r="BR388" s="8"/>
      <c r="BS388" s="7"/>
      <c r="BT388" s="7"/>
      <c r="BU388" s="2" t="s">
        <v>2743</v>
      </c>
      <c r="BV388" s="2" t="s">
        <v>206</v>
      </c>
      <c r="BW388" s="2" t="s">
        <v>206</v>
      </c>
      <c r="BX388" s="2" t="s">
        <v>214</v>
      </c>
      <c r="BY388" s="2" t="s">
        <v>215</v>
      </c>
      <c r="BZ388" s="2" t="s">
        <v>203</v>
      </c>
      <c r="CA388" s="2" t="s">
        <v>1856</v>
      </c>
      <c r="CB388" s="2" t="s">
        <v>206</v>
      </c>
      <c r="CC388" s="2" t="s">
        <v>218</v>
      </c>
      <c r="CD388" s="2" t="s">
        <v>206</v>
      </c>
      <c r="CE388" s="4"/>
      <c r="CF388" s="4">
        <v>293</v>
      </c>
      <c r="CG388" s="4"/>
      <c r="CH388" s="4">
        <v>299</v>
      </c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</row>
    <row r="389">
      <c r="A389" s="2" t="s">
        <v>2744</v>
      </c>
      <c r="B389" s="2" t="s">
        <v>429</v>
      </c>
      <c r="C389" s="2" t="s">
        <v>1316</v>
      </c>
      <c r="D389" s="2" t="s">
        <v>909</v>
      </c>
      <c r="E389" s="2" t="s">
        <v>431</v>
      </c>
      <c r="F389" s="2" t="s">
        <v>2745</v>
      </c>
      <c r="G389" s="2" t="s">
        <v>2745</v>
      </c>
      <c r="H389" s="2" t="s">
        <v>2745</v>
      </c>
      <c r="I389" s="2" t="s">
        <v>2746</v>
      </c>
      <c r="J389" s="2" t="s">
        <v>434</v>
      </c>
      <c r="K389" s="2" t="s">
        <v>554</v>
      </c>
      <c r="L389" s="3">
        <v>44.05</v>
      </c>
      <c r="M389" s="3">
        <v>46.25</v>
      </c>
      <c r="N389" s="3">
        <v>84.99</v>
      </c>
      <c r="O389" s="2" t="s">
        <v>203</v>
      </c>
      <c r="P389" s="2" t="s">
        <v>467</v>
      </c>
      <c r="Q389" s="2" t="s">
        <v>205</v>
      </c>
      <c r="R389" s="2" t="s">
        <v>206</v>
      </c>
      <c r="S389" s="2" t="s">
        <v>2747</v>
      </c>
      <c r="T389" s="2" t="s">
        <v>206</v>
      </c>
      <c r="U389" s="2" t="s">
        <v>900</v>
      </c>
      <c r="V389" s="2" t="s">
        <v>2176</v>
      </c>
      <c r="W389" s="2" t="s">
        <v>2748</v>
      </c>
      <c r="X389" s="2" t="s">
        <v>206</v>
      </c>
      <c r="Y389" s="2" t="s">
        <v>211</v>
      </c>
      <c r="Z389" s="4">
        <v>19</v>
      </c>
      <c r="AA389" s="4">
        <f>=ROUNDDOWN(6.33333333333333,0)</f>
      </c>
      <c r="AB389" s="5">
        <v>3</v>
      </c>
      <c r="AC389" s="2" t="s">
        <v>923</v>
      </c>
      <c r="AD389" s="4">
        <v>60</v>
      </c>
      <c r="AE389" s="4">
        <v>60</v>
      </c>
      <c r="AF389" s="6">
        <v>63</v>
      </c>
      <c r="AG389" s="6"/>
      <c r="AH389" s="7">
        <v>1</v>
      </c>
      <c r="AI389" s="4"/>
      <c r="AJ389" s="4">
        <f>=ROUNDDOWN({0},0)</f>
      </c>
      <c r="AK389" s="5"/>
      <c r="AL389" s="2" t="s">
        <v>206</v>
      </c>
      <c r="AM389" s="4"/>
      <c r="AN389" s="4"/>
      <c r="AO389" s="7"/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/>
      <c r="BD389" s="8"/>
      <c r="BE389" s="4"/>
      <c r="BF389" s="8"/>
      <c r="BG389" s="7"/>
      <c r="BH389" s="7"/>
      <c r="BI389" s="7"/>
      <c r="BJ389" s="4">
        <v>17</v>
      </c>
      <c r="BK389" s="8">
        <v>948.5</v>
      </c>
      <c r="BL389" s="2" t="s">
        <v>2749</v>
      </c>
      <c r="BM389" s="7"/>
      <c r="BN389" s="7"/>
      <c r="BO389" s="4"/>
      <c r="BP389" s="8"/>
      <c r="BQ389" s="4"/>
      <c r="BR389" s="8"/>
      <c r="BS389" s="7"/>
      <c r="BT389" s="7"/>
      <c r="BU389" s="2" t="s">
        <v>2750</v>
      </c>
      <c r="BV389" s="2" t="s">
        <v>206</v>
      </c>
      <c r="BW389" s="2" t="s">
        <v>206</v>
      </c>
      <c r="BX389" s="2" t="s">
        <v>214</v>
      </c>
      <c r="BY389" s="2" t="s">
        <v>215</v>
      </c>
      <c r="BZ389" s="2" t="s">
        <v>203</v>
      </c>
      <c r="CA389" s="2" t="s">
        <v>2751</v>
      </c>
      <c r="CB389" s="2" t="s">
        <v>2752</v>
      </c>
      <c r="CC389" s="2" t="s">
        <v>218</v>
      </c>
      <c r="CD389" s="2" t="s">
        <v>206</v>
      </c>
      <c r="CE389" s="4"/>
      <c r="CF389" s="4">
        <v>19</v>
      </c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>
        <v>60</v>
      </c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  <c r="FU389" s="4"/>
      <c r="FV389" s="4"/>
      <c r="FW389" s="4"/>
      <c r="FX389" s="4"/>
      <c r="FY389" s="4"/>
      <c r="FZ389" s="4"/>
      <c r="GA389" s="4"/>
      <c r="GB389" s="4"/>
      <c r="GC389" s="4"/>
      <c r="GD389" s="4"/>
      <c r="GE389" s="4"/>
      <c r="GF389" s="4"/>
    </row>
    <row r="390">
      <c r="A390" s="2" t="s">
        <v>2753</v>
      </c>
      <c r="B390" s="2" t="s">
        <v>429</v>
      </c>
      <c r="C390" s="2" t="s">
        <v>447</v>
      </c>
      <c r="D390" s="2" t="s">
        <v>430</v>
      </c>
      <c r="E390" s="2" t="s">
        <v>2171</v>
      </c>
      <c r="F390" s="2" t="s">
        <v>2754</v>
      </c>
      <c r="G390" s="2" t="s">
        <v>2754</v>
      </c>
      <c r="H390" s="2" t="s">
        <v>2754</v>
      </c>
      <c r="I390" s="2" t="s">
        <v>2755</v>
      </c>
      <c r="J390" s="2" t="s">
        <v>434</v>
      </c>
      <c r="K390" s="2" t="s">
        <v>2756</v>
      </c>
      <c r="L390" s="3">
        <v>25.71</v>
      </c>
      <c r="M390" s="3">
        <v>27</v>
      </c>
      <c r="N390" s="3">
        <v>59.99</v>
      </c>
      <c r="O390" s="2" t="s">
        <v>203</v>
      </c>
      <c r="P390" s="2" t="s">
        <v>467</v>
      </c>
      <c r="Q390" s="2" t="s">
        <v>205</v>
      </c>
      <c r="R390" s="2" t="s">
        <v>206</v>
      </c>
      <c r="S390" s="2" t="s">
        <v>206</v>
      </c>
      <c r="T390" s="2" t="s">
        <v>206</v>
      </c>
      <c r="U390" s="2" t="s">
        <v>556</v>
      </c>
      <c r="V390" s="2" t="s">
        <v>935</v>
      </c>
      <c r="W390" s="2" t="s">
        <v>2757</v>
      </c>
      <c r="X390" s="2" t="s">
        <v>453</v>
      </c>
      <c r="Y390" s="2" t="s">
        <v>2758</v>
      </c>
      <c r="Z390" s="4">
        <v>54</v>
      </c>
      <c r="AA390" s="4">
        <f>=ROUNDDOWN(27,0)</f>
      </c>
      <c r="AB390" s="5">
        <v>2</v>
      </c>
      <c r="AC390" s="2" t="s">
        <v>206</v>
      </c>
      <c r="AD390" s="4"/>
      <c r="AE390" s="4"/>
      <c r="AF390" s="6">
        <v>63</v>
      </c>
      <c r="AG390" s="6"/>
      <c r="AH390" s="7">
        <v>1</v>
      </c>
      <c r="AI390" s="4"/>
      <c r="AJ390" s="4">
        <f>=ROUNDDOWN({0},0)</f>
      </c>
      <c r="AK390" s="5"/>
      <c r="AL390" s="2" t="s">
        <v>206</v>
      </c>
      <c r="AM390" s="4"/>
      <c r="AN390" s="4"/>
      <c r="AO390" s="7"/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/>
      <c r="BD390" s="8"/>
      <c r="BE390" s="4"/>
      <c r="BF390" s="8"/>
      <c r="BG390" s="7"/>
      <c r="BH390" s="7"/>
      <c r="BI390" s="7"/>
      <c r="BJ390" s="4">
        <v>12</v>
      </c>
      <c r="BK390" s="8">
        <v>331.98</v>
      </c>
      <c r="BL390" s="2" t="s">
        <v>2759</v>
      </c>
      <c r="BM390" s="7"/>
      <c r="BN390" s="7"/>
      <c r="BO390" s="4"/>
      <c r="BP390" s="8"/>
      <c r="BQ390" s="4"/>
      <c r="BR390" s="8"/>
      <c r="BS390" s="7"/>
      <c r="BT390" s="7"/>
      <c r="BU390" s="2" t="s">
        <v>2760</v>
      </c>
      <c r="BV390" s="2" t="s">
        <v>206</v>
      </c>
      <c r="BW390" s="2" t="s">
        <v>206</v>
      </c>
      <c r="BX390" s="2" t="s">
        <v>214</v>
      </c>
      <c r="BY390" s="2" t="s">
        <v>215</v>
      </c>
      <c r="BZ390" s="2" t="s">
        <v>203</v>
      </c>
      <c r="CA390" s="2" t="s">
        <v>2761</v>
      </c>
      <c r="CB390" s="2" t="s">
        <v>206</v>
      </c>
      <c r="CC390" s="2" t="s">
        <v>218</v>
      </c>
      <c r="CD390" s="2" t="s">
        <v>206</v>
      </c>
      <c r="CE390" s="4"/>
      <c r="CF390" s="4">
        <v>54</v>
      </c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  <c r="FU390" s="4"/>
      <c r="FV390" s="4"/>
      <c r="FW390" s="4"/>
      <c r="FX390" s="4"/>
      <c r="FY390" s="4"/>
      <c r="FZ390" s="4"/>
      <c r="GA390" s="4"/>
      <c r="GB390" s="4"/>
      <c r="GC390" s="4"/>
      <c r="GD390" s="4"/>
      <c r="GE390" s="4"/>
      <c r="GF390" s="4"/>
    </row>
    <row r="391">
      <c r="A391" s="2" t="s">
        <v>2762</v>
      </c>
      <c r="B391" s="2" t="s">
        <v>507</v>
      </c>
      <c r="C391" s="2" t="s">
        <v>447</v>
      </c>
      <c r="D391" s="2" t="s">
        <v>508</v>
      </c>
      <c r="E391" s="2" t="s">
        <v>509</v>
      </c>
      <c r="F391" s="2" t="s">
        <v>2763</v>
      </c>
      <c r="G391" s="2" t="s">
        <v>2763</v>
      </c>
      <c r="H391" s="2" t="s">
        <v>2763</v>
      </c>
      <c r="I391" s="2" t="s">
        <v>2764</v>
      </c>
      <c r="J391" s="2" t="s">
        <v>434</v>
      </c>
      <c r="K391" s="2" t="s">
        <v>336</v>
      </c>
      <c r="L391" s="3">
        <v>41.94</v>
      </c>
      <c r="M391" s="3">
        <v>44.04</v>
      </c>
      <c r="N391" s="3">
        <v>89.99</v>
      </c>
      <c r="O391" s="2" t="s">
        <v>203</v>
      </c>
      <c r="P391" s="2" t="s">
        <v>204</v>
      </c>
      <c r="Q391" s="2" t="s">
        <v>205</v>
      </c>
      <c r="R391" s="2" t="s">
        <v>206</v>
      </c>
      <c r="S391" s="2" t="s">
        <v>206</v>
      </c>
      <c r="T391" s="2" t="s">
        <v>206</v>
      </c>
      <c r="U391" s="2" t="s">
        <v>437</v>
      </c>
      <c r="V391" s="2" t="s">
        <v>468</v>
      </c>
      <c r="W391" s="2" t="s">
        <v>439</v>
      </c>
      <c r="X391" s="2" t="s">
        <v>1178</v>
      </c>
      <c r="Y391" s="2" t="s">
        <v>2581</v>
      </c>
      <c r="Z391" s="4">
        <v>171</v>
      </c>
      <c r="AA391" s="4">
        <f>=ROUNDDOWN(53.4375,0)</f>
      </c>
      <c r="AB391" s="5">
        <v>3.2</v>
      </c>
      <c r="AC391" s="2" t="s">
        <v>206</v>
      </c>
      <c r="AD391" s="4"/>
      <c r="AE391" s="4"/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206</v>
      </c>
      <c r="AM391" s="4"/>
      <c r="AN391" s="4"/>
      <c r="AO391" s="7"/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/>
      <c r="BD391" s="8"/>
      <c r="BE391" s="4"/>
      <c r="BF391" s="8"/>
      <c r="BG391" s="7"/>
      <c r="BH391" s="7"/>
      <c r="BI391" s="7"/>
      <c r="BJ391" s="4">
        <v>19</v>
      </c>
      <c r="BK391" s="8">
        <v>926.74</v>
      </c>
      <c r="BL391" s="2" t="s">
        <v>2765</v>
      </c>
      <c r="BM391" s="7"/>
      <c r="BN391" s="7"/>
      <c r="BO391" s="4"/>
      <c r="BP391" s="8"/>
      <c r="BQ391" s="4"/>
      <c r="BR391" s="8"/>
      <c r="BS391" s="7"/>
      <c r="BT391" s="7"/>
      <c r="BU391" s="2" t="s">
        <v>2766</v>
      </c>
      <c r="BV391" s="2" t="s">
        <v>206</v>
      </c>
      <c r="BW391" s="2" t="s">
        <v>206</v>
      </c>
      <c r="BX391" s="2" t="s">
        <v>214</v>
      </c>
      <c r="BY391" s="2" t="s">
        <v>215</v>
      </c>
      <c r="BZ391" s="2" t="s">
        <v>203</v>
      </c>
      <c r="CA391" s="2" t="s">
        <v>1702</v>
      </c>
      <c r="CB391" s="2" t="s">
        <v>907</v>
      </c>
      <c r="CC391" s="2" t="s">
        <v>218</v>
      </c>
      <c r="CD391" s="2" t="s">
        <v>206</v>
      </c>
      <c r="CE391" s="4"/>
      <c r="CF391" s="4">
        <v>171</v>
      </c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  <c r="FU391" s="4"/>
      <c r="FV391" s="4"/>
      <c r="FW391" s="4"/>
      <c r="FX391" s="4"/>
      <c r="FY391" s="4"/>
      <c r="FZ391" s="4"/>
      <c r="GA391" s="4"/>
      <c r="GB391" s="4"/>
      <c r="GC391" s="4"/>
      <c r="GD391" s="4"/>
      <c r="GE391" s="4"/>
      <c r="GF391" s="4"/>
    </row>
    <row r="392">
      <c r="A392" s="2" t="s">
        <v>2767</v>
      </c>
      <c r="B392" s="2" t="s">
        <v>429</v>
      </c>
      <c r="C392" s="2" t="s">
        <v>287</v>
      </c>
      <c r="D392" s="2" t="s">
        <v>909</v>
      </c>
      <c r="E392" s="2" t="s">
        <v>910</v>
      </c>
      <c r="F392" s="2" t="s">
        <v>2768</v>
      </c>
      <c r="G392" s="2" t="s">
        <v>2768</v>
      </c>
      <c r="H392" s="2" t="s">
        <v>2768</v>
      </c>
      <c r="I392" s="2" t="s">
        <v>2769</v>
      </c>
      <c r="J392" s="2" t="s">
        <v>2770</v>
      </c>
      <c r="K392" s="2" t="s">
        <v>833</v>
      </c>
      <c r="L392" s="3">
        <v>54.23</v>
      </c>
      <c r="M392" s="3">
        <v>56.94</v>
      </c>
      <c r="N392" s="3">
        <v>118.99</v>
      </c>
      <c r="O392" s="2" t="s">
        <v>203</v>
      </c>
      <c r="P392" s="2" t="s">
        <v>492</v>
      </c>
      <c r="Q392" s="2" t="s">
        <v>205</v>
      </c>
      <c r="R392" s="2" t="s">
        <v>206</v>
      </c>
      <c r="S392" s="2" t="s">
        <v>2771</v>
      </c>
      <c r="T392" s="2" t="s">
        <v>206</v>
      </c>
      <c r="U392" s="2" t="s">
        <v>900</v>
      </c>
      <c r="V392" s="2" t="s">
        <v>438</v>
      </c>
      <c r="W392" s="2" t="s">
        <v>914</v>
      </c>
      <c r="X392" s="2" t="s">
        <v>2772</v>
      </c>
      <c r="Y392" s="2" t="s">
        <v>2773</v>
      </c>
      <c r="Z392" s="4">
        <v>180</v>
      </c>
      <c r="AA392" s="4">
        <f>=ROUNDDOWN(20,0)</f>
      </c>
      <c r="AB392" s="5">
        <v>9</v>
      </c>
      <c r="AC392" s="2" t="s">
        <v>293</v>
      </c>
      <c r="AD392" s="4">
        <v>100</v>
      </c>
      <c r="AE392" s="4">
        <v>100</v>
      </c>
      <c r="AF392" s="6">
        <v>63</v>
      </c>
      <c r="AG392" s="6"/>
      <c r="AH392" s="7">
        <v>1</v>
      </c>
      <c r="AI392" s="4"/>
      <c r="AJ392" s="4">
        <f>=ROUNDDOWN({0},0)</f>
      </c>
      <c r="AK392" s="5"/>
      <c r="AL392" s="2" t="s">
        <v>206</v>
      </c>
      <c r="AM392" s="4"/>
      <c r="AN392" s="4"/>
      <c r="AO392" s="7"/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 t="s">
        <v>206</v>
      </c>
      <c r="BD392" s="8" t="s">
        <v>206</v>
      </c>
      <c r="BE392" s="4" t="s">
        <v>206</v>
      </c>
      <c r="BF392" s="8" t="s">
        <v>206</v>
      </c>
      <c r="BG392" s="7" t="s">
        <v>206</v>
      </c>
      <c r="BH392" s="7" t="s">
        <v>206</v>
      </c>
      <c r="BI392" s="7"/>
      <c r="BJ392" s="4">
        <v>41</v>
      </c>
      <c r="BK392" s="8">
        <v>2432.87</v>
      </c>
      <c r="BL392" s="2" t="s">
        <v>2774</v>
      </c>
      <c r="BM392" s="7"/>
      <c r="BN392" s="7"/>
      <c r="BO392" s="4"/>
      <c r="BP392" s="8"/>
      <c r="BQ392" s="4"/>
      <c r="BR392" s="8"/>
      <c r="BS392" s="7"/>
      <c r="BT392" s="7"/>
      <c r="BU392" s="2" t="s">
        <v>2775</v>
      </c>
      <c r="BV392" s="2" t="s">
        <v>206</v>
      </c>
      <c r="BW392" s="2" t="s">
        <v>206</v>
      </c>
      <c r="BX392" s="2" t="s">
        <v>426</v>
      </c>
      <c r="BY392" s="2" t="s">
        <v>215</v>
      </c>
      <c r="BZ392" s="2" t="s">
        <v>203</v>
      </c>
      <c r="CA392" s="2" t="s">
        <v>1501</v>
      </c>
      <c r="CB392" s="2" t="s">
        <v>2776</v>
      </c>
      <c r="CC392" s="2" t="s">
        <v>218</v>
      </c>
      <c r="CD392" s="2" t="s">
        <v>206</v>
      </c>
      <c r="CE392" s="4"/>
      <c r="CF392" s="4">
        <v>180</v>
      </c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>
        <v>100</v>
      </c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  <c r="FU392" s="4"/>
      <c r="FV392" s="4"/>
      <c r="FW392" s="4"/>
      <c r="FX392" s="4"/>
      <c r="FY392" s="4"/>
      <c r="FZ392" s="4"/>
      <c r="GA392" s="4"/>
      <c r="GB392" s="4"/>
      <c r="GC392" s="4"/>
      <c r="GD392" s="4"/>
      <c r="GE392" s="4"/>
      <c r="GF392" s="4"/>
    </row>
    <row r="393">
      <c r="A393" s="2" t="s">
        <v>2777</v>
      </c>
      <c r="B393" s="2" t="s">
        <v>429</v>
      </c>
      <c r="C393" s="2" t="s">
        <v>287</v>
      </c>
      <c r="D393" s="2" t="s">
        <v>909</v>
      </c>
      <c r="E393" s="2" t="s">
        <v>910</v>
      </c>
      <c r="F393" s="2" t="s">
        <v>2768</v>
      </c>
      <c r="G393" s="2" t="s">
        <v>2768</v>
      </c>
      <c r="H393" s="2" t="s">
        <v>2768</v>
      </c>
      <c r="I393" s="2" t="s">
        <v>2769</v>
      </c>
      <c r="J393" s="2" t="s">
        <v>2770</v>
      </c>
      <c r="K393" s="2" t="s">
        <v>1126</v>
      </c>
      <c r="L393" s="3">
        <v>54.23</v>
      </c>
      <c r="M393" s="3">
        <v>56.94</v>
      </c>
      <c r="N393" s="3">
        <v>118.99</v>
      </c>
      <c r="O393" s="2" t="s">
        <v>203</v>
      </c>
      <c r="P393" s="2" t="s">
        <v>492</v>
      </c>
      <c r="Q393" s="2" t="s">
        <v>205</v>
      </c>
      <c r="R393" s="2" t="s">
        <v>206</v>
      </c>
      <c r="S393" s="2" t="s">
        <v>2778</v>
      </c>
      <c r="T393" s="2" t="s">
        <v>206</v>
      </c>
      <c r="U393" s="2" t="s">
        <v>900</v>
      </c>
      <c r="V393" s="2" t="s">
        <v>438</v>
      </c>
      <c r="W393" s="2" t="s">
        <v>914</v>
      </c>
      <c r="X393" s="2" t="s">
        <v>439</v>
      </c>
      <c r="Y393" s="2" t="s">
        <v>2779</v>
      </c>
      <c r="Z393" s="4">
        <v>241</v>
      </c>
      <c r="AA393" s="4">
        <f>=ROUNDDOWN(24.1,0)</f>
      </c>
      <c r="AB393" s="5">
        <v>10</v>
      </c>
      <c r="AC393" s="2" t="s">
        <v>206</v>
      </c>
      <c r="AD393" s="4"/>
      <c r="AE393" s="4"/>
      <c r="AF393" s="6">
        <v>63</v>
      </c>
      <c r="AG393" s="6">
        <v>46</v>
      </c>
      <c r="AH393" s="7">
        <v>1</v>
      </c>
      <c r="AI393" s="4"/>
      <c r="AJ393" s="4">
        <f>=ROUNDDOWN({0},0)</f>
      </c>
      <c r="AK393" s="5"/>
      <c r="AL393" s="2" t="s">
        <v>206</v>
      </c>
      <c r="AM393" s="4"/>
      <c r="AN393" s="4"/>
      <c r="AO393" s="7"/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206</v>
      </c>
      <c r="BD393" s="8" t="s">
        <v>206</v>
      </c>
      <c r="BE393" s="4" t="s">
        <v>206</v>
      </c>
      <c r="BF393" s="8" t="s">
        <v>206</v>
      </c>
      <c r="BG393" s="7" t="s">
        <v>206</v>
      </c>
      <c r="BH393" s="7" t="s">
        <v>206</v>
      </c>
      <c r="BI393" s="7"/>
      <c r="BJ393" s="4">
        <v>53</v>
      </c>
      <c r="BK393" s="8">
        <v>3266.66</v>
      </c>
      <c r="BL393" s="2" t="s">
        <v>2780</v>
      </c>
      <c r="BM393" s="7"/>
      <c r="BN393" s="7"/>
      <c r="BO393" s="4"/>
      <c r="BP393" s="8"/>
      <c r="BQ393" s="4"/>
      <c r="BR393" s="8"/>
      <c r="BS393" s="7"/>
      <c r="BT393" s="7"/>
      <c r="BU393" s="2" t="s">
        <v>2781</v>
      </c>
      <c r="BV393" s="2" t="s">
        <v>206</v>
      </c>
      <c r="BW393" s="2" t="s">
        <v>206</v>
      </c>
      <c r="BX393" s="2" t="s">
        <v>426</v>
      </c>
      <c r="BY393" s="2" t="s">
        <v>215</v>
      </c>
      <c r="BZ393" s="2" t="s">
        <v>203</v>
      </c>
      <c r="CA393" s="2" t="s">
        <v>2782</v>
      </c>
      <c r="CB393" s="2" t="s">
        <v>2783</v>
      </c>
      <c r="CC393" s="2" t="s">
        <v>218</v>
      </c>
      <c r="CD393" s="2" t="s">
        <v>206</v>
      </c>
      <c r="CE393" s="4"/>
      <c r="CF393" s="4">
        <v>141</v>
      </c>
      <c r="CG393" s="4"/>
      <c r="CH393" s="4"/>
      <c r="CI393" s="4"/>
      <c r="CJ393" s="4"/>
      <c r="CK393" s="4"/>
      <c r="CL393" s="4"/>
      <c r="CM393" s="4"/>
      <c r="CN393" s="4"/>
      <c r="CO393" s="4">
        <v>100</v>
      </c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4"/>
      <c r="GA393" s="4"/>
      <c r="GB393" s="4"/>
      <c r="GC393" s="4"/>
      <c r="GD393" s="4"/>
      <c r="GE393" s="4"/>
      <c r="GF393" s="4"/>
    </row>
    <row r="394">
      <c r="A394" s="2" t="s">
        <v>2784</v>
      </c>
      <c r="B394" s="2" t="s">
        <v>507</v>
      </c>
      <c r="C394" s="2" t="s">
        <v>828</v>
      </c>
      <c r="D394" s="2" t="s">
        <v>508</v>
      </c>
      <c r="E394" s="2" t="s">
        <v>509</v>
      </c>
      <c r="F394" s="2" t="s">
        <v>2785</v>
      </c>
      <c r="G394" s="2" t="s">
        <v>2785</v>
      </c>
      <c r="H394" s="2" t="s">
        <v>2785</v>
      </c>
      <c r="I394" s="2" t="s">
        <v>2786</v>
      </c>
      <c r="J394" s="2" t="s">
        <v>434</v>
      </c>
      <c r="K394" s="2" t="s">
        <v>202</v>
      </c>
      <c r="L394" s="3">
        <v>26.46</v>
      </c>
      <c r="M394" s="3">
        <v>27.78</v>
      </c>
      <c r="N394" s="3">
        <v>59.99</v>
      </c>
      <c r="O394" s="2" t="s">
        <v>203</v>
      </c>
      <c r="P394" s="2" t="s">
        <v>204</v>
      </c>
      <c r="Q394" s="2" t="s">
        <v>205</v>
      </c>
      <c r="R394" s="2" t="s">
        <v>206</v>
      </c>
      <c r="S394" s="2" t="s">
        <v>206</v>
      </c>
      <c r="T394" s="2" t="s">
        <v>206</v>
      </c>
      <c r="U394" s="2" t="s">
        <v>206</v>
      </c>
      <c r="V394" s="2" t="s">
        <v>209</v>
      </c>
      <c r="W394" s="2" t="s">
        <v>210</v>
      </c>
      <c r="X394" s="2" t="s">
        <v>206</v>
      </c>
      <c r="Y394" s="2" t="s">
        <v>2787</v>
      </c>
      <c r="Z394" s="4">
        <v>165</v>
      </c>
      <c r="AA394" s="4">
        <f>=ROUNDDOWN(33,0)</f>
      </c>
      <c r="AB394" s="5">
        <v>5</v>
      </c>
      <c r="AC394" s="2" t="s">
        <v>206</v>
      </c>
      <c r="AD394" s="4"/>
      <c r="AE394" s="4"/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206</v>
      </c>
      <c r="AM394" s="4"/>
      <c r="AN394" s="4"/>
      <c r="AO394" s="7"/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/>
      <c r="BD394" s="8"/>
      <c r="BE394" s="4"/>
      <c r="BF394" s="8"/>
      <c r="BG394" s="7"/>
      <c r="BH394" s="7"/>
      <c r="BI394" s="7"/>
      <c r="BJ394" s="4">
        <v>19</v>
      </c>
      <c r="BK394" s="8">
        <v>612.35</v>
      </c>
      <c r="BL394" s="2" t="s">
        <v>2788</v>
      </c>
      <c r="BM394" s="7"/>
      <c r="BN394" s="7"/>
      <c r="BO394" s="4"/>
      <c r="BP394" s="8"/>
      <c r="BQ394" s="4"/>
      <c r="BR394" s="8"/>
      <c r="BS394" s="7"/>
      <c r="BT394" s="7"/>
      <c r="BU394" s="2" t="s">
        <v>2789</v>
      </c>
      <c r="BV394" s="2" t="s">
        <v>206</v>
      </c>
      <c r="BW394" s="2" t="s">
        <v>206</v>
      </c>
      <c r="BX394" s="2" t="s">
        <v>214</v>
      </c>
      <c r="BY394" s="2" t="s">
        <v>215</v>
      </c>
      <c r="BZ394" s="2" t="s">
        <v>203</v>
      </c>
      <c r="CA394" s="2" t="s">
        <v>2790</v>
      </c>
      <c r="CB394" s="2" t="s">
        <v>2791</v>
      </c>
      <c r="CC394" s="2" t="s">
        <v>218</v>
      </c>
      <c r="CD394" s="2" t="s">
        <v>206</v>
      </c>
      <c r="CE394" s="4"/>
      <c r="CF394" s="4">
        <v>165</v>
      </c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4"/>
      <c r="GA394" s="4"/>
      <c r="GB394" s="4"/>
      <c r="GC394" s="4"/>
      <c r="GD394" s="4"/>
      <c r="GE394" s="4"/>
      <c r="GF394" s="4"/>
    </row>
    <row r="395">
      <c r="A395" s="2" t="s">
        <v>2792</v>
      </c>
      <c r="B395" s="2" t="s">
        <v>195</v>
      </c>
      <c r="C395" s="2" t="s">
        <v>1948</v>
      </c>
      <c r="D395" s="2" t="s">
        <v>801</v>
      </c>
      <c r="E395" s="2" t="s">
        <v>2793</v>
      </c>
      <c r="F395" s="2" t="s">
        <v>2794</v>
      </c>
      <c r="G395" s="2" t="s">
        <v>2794</v>
      </c>
      <c r="H395" s="2" t="s">
        <v>2794</v>
      </c>
      <c r="I395" s="2" t="s">
        <v>2795</v>
      </c>
      <c r="J395" s="2" t="s">
        <v>2796</v>
      </c>
      <c r="K395" s="2" t="s">
        <v>1110</v>
      </c>
      <c r="L395" s="3">
        <v>25.14</v>
      </c>
      <c r="M395" s="3">
        <v>26.4</v>
      </c>
      <c r="N395" s="3">
        <v>54.99</v>
      </c>
      <c r="O395" s="2" t="s">
        <v>203</v>
      </c>
      <c r="P395" s="2" t="s">
        <v>204</v>
      </c>
      <c r="Q395" s="2" t="s">
        <v>205</v>
      </c>
      <c r="R395" s="2" t="s">
        <v>206</v>
      </c>
      <c r="S395" s="2" t="s">
        <v>2797</v>
      </c>
      <c r="T395" s="2" t="s">
        <v>206</v>
      </c>
      <c r="U395" s="2" t="s">
        <v>206</v>
      </c>
      <c r="V395" s="2" t="s">
        <v>209</v>
      </c>
      <c r="W395" s="2" t="s">
        <v>210</v>
      </c>
      <c r="X395" s="2" t="s">
        <v>206</v>
      </c>
      <c r="Y395" s="2" t="s">
        <v>2798</v>
      </c>
      <c r="Z395" s="4">
        <v>433</v>
      </c>
      <c r="AA395" s="4">
        <f>=ROUNDDOWN(33.3076923076923,0)</f>
      </c>
      <c r="AB395" s="5">
        <v>13</v>
      </c>
      <c r="AC395" s="2" t="s">
        <v>206</v>
      </c>
      <c r="AD395" s="4"/>
      <c r="AE395" s="4"/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206</v>
      </c>
      <c r="AM395" s="4"/>
      <c r="AN395" s="4"/>
      <c r="AO395" s="7"/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206</v>
      </c>
      <c r="BD395" s="8" t="s">
        <v>206</v>
      </c>
      <c r="BE395" s="4" t="s">
        <v>206</v>
      </c>
      <c r="BF395" s="8" t="s">
        <v>206</v>
      </c>
      <c r="BG395" s="7" t="s">
        <v>206</v>
      </c>
      <c r="BH395" s="7" t="s">
        <v>206</v>
      </c>
      <c r="BI395" s="7"/>
      <c r="BJ395" s="4">
        <v>45</v>
      </c>
      <c r="BK395" s="8">
        <v>1465.11</v>
      </c>
      <c r="BL395" s="2" t="s">
        <v>2799</v>
      </c>
      <c r="BM395" s="7"/>
      <c r="BN395" s="7"/>
      <c r="BO395" s="4"/>
      <c r="BP395" s="8"/>
      <c r="BQ395" s="4"/>
      <c r="BR395" s="8"/>
      <c r="BS395" s="7"/>
      <c r="BT395" s="7"/>
      <c r="BU395" s="2" t="s">
        <v>2800</v>
      </c>
      <c r="BV395" s="2" t="s">
        <v>206</v>
      </c>
      <c r="BW395" s="2" t="s">
        <v>206</v>
      </c>
      <c r="BX395" s="2" t="s">
        <v>214</v>
      </c>
      <c r="BY395" s="2" t="s">
        <v>215</v>
      </c>
      <c r="BZ395" s="2" t="s">
        <v>203</v>
      </c>
      <c r="CA395" s="2" t="s">
        <v>2801</v>
      </c>
      <c r="CB395" s="2" t="s">
        <v>2802</v>
      </c>
      <c r="CC395" s="2" t="s">
        <v>218</v>
      </c>
      <c r="CD395" s="2" t="s">
        <v>206</v>
      </c>
      <c r="CE395" s="4">
        <v>433</v>
      </c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  <c r="FW395" s="4"/>
      <c r="FX395" s="4"/>
      <c r="FY395" s="4"/>
      <c r="FZ395" s="4"/>
      <c r="GA395" s="4"/>
      <c r="GB395" s="4"/>
      <c r="GC395" s="4"/>
      <c r="GD395" s="4"/>
      <c r="GE395" s="4"/>
      <c r="GF395" s="4"/>
    </row>
    <row r="396">
      <c r="A396" s="2" t="s">
        <v>2803</v>
      </c>
      <c r="B396" s="2" t="s">
        <v>195</v>
      </c>
      <c r="C396" s="2" t="s">
        <v>1948</v>
      </c>
      <c r="D396" s="2" t="s">
        <v>801</v>
      </c>
      <c r="E396" s="2" t="s">
        <v>2793</v>
      </c>
      <c r="F396" s="2" t="s">
        <v>2794</v>
      </c>
      <c r="G396" s="2" t="s">
        <v>2794</v>
      </c>
      <c r="H396" s="2" t="s">
        <v>2794</v>
      </c>
      <c r="I396" s="2" t="s">
        <v>2795</v>
      </c>
      <c r="J396" s="2" t="s">
        <v>2796</v>
      </c>
      <c r="K396" s="2" t="s">
        <v>674</v>
      </c>
      <c r="L396" s="3">
        <v>25.14</v>
      </c>
      <c r="M396" s="3">
        <v>26.4</v>
      </c>
      <c r="N396" s="3">
        <v>54.99</v>
      </c>
      <c r="O396" s="2" t="s">
        <v>203</v>
      </c>
      <c r="P396" s="2" t="s">
        <v>204</v>
      </c>
      <c r="Q396" s="2" t="s">
        <v>205</v>
      </c>
      <c r="R396" s="2" t="s">
        <v>206</v>
      </c>
      <c r="S396" s="2" t="s">
        <v>2804</v>
      </c>
      <c r="T396" s="2" t="s">
        <v>206</v>
      </c>
      <c r="U396" s="2" t="s">
        <v>206</v>
      </c>
      <c r="V396" s="2" t="s">
        <v>209</v>
      </c>
      <c r="W396" s="2" t="s">
        <v>210</v>
      </c>
      <c r="X396" s="2" t="s">
        <v>206</v>
      </c>
      <c r="Y396" s="2" t="s">
        <v>2798</v>
      </c>
      <c r="Z396" s="4">
        <v>757</v>
      </c>
      <c r="AA396" s="4">
        <f>=ROUNDDOWN(126.166666666667,0)</f>
      </c>
      <c r="AB396" s="5">
        <v>6</v>
      </c>
      <c r="AC396" s="2" t="s">
        <v>206</v>
      </c>
      <c r="AD396" s="4"/>
      <c r="AE396" s="4"/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206</v>
      </c>
      <c r="AM396" s="4"/>
      <c r="AN396" s="4"/>
      <c r="AO396" s="7"/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206</v>
      </c>
      <c r="BD396" s="8" t="s">
        <v>206</v>
      </c>
      <c r="BE396" s="4" t="s">
        <v>206</v>
      </c>
      <c r="BF396" s="8" t="s">
        <v>206</v>
      </c>
      <c r="BG396" s="7" t="s">
        <v>206</v>
      </c>
      <c r="BH396" s="7" t="s">
        <v>206</v>
      </c>
      <c r="BI396" s="7"/>
      <c r="BJ396" s="4">
        <v>6</v>
      </c>
      <c r="BK396" s="8">
        <v>170.67</v>
      </c>
      <c r="BL396" s="2" t="s">
        <v>2805</v>
      </c>
      <c r="BM396" s="7"/>
      <c r="BN396" s="7"/>
      <c r="BO396" s="4"/>
      <c r="BP396" s="8"/>
      <c r="BQ396" s="4"/>
      <c r="BR396" s="8"/>
      <c r="BS396" s="7"/>
      <c r="BT396" s="7"/>
      <c r="BU396" s="2" t="s">
        <v>2806</v>
      </c>
      <c r="BV396" s="2" t="s">
        <v>206</v>
      </c>
      <c r="BW396" s="2" t="s">
        <v>206</v>
      </c>
      <c r="BX396" s="2" t="s">
        <v>214</v>
      </c>
      <c r="BY396" s="2" t="s">
        <v>215</v>
      </c>
      <c r="BZ396" s="2" t="s">
        <v>203</v>
      </c>
      <c r="CA396" s="2" t="s">
        <v>2801</v>
      </c>
      <c r="CB396" s="2" t="s">
        <v>1254</v>
      </c>
      <c r="CC396" s="2" t="s">
        <v>218</v>
      </c>
      <c r="CD396" s="2" t="s">
        <v>206</v>
      </c>
      <c r="CE396" s="4">
        <v>757</v>
      </c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  <c r="FW396" s="4"/>
      <c r="FX396" s="4"/>
      <c r="FY396" s="4"/>
      <c r="FZ396" s="4"/>
      <c r="GA396" s="4"/>
      <c r="GB396" s="4"/>
      <c r="GC396" s="4"/>
      <c r="GD396" s="4"/>
      <c r="GE396" s="4"/>
      <c r="GF396" s="4"/>
    </row>
    <row r="397">
      <c r="A397" s="2" t="s">
        <v>2807</v>
      </c>
      <c r="B397" s="2" t="s">
        <v>528</v>
      </c>
      <c r="C397" s="2" t="s">
        <v>1689</v>
      </c>
      <c r="D397" s="2" t="s">
        <v>529</v>
      </c>
      <c r="E397" s="2" t="s">
        <v>816</v>
      </c>
      <c r="F397" s="2" t="s">
        <v>2808</v>
      </c>
      <c r="G397" s="2" t="s">
        <v>2808</v>
      </c>
      <c r="H397" s="2" t="s">
        <v>2808</v>
      </c>
      <c r="I397" s="2" t="s">
        <v>2809</v>
      </c>
      <c r="J397" s="2" t="s">
        <v>220</v>
      </c>
      <c r="K397" s="2" t="s">
        <v>336</v>
      </c>
      <c r="L397" s="3">
        <v>93.31</v>
      </c>
      <c r="M397" s="3">
        <v>97.98</v>
      </c>
      <c r="N397" s="3">
        <v>204.99</v>
      </c>
      <c r="O397" s="2" t="s">
        <v>203</v>
      </c>
      <c r="P397" s="2" t="s">
        <v>773</v>
      </c>
      <c r="Q397" s="2" t="s">
        <v>205</v>
      </c>
      <c r="R397" s="2" t="s">
        <v>206</v>
      </c>
      <c r="S397" s="2" t="s">
        <v>2810</v>
      </c>
      <c r="T397" s="2" t="s">
        <v>206</v>
      </c>
      <c r="U397" s="2" t="s">
        <v>485</v>
      </c>
      <c r="V397" s="2" t="s">
        <v>2811</v>
      </c>
      <c r="W397" s="2" t="s">
        <v>453</v>
      </c>
      <c r="X397" s="2" t="s">
        <v>786</v>
      </c>
      <c r="Y397" s="2" t="s">
        <v>2812</v>
      </c>
      <c r="Z397" s="4">
        <v>113</v>
      </c>
      <c r="AA397" s="4">
        <f>=ROUNDDOWN(113,0)</f>
      </c>
      <c r="AB397" s="5">
        <v>1</v>
      </c>
      <c r="AC397" s="2" t="s">
        <v>123</v>
      </c>
      <c r="AD397" s="4">
        <v>45</v>
      </c>
      <c r="AE397" s="4">
        <v>45</v>
      </c>
      <c r="AF397" s="6">
        <v>66</v>
      </c>
      <c r="AG397" s="6"/>
      <c r="AH397" s="7">
        <v>1</v>
      </c>
      <c r="AI397" s="4"/>
      <c r="AJ397" s="4">
        <f>=ROUNDDOWN({0},0)</f>
      </c>
      <c r="AK397" s="5"/>
      <c r="AL397" s="2" t="s">
        <v>206</v>
      </c>
      <c r="AM397" s="4"/>
      <c r="AN397" s="4"/>
      <c r="AO397" s="7"/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>
        <v>1</v>
      </c>
      <c r="BK397" s="8">
        <v>102.87</v>
      </c>
      <c r="BL397" s="2" t="s">
        <v>1869</v>
      </c>
      <c r="BM397" s="7"/>
      <c r="BN397" s="7"/>
      <c r="BO397" s="4"/>
      <c r="BP397" s="8"/>
      <c r="BQ397" s="4"/>
      <c r="BR397" s="8"/>
      <c r="BS397" s="7"/>
      <c r="BT397" s="7"/>
      <c r="BU397" s="2" t="s">
        <v>2813</v>
      </c>
      <c r="BV397" s="2" t="s">
        <v>206</v>
      </c>
      <c r="BW397" s="2" t="s">
        <v>206</v>
      </c>
      <c r="BX397" s="2" t="s">
        <v>214</v>
      </c>
      <c r="BY397" s="2" t="s">
        <v>215</v>
      </c>
      <c r="BZ397" s="2" t="s">
        <v>203</v>
      </c>
      <c r="CA397" s="2" t="s">
        <v>2814</v>
      </c>
      <c r="CB397" s="2" t="s">
        <v>2815</v>
      </c>
      <c r="CC397" s="2" t="s">
        <v>218</v>
      </c>
      <c r="CD397" s="2" t="s">
        <v>206</v>
      </c>
      <c r="CE397" s="4">
        <v>113</v>
      </c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>
        <v>45</v>
      </c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  <c r="FW397" s="4"/>
      <c r="FX397" s="4"/>
      <c r="FY397" s="4"/>
      <c r="FZ397" s="4"/>
      <c r="GA397" s="4"/>
      <c r="GB397" s="4"/>
      <c r="GC397" s="4"/>
      <c r="GD397" s="4"/>
      <c r="GE397" s="4"/>
      <c r="GF397" s="4"/>
    </row>
    <row r="398">
      <c r="A398" s="2" t="s">
        <v>2816</v>
      </c>
      <c r="B398" s="2" t="s">
        <v>528</v>
      </c>
      <c r="C398" s="2" t="s">
        <v>1698</v>
      </c>
      <c r="D398" s="2" t="s">
        <v>548</v>
      </c>
      <c r="E398" s="2" t="s">
        <v>549</v>
      </c>
      <c r="F398" s="2" t="s">
        <v>2817</v>
      </c>
      <c r="G398" s="2" t="s">
        <v>2817</v>
      </c>
      <c r="H398" s="2" t="s">
        <v>2817</v>
      </c>
      <c r="I398" s="2" t="s">
        <v>2818</v>
      </c>
      <c r="J398" s="2" t="s">
        <v>593</v>
      </c>
      <c r="K398" s="2" t="s">
        <v>336</v>
      </c>
      <c r="L398" s="3">
        <v>75.2</v>
      </c>
      <c r="M398" s="3">
        <v>78.96</v>
      </c>
      <c r="N398" s="3">
        <v>159.99</v>
      </c>
      <c r="O398" s="2" t="s">
        <v>203</v>
      </c>
      <c r="P398" s="2" t="s">
        <v>492</v>
      </c>
      <c r="Q398" s="2" t="s">
        <v>205</v>
      </c>
      <c r="R398" s="2" t="s">
        <v>206</v>
      </c>
      <c r="S398" s="2" t="s">
        <v>2819</v>
      </c>
      <c r="T398" s="2" t="s">
        <v>234</v>
      </c>
      <c r="U398" s="2" t="s">
        <v>556</v>
      </c>
      <c r="V398" s="2" t="s">
        <v>209</v>
      </c>
      <c r="W398" s="2" t="s">
        <v>539</v>
      </c>
      <c r="X398" s="2" t="s">
        <v>439</v>
      </c>
      <c r="Y398" s="2" t="s">
        <v>2820</v>
      </c>
      <c r="Z398" s="4">
        <v>42</v>
      </c>
      <c r="AA398" s="4">
        <f>=ROUNDDOWN(21,0)</f>
      </c>
      <c r="AB398" s="5">
        <v>2</v>
      </c>
      <c r="AC398" s="2" t="s">
        <v>206</v>
      </c>
      <c r="AD398" s="4"/>
      <c r="AE398" s="4"/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206</v>
      </c>
      <c r="AM398" s="4"/>
      <c r="AN398" s="4"/>
      <c r="AO398" s="7"/>
      <c r="AP398" s="4"/>
      <c r="AQ398" s="8"/>
      <c r="AR398" s="4"/>
      <c r="AS398" s="8"/>
      <c r="AT398" s="7"/>
      <c r="AU398" s="7"/>
      <c r="AV398" s="4" t="s">
        <v>206</v>
      </c>
      <c r="AW398" s="8" t="s">
        <v>206</v>
      </c>
      <c r="AX398" s="4" t="s">
        <v>206</v>
      </c>
      <c r="AY398" s="8" t="s">
        <v>206</v>
      </c>
      <c r="AZ398" s="7" t="s">
        <v>206</v>
      </c>
      <c r="BA398" s="7" t="s">
        <v>206</v>
      </c>
      <c r="BB398" s="7"/>
      <c r="BC398" s="4" t="s">
        <v>206</v>
      </c>
      <c r="BD398" s="8" t="s">
        <v>206</v>
      </c>
      <c r="BE398" s="4" t="s">
        <v>206</v>
      </c>
      <c r="BF398" s="8" t="s">
        <v>206</v>
      </c>
      <c r="BG398" s="7" t="s">
        <v>206</v>
      </c>
      <c r="BH398" s="7" t="s">
        <v>206</v>
      </c>
      <c r="BI398" s="7"/>
      <c r="BJ398" s="4">
        <v>7</v>
      </c>
      <c r="BK398" s="8">
        <v>524.73</v>
      </c>
      <c r="BL398" s="2" t="s">
        <v>2821</v>
      </c>
      <c r="BM398" s="7"/>
      <c r="BN398" s="7"/>
      <c r="BO398" s="4"/>
      <c r="BP398" s="8"/>
      <c r="BQ398" s="4"/>
      <c r="BR398" s="8"/>
      <c r="BS398" s="7"/>
      <c r="BT398" s="7"/>
      <c r="BU398" s="2" t="s">
        <v>2822</v>
      </c>
      <c r="BV398" s="2" t="s">
        <v>206</v>
      </c>
      <c r="BW398" s="2" t="s">
        <v>206</v>
      </c>
      <c r="BX398" s="2" t="s">
        <v>214</v>
      </c>
      <c r="BY398" s="2" t="s">
        <v>215</v>
      </c>
      <c r="BZ398" s="2" t="s">
        <v>203</v>
      </c>
      <c r="CA398" s="2" t="s">
        <v>2823</v>
      </c>
      <c r="CB398" s="2" t="s">
        <v>2321</v>
      </c>
      <c r="CC398" s="2" t="s">
        <v>218</v>
      </c>
      <c r="CD398" s="2" t="s">
        <v>206</v>
      </c>
      <c r="CE398" s="4">
        <v>42</v>
      </c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  <c r="FW398" s="4"/>
      <c r="FX398" s="4"/>
      <c r="FY398" s="4"/>
      <c r="FZ398" s="4"/>
      <c r="GA398" s="4"/>
      <c r="GB398" s="4"/>
      <c r="GC398" s="4"/>
      <c r="GD398" s="4"/>
      <c r="GE398" s="4"/>
      <c r="GF398" s="4"/>
    </row>
    <row r="399">
      <c r="A399" s="2" t="s">
        <v>2824</v>
      </c>
      <c r="B399" s="2" t="s">
        <v>528</v>
      </c>
      <c r="C399" s="2" t="s">
        <v>1698</v>
      </c>
      <c r="D399" s="2" t="s">
        <v>1121</v>
      </c>
      <c r="E399" s="2" t="s">
        <v>2266</v>
      </c>
      <c r="F399" s="2" t="s">
        <v>2817</v>
      </c>
      <c r="G399" s="2" t="s">
        <v>2817</v>
      </c>
      <c r="H399" s="2" t="s">
        <v>2817</v>
      </c>
      <c r="I399" s="2" t="s">
        <v>2825</v>
      </c>
      <c r="J399" s="2" t="s">
        <v>1307</v>
      </c>
      <c r="K399" s="2" t="s">
        <v>336</v>
      </c>
      <c r="L399" s="3">
        <v>18</v>
      </c>
      <c r="M399" s="3">
        <v>18.9</v>
      </c>
      <c r="N399" s="3">
        <v>44.99</v>
      </c>
      <c r="O399" s="2" t="s">
        <v>203</v>
      </c>
      <c r="P399" s="2" t="s">
        <v>492</v>
      </c>
      <c r="Q399" s="2" t="s">
        <v>205</v>
      </c>
      <c r="R399" s="2" t="s">
        <v>206</v>
      </c>
      <c r="S399" s="2" t="s">
        <v>2826</v>
      </c>
      <c r="T399" s="2" t="s">
        <v>234</v>
      </c>
      <c r="U399" s="2" t="s">
        <v>437</v>
      </c>
      <c r="V399" s="2" t="s">
        <v>209</v>
      </c>
      <c r="W399" s="2" t="s">
        <v>539</v>
      </c>
      <c r="X399" s="2" t="s">
        <v>439</v>
      </c>
      <c r="Y399" s="2" t="s">
        <v>2820</v>
      </c>
      <c r="Z399" s="4">
        <v>109</v>
      </c>
      <c r="AA399" s="4">
        <f>=ROUNDDOWN(18.1666666666667,0)</f>
      </c>
      <c r="AB399" s="5">
        <v>6</v>
      </c>
      <c r="AC399" s="2" t="s">
        <v>206</v>
      </c>
      <c r="AD399" s="4"/>
      <c r="AE399" s="4"/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206</v>
      </c>
      <c r="AM399" s="4"/>
      <c r="AN399" s="4"/>
      <c r="AO399" s="7"/>
      <c r="AP399" s="4"/>
      <c r="AQ399" s="8"/>
      <c r="AR399" s="4"/>
      <c r="AS399" s="8"/>
      <c r="AT399" s="7"/>
      <c r="AU399" s="7"/>
      <c r="AV399" s="4" t="s">
        <v>206</v>
      </c>
      <c r="AW399" s="8" t="s">
        <v>206</v>
      </c>
      <c r="AX399" s="4" t="s">
        <v>206</v>
      </c>
      <c r="AY399" s="8" t="s">
        <v>206</v>
      </c>
      <c r="AZ399" s="7" t="s">
        <v>206</v>
      </c>
      <c r="BA399" s="7" t="s">
        <v>206</v>
      </c>
      <c r="BB399" s="7"/>
      <c r="BC399" s="4" t="s">
        <v>206</v>
      </c>
      <c r="BD399" s="8" t="s">
        <v>206</v>
      </c>
      <c r="BE399" s="4" t="s">
        <v>206</v>
      </c>
      <c r="BF399" s="8" t="s">
        <v>206</v>
      </c>
      <c r="BG399" s="7" t="s">
        <v>206</v>
      </c>
      <c r="BH399" s="7" t="s">
        <v>206</v>
      </c>
      <c r="BI399" s="7"/>
      <c r="BJ399" s="4">
        <v>44</v>
      </c>
      <c r="BK399" s="8">
        <v>834.13</v>
      </c>
      <c r="BL399" s="2" t="s">
        <v>2827</v>
      </c>
      <c r="BM399" s="7"/>
      <c r="BN399" s="7"/>
      <c r="BO399" s="4"/>
      <c r="BP399" s="8"/>
      <c r="BQ399" s="4"/>
      <c r="BR399" s="8"/>
      <c r="BS399" s="7"/>
      <c r="BT399" s="7"/>
      <c r="BU399" s="2" t="s">
        <v>2828</v>
      </c>
      <c r="BV399" s="2" t="s">
        <v>206</v>
      </c>
      <c r="BW399" s="2" t="s">
        <v>206</v>
      </c>
      <c r="BX399" s="2" t="s">
        <v>214</v>
      </c>
      <c r="BY399" s="2" t="s">
        <v>215</v>
      </c>
      <c r="BZ399" s="2" t="s">
        <v>203</v>
      </c>
      <c r="CA399" s="2" t="s">
        <v>2823</v>
      </c>
      <c r="CB399" s="2" t="s">
        <v>2829</v>
      </c>
      <c r="CC399" s="2" t="s">
        <v>218</v>
      </c>
      <c r="CD399" s="2" t="s">
        <v>206</v>
      </c>
      <c r="CE399" s="4">
        <v>109</v>
      </c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  <c r="FW399" s="4"/>
      <c r="FX399" s="4"/>
      <c r="FY399" s="4"/>
      <c r="FZ399" s="4"/>
      <c r="GA399" s="4"/>
      <c r="GB399" s="4"/>
      <c r="GC399" s="4"/>
      <c r="GD399" s="4"/>
      <c r="GE399" s="4"/>
      <c r="GF399" s="4"/>
    </row>
    <row r="400">
      <c r="A400" s="2" t="s">
        <v>2830</v>
      </c>
      <c r="B400" s="2" t="s">
        <v>461</v>
      </c>
      <c r="C400" s="2" t="s">
        <v>287</v>
      </c>
      <c r="D400" s="2" t="s">
        <v>975</v>
      </c>
      <c r="E400" s="2" t="s">
        <v>976</v>
      </c>
      <c r="F400" s="2" t="s">
        <v>2831</v>
      </c>
      <c r="G400" s="2" t="s">
        <v>2832</v>
      </c>
      <c r="H400" s="2" t="s">
        <v>2833</v>
      </c>
      <c r="I400" s="2" t="s">
        <v>2834</v>
      </c>
      <c r="J400" s="2" t="s">
        <v>434</v>
      </c>
      <c r="K400" s="2" t="s">
        <v>262</v>
      </c>
      <c r="L400" s="3">
        <v>212.85</v>
      </c>
      <c r="M400" s="3">
        <v>223.49</v>
      </c>
      <c r="N400" s="3">
        <v>449</v>
      </c>
      <c r="O400" s="2" t="s">
        <v>203</v>
      </c>
      <c r="P400" s="2" t="s">
        <v>204</v>
      </c>
      <c r="Q400" s="2" t="s">
        <v>205</v>
      </c>
      <c r="R400" s="2" t="s">
        <v>206</v>
      </c>
      <c r="S400" s="2" t="s">
        <v>2835</v>
      </c>
      <c r="T400" s="2" t="s">
        <v>206</v>
      </c>
      <c r="U400" s="2" t="s">
        <v>206</v>
      </c>
      <c r="V400" s="2" t="s">
        <v>209</v>
      </c>
      <c r="W400" s="2" t="s">
        <v>539</v>
      </c>
      <c r="X400" s="2" t="s">
        <v>206</v>
      </c>
      <c r="Y400" s="2" t="s">
        <v>211</v>
      </c>
      <c r="Z400" s="4">
        <v>134</v>
      </c>
      <c r="AA400" s="4">
        <f>=ROUNDDOWN(22.3333333333333,0)</f>
      </c>
      <c r="AB400" s="5">
        <v>6</v>
      </c>
      <c r="AC400" s="2" t="s">
        <v>1098</v>
      </c>
      <c r="AD400" s="4">
        <v>110</v>
      </c>
      <c r="AE400" s="4">
        <v>110</v>
      </c>
      <c r="AF400" s="6">
        <v>66</v>
      </c>
      <c r="AG400" s="6">
        <v>49</v>
      </c>
      <c r="AH400" s="7">
        <v>1</v>
      </c>
      <c r="AI400" s="4"/>
      <c r="AJ400" s="4">
        <f>=ROUNDDOWN({0},0)</f>
      </c>
      <c r="AK400" s="5"/>
      <c r="AL400" s="2" t="s">
        <v>206</v>
      </c>
      <c r="AM400" s="4"/>
      <c r="AN400" s="4"/>
      <c r="AO400" s="7"/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>
        <v>10</v>
      </c>
      <c r="BK400" s="8">
        <v>2150.28</v>
      </c>
      <c r="BL400" s="2" t="s">
        <v>2836</v>
      </c>
      <c r="BM400" s="7"/>
      <c r="BN400" s="7"/>
      <c r="BO400" s="4"/>
      <c r="BP400" s="8"/>
      <c r="BQ400" s="4"/>
      <c r="BR400" s="8"/>
      <c r="BS400" s="7"/>
      <c r="BT400" s="7"/>
      <c r="BU400" s="2" t="s">
        <v>2837</v>
      </c>
      <c r="BV400" s="2" t="s">
        <v>206</v>
      </c>
      <c r="BW400" s="2" t="s">
        <v>206</v>
      </c>
      <c r="BX400" s="2" t="s">
        <v>214</v>
      </c>
      <c r="BY400" s="2" t="s">
        <v>215</v>
      </c>
      <c r="BZ400" s="2" t="s">
        <v>203</v>
      </c>
      <c r="CA400" s="2" t="s">
        <v>216</v>
      </c>
      <c r="CB400" s="2" t="s">
        <v>2838</v>
      </c>
      <c r="CC400" s="2" t="s">
        <v>218</v>
      </c>
      <c r="CD400" s="2" t="s">
        <v>206</v>
      </c>
      <c r="CE400" s="4"/>
      <c r="CF400" s="4">
        <v>134</v>
      </c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>
        <v>110</v>
      </c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  <c r="FW400" s="4"/>
      <c r="FX400" s="4"/>
      <c r="FY400" s="4"/>
      <c r="FZ400" s="4"/>
      <c r="GA400" s="4"/>
      <c r="GB400" s="4"/>
      <c r="GC400" s="4"/>
      <c r="GD400" s="4"/>
      <c r="GE400" s="4"/>
      <c r="GF400" s="4"/>
    </row>
    <row r="401">
      <c r="A401" s="2" t="s">
        <v>2839</v>
      </c>
      <c r="B401" s="2" t="s">
        <v>461</v>
      </c>
      <c r="C401" s="2" t="s">
        <v>287</v>
      </c>
      <c r="D401" s="2" t="s">
        <v>975</v>
      </c>
      <c r="E401" s="2" t="s">
        <v>976</v>
      </c>
      <c r="F401" s="2" t="s">
        <v>2216</v>
      </c>
      <c r="G401" s="2" t="s">
        <v>2840</v>
      </c>
      <c r="H401" s="2" t="s">
        <v>2841</v>
      </c>
      <c r="I401" s="2" t="s">
        <v>2842</v>
      </c>
      <c r="J401" s="2" t="s">
        <v>434</v>
      </c>
      <c r="K401" s="2" t="s">
        <v>353</v>
      </c>
      <c r="L401" s="3">
        <v>204.25</v>
      </c>
      <c r="M401" s="3">
        <v>214.46</v>
      </c>
      <c r="N401" s="3">
        <v>429</v>
      </c>
      <c r="O401" s="2" t="s">
        <v>203</v>
      </c>
      <c r="P401" s="2" t="s">
        <v>204</v>
      </c>
      <c r="Q401" s="2" t="s">
        <v>205</v>
      </c>
      <c r="R401" s="2" t="s">
        <v>206</v>
      </c>
      <c r="S401" s="2" t="s">
        <v>2843</v>
      </c>
      <c r="T401" s="2" t="s">
        <v>206</v>
      </c>
      <c r="U401" s="2" t="s">
        <v>206</v>
      </c>
      <c r="V401" s="2" t="s">
        <v>209</v>
      </c>
      <c r="W401" s="2" t="s">
        <v>539</v>
      </c>
      <c r="X401" s="2" t="s">
        <v>206</v>
      </c>
      <c r="Y401" s="2" t="s">
        <v>211</v>
      </c>
      <c r="Z401" s="4">
        <v>208</v>
      </c>
      <c r="AA401" s="4">
        <f>=ROUNDDOWN(35.8620689655172,0)</f>
      </c>
      <c r="AB401" s="5">
        <v>5.8</v>
      </c>
      <c r="AC401" s="2" t="s">
        <v>206</v>
      </c>
      <c r="AD401" s="4"/>
      <c r="AE401" s="4"/>
      <c r="AF401" s="6">
        <v>74</v>
      </c>
      <c r="AG401" s="6"/>
      <c r="AH401" s="7">
        <v>1</v>
      </c>
      <c r="AI401" s="4"/>
      <c r="AJ401" s="4">
        <f>=ROUNDDOWN({0},0)</f>
      </c>
      <c r="AK401" s="5"/>
      <c r="AL401" s="2" t="s">
        <v>206</v>
      </c>
      <c r="AM401" s="4"/>
      <c r="AN401" s="4"/>
      <c r="AO401" s="7">
        <v>1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/>
      <c r="BD401" s="8"/>
      <c r="BE401" s="4"/>
      <c r="BF401" s="8"/>
      <c r="BG401" s="7"/>
      <c r="BH401" s="7"/>
      <c r="BI401" s="7"/>
      <c r="BJ401" s="4">
        <v>12</v>
      </c>
      <c r="BK401" s="8">
        <v>2457.94</v>
      </c>
      <c r="BL401" s="2" t="s">
        <v>2844</v>
      </c>
      <c r="BM401" s="7"/>
      <c r="BN401" s="7"/>
      <c r="BO401" s="4"/>
      <c r="BP401" s="8"/>
      <c r="BQ401" s="4"/>
      <c r="BR401" s="8"/>
      <c r="BS401" s="7"/>
      <c r="BT401" s="7"/>
      <c r="BU401" s="2" t="s">
        <v>2845</v>
      </c>
      <c r="BV401" s="2" t="s">
        <v>206</v>
      </c>
      <c r="BW401" s="2" t="s">
        <v>206</v>
      </c>
      <c r="BX401" s="2" t="s">
        <v>214</v>
      </c>
      <c r="BY401" s="2" t="s">
        <v>215</v>
      </c>
      <c r="BZ401" s="2" t="s">
        <v>203</v>
      </c>
      <c r="CA401" s="2" t="s">
        <v>2846</v>
      </c>
      <c r="CB401" s="2" t="s">
        <v>2847</v>
      </c>
      <c r="CC401" s="2" t="s">
        <v>218</v>
      </c>
      <c r="CD401" s="2" t="s">
        <v>206</v>
      </c>
      <c r="CE401" s="4"/>
      <c r="CF401" s="4">
        <v>208</v>
      </c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  <c r="FW401" s="4"/>
      <c r="FX401" s="4"/>
      <c r="FY401" s="4"/>
      <c r="FZ401" s="4"/>
      <c r="GA401" s="4"/>
      <c r="GB401" s="4"/>
      <c r="GC401" s="4"/>
      <c r="GD401" s="4"/>
      <c r="GE401" s="4"/>
      <c r="GF401" s="4"/>
    </row>
    <row r="402">
      <c r="A402" s="2" t="s">
        <v>2848</v>
      </c>
      <c r="B402" s="2" t="s">
        <v>613</v>
      </c>
      <c r="C402" s="2" t="s">
        <v>287</v>
      </c>
      <c r="D402" s="2" t="s">
        <v>628</v>
      </c>
      <c r="E402" s="2" t="s">
        <v>1633</v>
      </c>
      <c r="F402" s="2" t="s">
        <v>2849</v>
      </c>
      <c r="G402" s="2" t="s">
        <v>2850</v>
      </c>
      <c r="H402" s="2" t="s">
        <v>2851</v>
      </c>
      <c r="I402" s="2" t="s">
        <v>2852</v>
      </c>
      <c r="J402" s="2" t="s">
        <v>1789</v>
      </c>
      <c r="K402" s="2" t="s">
        <v>1497</v>
      </c>
      <c r="L402" s="3">
        <v>17.6</v>
      </c>
      <c r="M402" s="3">
        <v>18.48</v>
      </c>
      <c r="N402" s="3">
        <v>39.99</v>
      </c>
      <c r="O402" s="2" t="s">
        <v>203</v>
      </c>
      <c r="P402" s="2" t="s">
        <v>773</v>
      </c>
      <c r="Q402" s="2" t="s">
        <v>205</v>
      </c>
      <c r="R402" s="2" t="s">
        <v>206</v>
      </c>
      <c r="S402" s="2" t="s">
        <v>2853</v>
      </c>
      <c r="T402" s="2" t="s">
        <v>206</v>
      </c>
      <c r="U402" s="2" t="s">
        <v>206</v>
      </c>
      <c r="V402" s="2" t="s">
        <v>209</v>
      </c>
      <c r="W402" s="2" t="s">
        <v>439</v>
      </c>
      <c r="X402" s="2" t="s">
        <v>929</v>
      </c>
      <c r="Y402" s="2" t="s">
        <v>2854</v>
      </c>
      <c r="Z402" s="4">
        <v>153</v>
      </c>
      <c r="AA402" s="4">
        <f>=ROUNDDOWN(10.9285714285714,0)</f>
      </c>
      <c r="AB402" s="5">
        <v>14</v>
      </c>
      <c r="AC402" s="2" t="s">
        <v>114</v>
      </c>
      <c r="AD402" s="4">
        <v>156</v>
      </c>
      <c r="AE402" s="4">
        <v>368</v>
      </c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206</v>
      </c>
      <c r="AM402" s="4"/>
      <c r="AN402" s="4"/>
      <c r="AO402" s="7"/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 t="s">
        <v>206</v>
      </c>
      <c r="BD402" s="8" t="s">
        <v>206</v>
      </c>
      <c r="BE402" s="4" t="s">
        <v>206</v>
      </c>
      <c r="BF402" s="8" t="s">
        <v>206</v>
      </c>
      <c r="BG402" s="7" t="s">
        <v>206</v>
      </c>
      <c r="BH402" s="7" t="s">
        <v>206</v>
      </c>
      <c r="BI402" s="7"/>
      <c r="BJ402" s="4">
        <v>67</v>
      </c>
      <c r="BK402" s="8">
        <v>1267.35</v>
      </c>
      <c r="BL402" s="2" t="s">
        <v>2855</v>
      </c>
      <c r="BM402" s="7"/>
      <c r="BN402" s="7"/>
      <c r="BO402" s="4"/>
      <c r="BP402" s="8"/>
      <c r="BQ402" s="4"/>
      <c r="BR402" s="8"/>
      <c r="BS402" s="7"/>
      <c r="BT402" s="7"/>
      <c r="BU402" s="2" t="s">
        <v>2856</v>
      </c>
      <c r="BV402" s="2" t="s">
        <v>206</v>
      </c>
      <c r="BW402" s="2" t="s">
        <v>206</v>
      </c>
      <c r="BX402" s="2" t="s">
        <v>214</v>
      </c>
      <c r="BY402" s="2" t="s">
        <v>215</v>
      </c>
      <c r="BZ402" s="2" t="s">
        <v>203</v>
      </c>
      <c r="CA402" s="2" t="s">
        <v>2857</v>
      </c>
      <c r="CB402" s="2" t="s">
        <v>2858</v>
      </c>
      <c r="CC402" s="2" t="s">
        <v>218</v>
      </c>
      <c r="CD402" s="2" t="s">
        <v>206</v>
      </c>
      <c r="CE402" s="4">
        <v>153</v>
      </c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>
        <v>156</v>
      </c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>
        <v>120</v>
      </c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  <c r="FW402" s="4"/>
      <c r="FX402" s="4"/>
      <c r="FY402" s="4">
        <v>92</v>
      </c>
      <c r="FZ402" s="4"/>
      <c r="GA402" s="4"/>
      <c r="GB402" s="4"/>
      <c r="GC402" s="4"/>
      <c r="GD402" s="4"/>
      <c r="GE402" s="4"/>
      <c r="GF402" s="4"/>
    </row>
    <row r="403">
      <c r="A403" s="2" t="s">
        <v>2859</v>
      </c>
      <c r="B403" s="2" t="s">
        <v>613</v>
      </c>
      <c r="C403" s="2" t="s">
        <v>287</v>
      </c>
      <c r="D403" s="2" t="s">
        <v>628</v>
      </c>
      <c r="E403" s="2" t="s">
        <v>1633</v>
      </c>
      <c r="F403" s="2" t="s">
        <v>2849</v>
      </c>
      <c r="G403" s="2" t="s">
        <v>2850</v>
      </c>
      <c r="H403" s="2" t="s">
        <v>2851</v>
      </c>
      <c r="I403" s="2" t="s">
        <v>2852</v>
      </c>
      <c r="J403" s="2" t="s">
        <v>1797</v>
      </c>
      <c r="K403" s="2" t="s">
        <v>336</v>
      </c>
      <c r="L403" s="3">
        <v>20.25</v>
      </c>
      <c r="M403" s="3">
        <v>21.26</v>
      </c>
      <c r="N403" s="3">
        <v>44.99</v>
      </c>
      <c r="O403" s="2" t="s">
        <v>203</v>
      </c>
      <c r="P403" s="2" t="s">
        <v>204</v>
      </c>
      <c r="Q403" s="2" t="s">
        <v>205</v>
      </c>
      <c r="R403" s="2" t="s">
        <v>206</v>
      </c>
      <c r="S403" s="2" t="s">
        <v>2860</v>
      </c>
      <c r="T403" s="2" t="s">
        <v>206</v>
      </c>
      <c r="U403" s="2" t="s">
        <v>206</v>
      </c>
      <c r="V403" s="2" t="s">
        <v>209</v>
      </c>
      <c r="W403" s="2" t="s">
        <v>439</v>
      </c>
      <c r="X403" s="2" t="s">
        <v>929</v>
      </c>
      <c r="Y403" s="2" t="s">
        <v>2854</v>
      </c>
      <c r="Z403" s="4">
        <v>55</v>
      </c>
      <c r="AA403" s="4">
        <f>=ROUNDDOWN(18.3333333333333,0)</f>
      </c>
      <c r="AB403" s="5">
        <v>3</v>
      </c>
      <c r="AC403" s="2" t="s">
        <v>139</v>
      </c>
      <c r="AD403" s="4">
        <v>60</v>
      </c>
      <c r="AE403" s="4">
        <v>60</v>
      </c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206</v>
      </c>
      <c r="AM403" s="4"/>
      <c r="AN403" s="4"/>
      <c r="AO403" s="7"/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 t="s">
        <v>206</v>
      </c>
      <c r="BD403" s="8" t="s">
        <v>206</v>
      </c>
      <c r="BE403" s="4" t="s">
        <v>206</v>
      </c>
      <c r="BF403" s="8" t="s">
        <v>206</v>
      </c>
      <c r="BG403" s="7" t="s">
        <v>206</v>
      </c>
      <c r="BH403" s="7" t="s">
        <v>206</v>
      </c>
      <c r="BI403" s="7"/>
      <c r="BJ403" s="4">
        <v>17</v>
      </c>
      <c r="BK403" s="8">
        <v>368.55</v>
      </c>
      <c r="BL403" s="2" t="s">
        <v>2861</v>
      </c>
      <c r="BM403" s="7"/>
      <c r="BN403" s="7"/>
      <c r="BO403" s="4"/>
      <c r="BP403" s="8"/>
      <c r="BQ403" s="4"/>
      <c r="BR403" s="8"/>
      <c r="BS403" s="7"/>
      <c r="BT403" s="7"/>
      <c r="BU403" s="2" t="s">
        <v>2862</v>
      </c>
      <c r="BV403" s="2" t="s">
        <v>206</v>
      </c>
      <c r="BW403" s="2" t="s">
        <v>206</v>
      </c>
      <c r="BX403" s="2" t="s">
        <v>214</v>
      </c>
      <c r="BY403" s="2" t="s">
        <v>215</v>
      </c>
      <c r="BZ403" s="2" t="s">
        <v>203</v>
      </c>
      <c r="CA403" s="2" t="s">
        <v>2857</v>
      </c>
      <c r="CB403" s="2" t="s">
        <v>2863</v>
      </c>
      <c r="CC403" s="2" t="s">
        <v>218</v>
      </c>
      <c r="CD403" s="2" t="s">
        <v>206</v>
      </c>
      <c r="CE403" s="4">
        <v>55</v>
      </c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>
        <v>60</v>
      </c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  <c r="FW403" s="4"/>
      <c r="FX403" s="4"/>
      <c r="FY403" s="4"/>
      <c r="FZ403" s="4"/>
      <c r="GA403" s="4"/>
      <c r="GB403" s="4"/>
      <c r="GC403" s="4"/>
      <c r="GD403" s="4"/>
      <c r="GE403" s="4"/>
      <c r="GF403" s="4"/>
    </row>
    <row r="404">
      <c r="A404" s="2" t="s">
        <v>2864</v>
      </c>
      <c r="B404" s="2" t="s">
        <v>613</v>
      </c>
      <c r="C404" s="2" t="s">
        <v>287</v>
      </c>
      <c r="D404" s="2" t="s">
        <v>628</v>
      </c>
      <c r="E404" s="2" t="s">
        <v>1633</v>
      </c>
      <c r="F404" s="2" t="s">
        <v>2849</v>
      </c>
      <c r="G404" s="2" t="s">
        <v>2850</v>
      </c>
      <c r="H404" s="2" t="s">
        <v>2851</v>
      </c>
      <c r="I404" s="2" t="s">
        <v>2852</v>
      </c>
      <c r="J404" s="2" t="s">
        <v>1789</v>
      </c>
      <c r="K404" s="2" t="s">
        <v>1060</v>
      </c>
      <c r="L404" s="3">
        <v>17.6</v>
      </c>
      <c r="M404" s="3">
        <v>18.48</v>
      </c>
      <c r="N404" s="3">
        <v>39.99</v>
      </c>
      <c r="O404" s="2" t="s">
        <v>203</v>
      </c>
      <c r="P404" s="2" t="s">
        <v>204</v>
      </c>
      <c r="Q404" s="2" t="s">
        <v>205</v>
      </c>
      <c r="R404" s="2" t="s">
        <v>206</v>
      </c>
      <c r="S404" s="2" t="s">
        <v>2865</v>
      </c>
      <c r="T404" s="2" t="s">
        <v>206</v>
      </c>
      <c r="U404" s="2" t="s">
        <v>206</v>
      </c>
      <c r="V404" s="2" t="s">
        <v>209</v>
      </c>
      <c r="W404" s="2" t="s">
        <v>439</v>
      </c>
      <c r="X404" s="2" t="s">
        <v>929</v>
      </c>
      <c r="Y404" s="2" t="s">
        <v>2854</v>
      </c>
      <c r="Z404" s="4">
        <v>223</v>
      </c>
      <c r="AA404" s="4">
        <f>=ROUNDDOWN(17.1538461538462,0)</f>
      </c>
      <c r="AB404" s="5">
        <v>13</v>
      </c>
      <c r="AC404" s="2" t="s">
        <v>441</v>
      </c>
      <c r="AD404" s="4">
        <v>100</v>
      </c>
      <c r="AE404" s="4">
        <v>328</v>
      </c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206</v>
      </c>
      <c r="AM404" s="4"/>
      <c r="AN404" s="4"/>
      <c r="AO404" s="7"/>
      <c r="AP404" s="4"/>
      <c r="AQ404" s="8"/>
      <c r="AR404" s="4"/>
      <c r="AS404" s="8"/>
      <c r="AT404" s="7"/>
      <c r="AU404" s="7"/>
      <c r="AV404" s="4" t="s">
        <v>206</v>
      </c>
      <c r="AW404" s="8" t="s">
        <v>206</v>
      </c>
      <c r="AX404" s="4" t="s">
        <v>206</v>
      </c>
      <c r="AY404" s="8" t="s">
        <v>206</v>
      </c>
      <c r="AZ404" s="7" t="s">
        <v>206</v>
      </c>
      <c r="BA404" s="7" t="s">
        <v>206</v>
      </c>
      <c r="BB404" s="7"/>
      <c r="BC404" s="4" t="s">
        <v>206</v>
      </c>
      <c r="BD404" s="8" t="s">
        <v>206</v>
      </c>
      <c r="BE404" s="4" t="s">
        <v>206</v>
      </c>
      <c r="BF404" s="8" t="s">
        <v>206</v>
      </c>
      <c r="BG404" s="7" t="s">
        <v>206</v>
      </c>
      <c r="BH404" s="7" t="s">
        <v>206</v>
      </c>
      <c r="BI404" s="7"/>
      <c r="BJ404" s="4">
        <v>66</v>
      </c>
      <c r="BK404" s="8">
        <v>1243.47</v>
      </c>
      <c r="BL404" s="2" t="s">
        <v>2866</v>
      </c>
      <c r="BM404" s="7"/>
      <c r="BN404" s="7"/>
      <c r="BO404" s="4"/>
      <c r="BP404" s="8"/>
      <c r="BQ404" s="4"/>
      <c r="BR404" s="8"/>
      <c r="BS404" s="7"/>
      <c r="BT404" s="7"/>
      <c r="BU404" s="2" t="s">
        <v>2867</v>
      </c>
      <c r="BV404" s="2" t="s">
        <v>206</v>
      </c>
      <c r="BW404" s="2" t="s">
        <v>206</v>
      </c>
      <c r="BX404" s="2" t="s">
        <v>214</v>
      </c>
      <c r="BY404" s="2" t="s">
        <v>215</v>
      </c>
      <c r="BZ404" s="2" t="s">
        <v>203</v>
      </c>
      <c r="CA404" s="2" t="s">
        <v>2857</v>
      </c>
      <c r="CB404" s="2" t="s">
        <v>654</v>
      </c>
      <c r="CC404" s="2" t="s">
        <v>218</v>
      </c>
      <c r="CD404" s="2" t="s">
        <v>206</v>
      </c>
      <c r="CE404" s="4">
        <v>223</v>
      </c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>
        <v>100</v>
      </c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>
        <v>228</v>
      </c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  <c r="FW404" s="4"/>
      <c r="FX404" s="4"/>
      <c r="FY404" s="4"/>
      <c r="FZ404" s="4"/>
      <c r="GA404" s="4"/>
      <c r="GB404" s="4"/>
      <c r="GC404" s="4"/>
      <c r="GD404" s="4"/>
      <c r="GE404" s="4"/>
      <c r="GF404" s="4"/>
    </row>
    <row r="405">
      <c r="A405" s="2" t="s">
        <v>2868</v>
      </c>
      <c r="B405" s="2" t="s">
        <v>613</v>
      </c>
      <c r="C405" s="2" t="s">
        <v>287</v>
      </c>
      <c r="D405" s="2" t="s">
        <v>628</v>
      </c>
      <c r="E405" s="2" t="s">
        <v>1633</v>
      </c>
      <c r="F405" s="2" t="s">
        <v>2849</v>
      </c>
      <c r="G405" s="2" t="s">
        <v>2850</v>
      </c>
      <c r="H405" s="2" t="s">
        <v>2851</v>
      </c>
      <c r="I405" s="2" t="s">
        <v>2852</v>
      </c>
      <c r="J405" s="2" t="s">
        <v>1797</v>
      </c>
      <c r="K405" s="2" t="s">
        <v>1060</v>
      </c>
      <c r="L405" s="3">
        <v>20.25</v>
      </c>
      <c r="M405" s="3">
        <v>21.26</v>
      </c>
      <c r="N405" s="3">
        <v>44.99</v>
      </c>
      <c r="O405" s="2" t="s">
        <v>203</v>
      </c>
      <c r="P405" s="2" t="s">
        <v>204</v>
      </c>
      <c r="Q405" s="2" t="s">
        <v>205</v>
      </c>
      <c r="R405" s="2" t="s">
        <v>206</v>
      </c>
      <c r="S405" s="2" t="s">
        <v>2865</v>
      </c>
      <c r="T405" s="2" t="s">
        <v>206</v>
      </c>
      <c r="U405" s="2" t="s">
        <v>206</v>
      </c>
      <c r="V405" s="2" t="s">
        <v>209</v>
      </c>
      <c r="W405" s="2" t="s">
        <v>439</v>
      </c>
      <c r="X405" s="2" t="s">
        <v>929</v>
      </c>
      <c r="Y405" s="2" t="s">
        <v>2854</v>
      </c>
      <c r="Z405" s="4">
        <v>227</v>
      </c>
      <c r="AA405" s="4">
        <f>=ROUNDDOWN(32.4285714285714,0)</f>
      </c>
      <c r="AB405" s="5">
        <v>7</v>
      </c>
      <c r="AC405" s="2" t="s">
        <v>1098</v>
      </c>
      <c r="AD405" s="4">
        <v>52</v>
      </c>
      <c r="AE405" s="4">
        <v>52</v>
      </c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206</v>
      </c>
      <c r="AM405" s="4"/>
      <c r="AN405" s="4"/>
      <c r="AO405" s="7"/>
      <c r="AP405" s="4"/>
      <c r="AQ405" s="8"/>
      <c r="AR405" s="4"/>
      <c r="AS405" s="8"/>
      <c r="AT405" s="7"/>
      <c r="AU405" s="7"/>
      <c r="AV405" s="4" t="s">
        <v>206</v>
      </c>
      <c r="AW405" s="8" t="s">
        <v>206</v>
      </c>
      <c r="AX405" s="4" t="s">
        <v>206</v>
      </c>
      <c r="AY405" s="8" t="s">
        <v>206</v>
      </c>
      <c r="AZ405" s="7" t="s">
        <v>206</v>
      </c>
      <c r="BA405" s="7" t="s">
        <v>206</v>
      </c>
      <c r="BB405" s="7"/>
      <c r="BC405" s="4" t="s">
        <v>206</v>
      </c>
      <c r="BD405" s="8" t="s">
        <v>206</v>
      </c>
      <c r="BE405" s="4" t="s">
        <v>206</v>
      </c>
      <c r="BF405" s="8" t="s">
        <v>206</v>
      </c>
      <c r="BG405" s="7" t="s">
        <v>206</v>
      </c>
      <c r="BH405" s="7" t="s">
        <v>206</v>
      </c>
      <c r="BI405" s="7"/>
      <c r="BJ405" s="4">
        <v>31</v>
      </c>
      <c r="BK405" s="8">
        <v>677.25</v>
      </c>
      <c r="BL405" s="2" t="s">
        <v>2869</v>
      </c>
      <c r="BM405" s="7"/>
      <c r="BN405" s="7"/>
      <c r="BO405" s="4"/>
      <c r="BP405" s="8"/>
      <c r="BQ405" s="4"/>
      <c r="BR405" s="8"/>
      <c r="BS405" s="7"/>
      <c r="BT405" s="7"/>
      <c r="BU405" s="2" t="s">
        <v>2870</v>
      </c>
      <c r="BV405" s="2" t="s">
        <v>206</v>
      </c>
      <c r="BW405" s="2" t="s">
        <v>206</v>
      </c>
      <c r="BX405" s="2" t="s">
        <v>214</v>
      </c>
      <c r="BY405" s="2" t="s">
        <v>215</v>
      </c>
      <c r="BZ405" s="2" t="s">
        <v>203</v>
      </c>
      <c r="CA405" s="2" t="s">
        <v>2857</v>
      </c>
      <c r="CB405" s="2" t="s">
        <v>2871</v>
      </c>
      <c r="CC405" s="2" t="s">
        <v>218</v>
      </c>
      <c r="CD405" s="2" t="s">
        <v>206</v>
      </c>
      <c r="CE405" s="4">
        <v>227</v>
      </c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>
        <v>52</v>
      </c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  <c r="FW405" s="4"/>
      <c r="FX405" s="4"/>
      <c r="FY405" s="4"/>
      <c r="FZ405" s="4"/>
      <c r="GA405" s="4"/>
      <c r="GB405" s="4"/>
      <c r="GC405" s="4"/>
      <c r="GD405" s="4"/>
      <c r="GE405" s="4"/>
      <c r="GF405" s="4"/>
    </row>
    <row r="406">
      <c r="A406" s="2" t="s">
        <v>2872</v>
      </c>
      <c r="B406" s="2" t="s">
        <v>613</v>
      </c>
      <c r="C406" s="2" t="s">
        <v>287</v>
      </c>
      <c r="D406" s="2" t="s">
        <v>628</v>
      </c>
      <c r="E406" s="2" t="s">
        <v>1633</v>
      </c>
      <c r="F406" s="2" t="s">
        <v>2849</v>
      </c>
      <c r="G406" s="2" t="s">
        <v>2850</v>
      </c>
      <c r="H406" s="2" t="s">
        <v>2851</v>
      </c>
      <c r="I406" s="2" t="s">
        <v>2852</v>
      </c>
      <c r="J406" s="2" t="s">
        <v>1797</v>
      </c>
      <c r="K406" s="2" t="s">
        <v>202</v>
      </c>
      <c r="L406" s="3">
        <v>20.25</v>
      </c>
      <c r="M406" s="3">
        <v>21.26</v>
      </c>
      <c r="N406" s="3">
        <v>44.99</v>
      </c>
      <c r="O406" s="2" t="s">
        <v>203</v>
      </c>
      <c r="P406" s="2" t="s">
        <v>204</v>
      </c>
      <c r="Q406" s="2" t="s">
        <v>205</v>
      </c>
      <c r="R406" s="2" t="s">
        <v>206</v>
      </c>
      <c r="S406" s="2" t="s">
        <v>2873</v>
      </c>
      <c r="T406" s="2" t="s">
        <v>206</v>
      </c>
      <c r="U406" s="2" t="s">
        <v>206</v>
      </c>
      <c r="V406" s="2" t="s">
        <v>209</v>
      </c>
      <c r="W406" s="2" t="s">
        <v>439</v>
      </c>
      <c r="X406" s="2" t="s">
        <v>929</v>
      </c>
      <c r="Y406" s="2" t="s">
        <v>2854</v>
      </c>
      <c r="Z406" s="4">
        <v>114</v>
      </c>
      <c r="AA406" s="4">
        <f>=ROUNDDOWN(22.8,0)</f>
      </c>
      <c r="AB406" s="5">
        <v>5</v>
      </c>
      <c r="AC406" s="2" t="s">
        <v>441</v>
      </c>
      <c r="AD406" s="4">
        <v>56</v>
      </c>
      <c r="AE406" s="4">
        <v>56</v>
      </c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206</v>
      </c>
      <c r="AM406" s="4"/>
      <c r="AN406" s="4"/>
      <c r="AO406" s="7"/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 t="s">
        <v>206</v>
      </c>
      <c r="BD406" s="8" t="s">
        <v>206</v>
      </c>
      <c r="BE406" s="4" t="s">
        <v>206</v>
      </c>
      <c r="BF406" s="8" t="s">
        <v>206</v>
      </c>
      <c r="BG406" s="7" t="s">
        <v>206</v>
      </c>
      <c r="BH406" s="7" t="s">
        <v>206</v>
      </c>
      <c r="BI406" s="7"/>
      <c r="BJ406" s="4">
        <v>16</v>
      </c>
      <c r="BK406" s="8">
        <v>341.73</v>
      </c>
      <c r="BL406" s="2" t="s">
        <v>2874</v>
      </c>
      <c r="BM406" s="7"/>
      <c r="BN406" s="7"/>
      <c r="BO406" s="4"/>
      <c r="BP406" s="8"/>
      <c r="BQ406" s="4"/>
      <c r="BR406" s="8"/>
      <c r="BS406" s="7"/>
      <c r="BT406" s="7"/>
      <c r="BU406" s="2" t="s">
        <v>2875</v>
      </c>
      <c r="BV406" s="2" t="s">
        <v>206</v>
      </c>
      <c r="BW406" s="2" t="s">
        <v>206</v>
      </c>
      <c r="BX406" s="2" t="s">
        <v>214</v>
      </c>
      <c r="BY406" s="2" t="s">
        <v>215</v>
      </c>
      <c r="BZ406" s="2" t="s">
        <v>203</v>
      </c>
      <c r="CA406" s="2" t="s">
        <v>2857</v>
      </c>
      <c r="CB406" s="2" t="s">
        <v>334</v>
      </c>
      <c r="CC406" s="2" t="s">
        <v>218</v>
      </c>
      <c r="CD406" s="2" t="s">
        <v>206</v>
      </c>
      <c r="CE406" s="4">
        <v>114</v>
      </c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>
        <v>56</v>
      </c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4"/>
      <c r="GA406" s="4"/>
      <c r="GB406" s="4"/>
      <c r="GC406" s="4"/>
      <c r="GD406" s="4"/>
      <c r="GE406" s="4"/>
      <c r="GF406" s="4"/>
    </row>
    <row r="407">
      <c r="A407" s="2" t="s">
        <v>2876</v>
      </c>
      <c r="B407" s="2" t="s">
        <v>507</v>
      </c>
      <c r="C407" s="2" t="s">
        <v>447</v>
      </c>
      <c r="D407" s="2" t="s">
        <v>508</v>
      </c>
      <c r="E407" s="2" t="s">
        <v>509</v>
      </c>
      <c r="F407" s="2" t="s">
        <v>2877</v>
      </c>
      <c r="G407" s="2" t="s">
        <v>2877</v>
      </c>
      <c r="H407" s="2" t="s">
        <v>2877</v>
      </c>
      <c r="I407" s="2" t="s">
        <v>2878</v>
      </c>
      <c r="J407" s="2" t="s">
        <v>434</v>
      </c>
      <c r="K407" s="2" t="s">
        <v>2879</v>
      </c>
      <c r="L407" s="3">
        <v>48.75</v>
      </c>
      <c r="M407" s="3">
        <v>51.19</v>
      </c>
      <c r="N407" s="3">
        <v>99.99</v>
      </c>
      <c r="O407" s="2" t="s">
        <v>203</v>
      </c>
      <c r="P407" s="2" t="s">
        <v>204</v>
      </c>
      <c r="Q407" s="2" t="s">
        <v>205</v>
      </c>
      <c r="R407" s="2" t="s">
        <v>206</v>
      </c>
      <c r="S407" s="2" t="s">
        <v>206</v>
      </c>
      <c r="T407" s="2" t="s">
        <v>206</v>
      </c>
      <c r="U407" s="2" t="s">
        <v>437</v>
      </c>
      <c r="V407" s="2" t="s">
        <v>468</v>
      </c>
      <c r="W407" s="2" t="s">
        <v>439</v>
      </c>
      <c r="X407" s="2" t="s">
        <v>1178</v>
      </c>
      <c r="Y407" s="2" t="s">
        <v>2328</v>
      </c>
      <c r="Z407" s="4">
        <v>21</v>
      </c>
      <c r="AA407" s="4">
        <f>=ROUNDDOWN(10.5,0)</f>
      </c>
      <c r="AB407" s="5">
        <v>2</v>
      </c>
      <c r="AC407" s="2" t="s">
        <v>146</v>
      </c>
      <c r="AD407" s="4">
        <v>100</v>
      </c>
      <c r="AE407" s="4">
        <v>100</v>
      </c>
      <c r="AF407" s="6">
        <v>63</v>
      </c>
      <c r="AG407" s="6"/>
      <c r="AH407" s="7">
        <v>1</v>
      </c>
      <c r="AI407" s="4"/>
      <c r="AJ407" s="4">
        <f>=ROUNDDOWN({0},0)</f>
      </c>
      <c r="AK407" s="5"/>
      <c r="AL407" s="2" t="s">
        <v>206</v>
      </c>
      <c r="AM407" s="4"/>
      <c r="AN407" s="4"/>
      <c r="AO407" s="7"/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/>
      <c r="BD407" s="8"/>
      <c r="BE407" s="4"/>
      <c r="BF407" s="8"/>
      <c r="BG407" s="7"/>
      <c r="BH407" s="7"/>
      <c r="BI407" s="7"/>
      <c r="BJ407" s="4">
        <v>11</v>
      </c>
      <c r="BK407" s="8">
        <v>631.13</v>
      </c>
      <c r="BL407" s="2" t="s">
        <v>2880</v>
      </c>
      <c r="BM407" s="7"/>
      <c r="BN407" s="7"/>
      <c r="BO407" s="4"/>
      <c r="BP407" s="8"/>
      <c r="BQ407" s="4"/>
      <c r="BR407" s="8"/>
      <c r="BS407" s="7"/>
      <c r="BT407" s="7"/>
      <c r="BU407" s="2" t="s">
        <v>2881</v>
      </c>
      <c r="BV407" s="2" t="s">
        <v>206</v>
      </c>
      <c r="BW407" s="2" t="s">
        <v>206</v>
      </c>
      <c r="BX407" s="2" t="s">
        <v>214</v>
      </c>
      <c r="BY407" s="2" t="s">
        <v>215</v>
      </c>
      <c r="BZ407" s="2" t="s">
        <v>203</v>
      </c>
      <c r="CA407" s="2" t="s">
        <v>2882</v>
      </c>
      <c r="CB407" s="2" t="s">
        <v>2883</v>
      </c>
      <c r="CC407" s="2" t="s">
        <v>218</v>
      </c>
      <c r="CD407" s="2" t="s">
        <v>206</v>
      </c>
      <c r="CE407" s="4"/>
      <c r="CF407" s="4">
        <v>21</v>
      </c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>
        <v>100</v>
      </c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4"/>
      <c r="GA407" s="4"/>
      <c r="GB407" s="4"/>
      <c r="GC407" s="4"/>
      <c r="GD407" s="4"/>
      <c r="GE407" s="4"/>
      <c r="GF407" s="4"/>
    </row>
    <row r="408">
      <c r="A408" s="2" t="s">
        <v>2884</v>
      </c>
      <c r="B408" s="2" t="s">
        <v>800</v>
      </c>
      <c r="C408" s="2" t="s">
        <v>2240</v>
      </c>
      <c r="D408" s="2" t="s">
        <v>1859</v>
      </c>
      <c r="E408" s="2" t="s">
        <v>1860</v>
      </c>
      <c r="F408" s="2" t="s">
        <v>2885</v>
      </c>
      <c r="G408" s="2" t="s">
        <v>2885</v>
      </c>
      <c r="H408" s="2" t="s">
        <v>206</v>
      </c>
      <c r="I408" s="2" t="s">
        <v>1268</v>
      </c>
      <c r="J408" s="2" t="s">
        <v>231</v>
      </c>
      <c r="K408" s="2" t="s">
        <v>2886</v>
      </c>
      <c r="L408" s="3">
        <v>89.41</v>
      </c>
      <c r="M408" s="3">
        <v>93.88</v>
      </c>
      <c r="N408" s="3">
        <v>174.99</v>
      </c>
      <c r="O408" s="2" t="s">
        <v>203</v>
      </c>
      <c r="P408" s="2" t="s">
        <v>204</v>
      </c>
      <c r="Q408" s="2" t="s">
        <v>205</v>
      </c>
      <c r="R408" s="2" t="s">
        <v>206</v>
      </c>
      <c r="S408" s="2" t="s">
        <v>2887</v>
      </c>
      <c r="T408" s="2" t="s">
        <v>2888</v>
      </c>
      <c r="U408" s="2" t="s">
        <v>206</v>
      </c>
      <c r="V408" s="2" t="s">
        <v>209</v>
      </c>
      <c r="W408" s="2" t="s">
        <v>210</v>
      </c>
      <c r="X408" s="2" t="s">
        <v>206</v>
      </c>
      <c r="Y408" s="2" t="s">
        <v>2889</v>
      </c>
      <c r="Z408" s="4">
        <v>152</v>
      </c>
      <c r="AA408" s="4">
        <f>=ROUNDDOWN(11.6923076923077,0)</f>
      </c>
      <c r="AB408" s="5">
        <v>13</v>
      </c>
      <c r="AC408" s="2" t="s">
        <v>645</v>
      </c>
      <c r="AD408" s="4">
        <v>300</v>
      </c>
      <c r="AE408" s="4">
        <v>300</v>
      </c>
      <c r="AF408" s="6">
        <v>65</v>
      </c>
      <c r="AG408" s="6"/>
      <c r="AH408" s="7">
        <v>1</v>
      </c>
      <c r="AI408" s="4"/>
      <c r="AJ408" s="4">
        <f>=ROUNDDOWN({0},0)</f>
      </c>
      <c r="AK408" s="5"/>
      <c r="AL408" s="2" t="s">
        <v>206</v>
      </c>
      <c r="AM408" s="4"/>
      <c r="AN408" s="4"/>
      <c r="AO408" s="7"/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206</v>
      </c>
      <c r="BD408" s="8" t="s">
        <v>206</v>
      </c>
      <c r="BE408" s="4" t="s">
        <v>206</v>
      </c>
      <c r="BF408" s="8" t="s">
        <v>206</v>
      </c>
      <c r="BG408" s="7" t="s">
        <v>206</v>
      </c>
      <c r="BH408" s="7" t="s">
        <v>206</v>
      </c>
      <c r="BI408" s="7"/>
      <c r="BJ408" s="4">
        <v>116</v>
      </c>
      <c r="BK408" s="8">
        <v>12019.51</v>
      </c>
      <c r="BL408" s="2" t="s">
        <v>2890</v>
      </c>
      <c r="BM408" s="7"/>
      <c r="BN408" s="7"/>
      <c r="BO408" s="4"/>
      <c r="BP408" s="8"/>
      <c r="BQ408" s="4"/>
      <c r="BR408" s="8"/>
      <c r="BS408" s="7"/>
      <c r="BT408" s="7"/>
      <c r="BU408" s="2" t="s">
        <v>2891</v>
      </c>
      <c r="BV408" s="2" t="s">
        <v>206</v>
      </c>
      <c r="BW408" s="2" t="s">
        <v>206</v>
      </c>
      <c r="BX408" s="2" t="s">
        <v>426</v>
      </c>
      <c r="BY408" s="2" t="s">
        <v>215</v>
      </c>
      <c r="BZ408" s="2" t="s">
        <v>203</v>
      </c>
      <c r="CA408" s="2" t="s">
        <v>2892</v>
      </c>
      <c r="CB408" s="2" t="s">
        <v>2893</v>
      </c>
      <c r="CC408" s="2" t="s">
        <v>218</v>
      </c>
      <c r="CD408" s="2" t="s">
        <v>206</v>
      </c>
      <c r="CE408" s="4">
        <v>152</v>
      </c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>
        <v>300</v>
      </c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/>
      <c r="GE408" s="4"/>
      <c r="GF408" s="4"/>
    </row>
    <row r="409">
      <c r="A409" s="2" t="s">
        <v>2894</v>
      </c>
      <c r="B409" s="2" t="s">
        <v>800</v>
      </c>
      <c r="C409" s="2" t="s">
        <v>2240</v>
      </c>
      <c r="D409" s="2" t="s">
        <v>1859</v>
      </c>
      <c r="E409" s="2" t="s">
        <v>1860</v>
      </c>
      <c r="F409" s="2" t="s">
        <v>2885</v>
      </c>
      <c r="G409" s="2" t="s">
        <v>2885</v>
      </c>
      <c r="H409" s="2" t="s">
        <v>206</v>
      </c>
      <c r="I409" s="2" t="s">
        <v>1268</v>
      </c>
      <c r="J409" s="2" t="s">
        <v>201</v>
      </c>
      <c r="K409" s="2" t="s">
        <v>763</v>
      </c>
      <c r="L409" s="3">
        <v>54.64</v>
      </c>
      <c r="M409" s="3">
        <v>57.37</v>
      </c>
      <c r="N409" s="3">
        <v>104.99</v>
      </c>
      <c r="O409" s="2" t="s">
        <v>203</v>
      </c>
      <c r="P409" s="2" t="s">
        <v>773</v>
      </c>
      <c r="Q409" s="2" t="s">
        <v>205</v>
      </c>
      <c r="R409" s="2" t="s">
        <v>206</v>
      </c>
      <c r="S409" s="2" t="s">
        <v>2895</v>
      </c>
      <c r="T409" s="2" t="s">
        <v>2888</v>
      </c>
      <c r="U409" s="2" t="s">
        <v>206</v>
      </c>
      <c r="V409" s="2" t="s">
        <v>209</v>
      </c>
      <c r="W409" s="2" t="s">
        <v>210</v>
      </c>
      <c r="X409" s="2" t="s">
        <v>206</v>
      </c>
      <c r="Y409" s="2" t="s">
        <v>2889</v>
      </c>
      <c r="Z409" s="4">
        <v>369</v>
      </c>
      <c r="AA409" s="4">
        <f>=ROUNDDOWN(26.3571428571429,0)</f>
      </c>
      <c r="AB409" s="5">
        <v>14</v>
      </c>
      <c r="AC409" s="2" t="s">
        <v>441</v>
      </c>
      <c r="AD409" s="4">
        <v>70</v>
      </c>
      <c r="AE409" s="4">
        <v>70</v>
      </c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206</v>
      </c>
      <c r="AM409" s="4"/>
      <c r="AN409" s="4"/>
      <c r="AO409" s="7"/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 t="s">
        <v>206</v>
      </c>
      <c r="BD409" s="8" t="s">
        <v>206</v>
      </c>
      <c r="BE409" s="4" t="s">
        <v>206</v>
      </c>
      <c r="BF409" s="8" t="s">
        <v>206</v>
      </c>
      <c r="BG409" s="7" t="s">
        <v>206</v>
      </c>
      <c r="BH409" s="7" t="s">
        <v>206</v>
      </c>
      <c r="BI409" s="7"/>
      <c r="BJ409" s="4">
        <v>38</v>
      </c>
      <c r="BK409" s="8">
        <v>2311.3</v>
      </c>
      <c r="BL409" s="2" t="s">
        <v>2896</v>
      </c>
      <c r="BM409" s="7"/>
      <c r="BN409" s="7"/>
      <c r="BO409" s="4"/>
      <c r="BP409" s="8"/>
      <c r="BQ409" s="4"/>
      <c r="BR409" s="8"/>
      <c r="BS409" s="7"/>
      <c r="BT409" s="7"/>
      <c r="BU409" s="2" t="s">
        <v>2897</v>
      </c>
      <c r="BV409" s="2" t="s">
        <v>206</v>
      </c>
      <c r="BW409" s="2" t="s">
        <v>206</v>
      </c>
      <c r="BX409" s="2" t="s">
        <v>426</v>
      </c>
      <c r="BY409" s="2" t="s">
        <v>215</v>
      </c>
      <c r="BZ409" s="2" t="s">
        <v>203</v>
      </c>
      <c r="CA409" s="2" t="s">
        <v>2892</v>
      </c>
      <c r="CB409" s="2" t="s">
        <v>767</v>
      </c>
      <c r="CC409" s="2" t="s">
        <v>218</v>
      </c>
      <c r="CD409" s="2" t="s">
        <v>206</v>
      </c>
      <c r="CE409" s="4">
        <v>114</v>
      </c>
      <c r="CF409" s="4">
        <v>255</v>
      </c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>
        <v>70</v>
      </c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4"/>
      <c r="GA409" s="4"/>
      <c r="GB409" s="4"/>
      <c r="GC409" s="4"/>
      <c r="GD409" s="4"/>
      <c r="GE409" s="4"/>
      <c r="GF409" s="4"/>
    </row>
    <row r="410">
      <c r="A410" s="2" t="s">
        <v>2898</v>
      </c>
      <c r="B410" s="2" t="s">
        <v>800</v>
      </c>
      <c r="C410" s="2" t="s">
        <v>2240</v>
      </c>
      <c r="D410" s="2" t="s">
        <v>1859</v>
      </c>
      <c r="E410" s="2" t="s">
        <v>1860</v>
      </c>
      <c r="F410" s="2" t="s">
        <v>2899</v>
      </c>
      <c r="G410" s="2" t="s">
        <v>2899</v>
      </c>
      <c r="H410" s="2" t="s">
        <v>2899</v>
      </c>
      <c r="I410" s="2" t="s">
        <v>1268</v>
      </c>
      <c r="J410" s="2" t="s">
        <v>201</v>
      </c>
      <c r="K410" s="2" t="s">
        <v>483</v>
      </c>
      <c r="L410" s="3">
        <v>47</v>
      </c>
      <c r="M410" s="3">
        <v>49.35</v>
      </c>
      <c r="N410" s="3">
        <v>99.99</v>
      </c>
      <c r="O410" s="2" t="s">
        <v>203</v>
      </c>
      <c r="P410" s="2" t="s">
        <v>773</v>
      </c>
      <c r="Q410" s="2" t="s">
        <v>205</v>
      </c>
      <c r="R410" s="2" t="s">
        <v>206</v>
      </c>
      <c r="S410" s="2" t="s">
        <v>2900</v>
      </c>
      <c r="T410" s="2" t="s">
        <v>1523</v>
      </c>
      <c r="U410" s="2" t="s">
        <v>437</v>
      </c>
      <c r="V410" s="2" t="s">
        <v>209</v>
      </c>
      <c r="W410" s="2" t="s">
        <v>210</v>
      </c>
      <c r="X410" s="2" t="s">
        <v>206</v>
      </c>
      <c r="Y410" s="2" t="s">
        <v>2901</v>
      </c>
      <c r="Z410" s="4">
        <v>275</v>
      </c>
      <c r="AA410" s="4">
        <f>=ROUNDDOWN(30.5555555555556,0)</f>
      </c>
      <c r="AB410" s="5">
        <v>9</v>
      </c>
      <c r="AC410" s="2" t="s">
        <v>206</v>
      </c>
      <c r="AD410" s="4"/>
      <c r="AE410" s="4"/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206</v>
      </c>
      <c r="AM410" s="4"/>
      <c r="AN410" s="4"/>
      <c r="AO410" s="7"/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/>
      <c r="BD410" s="8"/>
      <c r="BE410" s="4"/>
      <c r="BF410" s="8"/>
      <c r="BG410" s="7"/>
      <c r="BH410" s="7"/>
      <c r="BI410" s="7"/>
      <c r="BJ410" s="4">
        <v>41</v>
      </c>
      <c r="BK410" s="8">
        <v>2139.79</v>
      </c>
      <c r="BL410" s="2" t="s">
        <v>2902</v>
      </c>
      <c r="BM410" s="7"/>
      <c r="BN410" s="7"/>
      <c r="BO410" s="4"/>
      <c r="BP410" s="8"/>
      <c r="BQ410" s="4"/>
      <c r="BR410" s="8"/>
      <c r="BS410" s="7"/>
      <c r="BT410" s="7"/>
      <c r="BU410" s="2" t="s">
        <v>2903</v>
      </c>
      <c r="BV410" s="2" t="s">
        <v>206</v>
      </c>
      <c r="BW410" s="2" t="s">
        <v>206</v>
      </c>
      <c r="BX410" s="2" t="s">
        <v>426</v>
      </c>
      <c r="BY410" s="2" t="s">
        <v>215</v>
      </c>
      <c r="BZ410" s="2" t="s">
        <v>203</v>
      </c>
      <c r="CA410" s="2" t="s">
        <v>2904</v>
      </c>
      <c r="CB410" s="2" t="s">
        <v>2905</v>
      </c>
      <c r="CC410" s="2" t="s">
        <v>218</v>
      </c>
      <c r="CD410" s="2" t="s">
        <v>206</v>
      </c>
      <c r="CE410" s="4"/>
      <c r="CF410" s="4">
        <v>275</v>
      </c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/>
      <c r="FX410" s="4"/>
      <c r="FY410" s="4"/>
      <c r="FZ410" s="4"/>
      <c r="GA410" s="4"/>
      <c r="GB410" s="4"/>
      <c r="GC410" s="4"/>
      <c r="GD410" s="4"/>
      <c r="GE410" s="4"/>
      <c r="GF410" s="4"/>
    </row>
    <row r="411">
      <c r="A411" s="2" t="s">
        <v>2906</v>
      </c>
      <c r="B411" s="2" t="s">
        <v>195</v>
      </c>
      <c r="C411" s="2" t="s">
        <v>1948</v>
      </c>
      <c r="D411" s="2" t="s">
        <v>529</v>
      </c>
      <c r="E411" s="2" t="s">
        <v>2907</v>
      </c>
      <c r="F411" s="2" t="s">
        <v>2908</v>
      </c>
      <c r="G411" s="2" t="s">
        <v>2908</v>
      </c>
      <c r="H411" s="2" t="s">
        <v>2908</v>
      </c>
      <c r="I411" s="2" t="s">
        <v>2909</v>
      </c>
      <c r="J411" s="2" t="s">
        <v>821</v>
      </c>
      <c r="K411" s="2" t="s">
        <v>1497</v>
      </c>
      <c r="L411" s="3">
        <v>35.71</v>
      </c>
      <c r="M411" s="3">
        <v>37.5</v>
      </c>
      <c r="N411" s="3">
        <v>74.99</v>
      </c>
      <c r="O411" s="2" t="s">
        <v>203</v>
      </c>
      <c r="P411" s="2" t="s">
        <v>204</v>
      </c>
      <c r="Q411" s="2" t="s">
        <v>205</v>
      </c>
      <c r="R411" s="2" t="s">
        <v>206</v>
      </c>
      <c r="S411" s="2" t="s">
        <v>2910</v>
      </c>
      <c r="T411" s="2" t="s">
        <v>292</v>
      </c>
      <c r="U411" s="2" t="s">
        <v>437</v>
      </c>
      <c r="V411" s="2" t="s">
        <v>209</v>
      </c>
      <c r="W411" s="2" t="s">
        <v>210</v>
      </c>
      <c r="X411" s="2" t="s">
        <v>206</v>
      </c>
      <c r="Y411" s="2" t="s">
        <v>1260</v>
      </c>
      <c r="Z411" s="4">
        <v>280</v>
      </c>
      <c r="AA411" s="4">
        <f>=ROUNDDOWN(70,0)</f>
      </c>
      <c r="AB411" s="5">
        <v>4</v>
      </c>
      <c r="AC411" s="2" t="s">
        <v>206</v>
      </c>
      <c r="AD411" s="4"/>
      <c r="AE411" s="4"/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206</v>
      </c>
      <c r="AM411" s="4"/>
      <c r="AN411" s="4"/>
      <c r="AO411" s="7"/>
      <c r="AP411" s="4"/>
      <c r="AQ411" s="8"/>
      <c r="AR411" s="4"/>
      <c r="AS411" s="8"/>
      <c r="AT411" s="7"/>
      <c r="AU411" s="7"/>
      <c r="AV411" s="4" t="s">
        <v>206</v>
      </c>
      <c r="AW411" s="8" t="s">
        <v>206</v>
      </c>
      <c r="AX411" s="4" t="s">
        <v>206</v>
      </c>
      <c r="AY411" s="8" t="s">
        <v>206</v>
      </c>
      <c r="AZ411" s="7" t="s">
        <v>206</v>
      </c>
      <c r="BA411" s="7" t="s">
        <v>206</v>
      </c>
      <c r="BB411" s="7"/>
      <c r="BC411" s="4" t="s">
        <v>206</v>
      </c>
      <c r="BD411" s="8" t="s">
        <v>206</v>
      </c>
      <c r="BE411" s="4" t="s">
        <v>206</v>
      </c>
      <c r="BF411" s="8" t="s">
        <v>206</v>
      </c>
      <c r="BG411" s="7" t="s">
        <v>206</v>
      </c>
      <c r="BH411" s="7" t="s">
        <v>206</v>
      </c>
      <c r="BI411" s="7"/>
      <c r="BJ411" s="4">
        <v>13</v>
      </c>
      <c r="BK411" s="8">
        <v>538.23</v>
      </c>
      <c r="BL411" s="2" t="s">
        <v>414</v>
      </c>
      <c r="BM411" s="7"/>
      <c r="BN411" s="7"/>
      <c r="BO411" s="4"/>
      <c r="BP411" s="8"/>
      <c r="BQ411" s="4"/>
      <c r="BR411" s="8"/>
      <c r="BS411" s="7"/>
      <c r="BT411" s="7"/>
      <c r="BU411" s="2" t="s">
        <v>2911</v>
      </c>
      <c r="BV411" s="2" t="s">
        <v>206</v>
      </c>
      <c r="BW411" s="2" t="s">
        <v>206</v>
      </c>
      <c r="BX411" s="2" t="s">
        <v>426</v>
      </c>
      <c r="BY411" s="2" t="s">
        <v>215</v>
      </c>
      <c r="BZ411" s="2" t="s">
        <v>203</v>
      </c>
      <c r="CA411" s="2" t="s">
        <v>2912</v>
      </c>
      <c r="CB411" s="2" t="s">
        <v>2913</v>
      </c>
      <c r="CC411" s="2" t="s">
        <v>218</v>
      </c>
      <c r="CD411" s="2" t="s">
        <v>206</v>
      </c>
      <c r="CE411" s="4">
        <v>280</v>
      </c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  <c r="FW411" s="4"/>
      <c r="FX411" s="4"/>
      <c r="FY411" s="4"/>
      <c r="FZ411" s="4"/>
      <c r="GA411" s="4"/>
      <c r="GB411" s="4"/>
      <c r="GC411" s="4"/>
      <c r="GD411" s="4"/>
      <c r="GE411" s="4"/>
      <c r="GF411" s="4"/>
    </row>
    <row r="412">
      <c r="A412" s="2" t="s">
        <v>2914</v>
      </c>
      <c r="B412" s="2" t="s">
        <v>195</v>
      </c>
      <c r="C412" s="2" t="s">
        <v>1948</v>
      </c>
      <c r="D412" s="2" t="s">
        <v>529</v>
      </c>
      <c r="E412" s="2" t="s">
        <v>2907</v>
      </c>
      <c r="F412" s="2" t="s">
        <v>2908</v>
      </c>
      <c r="G412" s="2" t="s">
        <v>2908</v>
      </c>
      <c r="H412" s="2" t="s">
        <v>2908</v>
      </c>
      <c r="I412" s="2" t="s">
        <v>2909</v>
      </c>
      <c r="J412" s="2" t="s">
        <v>593</v>
      </c>
      <c r="K412" s="2" t="s">
        <v>1497</v>
      </c>
      <c r="L412" s="3">
        <v>45.23</v>
      </c>
      <c r="M412" s="3">
        <v>47.49</v>
      </c>
      <c r="N412" s="3">
        <v>94.99</v>
      </c>
      <c r="O412" s="2" t="s">
        <v>203</v>
      </c>
      <c r="P412" s="2" t="s">
        <v>204</v>
      </c>
      <c r="Q412" s="2" t="s">
        <v>205</v>
      </c>
      <c r="R412" s="2" t="s">
        <v>206</v>
      </c>
      <c r="S412" s="2" t="s">
        <v>2910</v>
      </c>
      <c r="T412" s="2" t="s">
        <v>292</v>
      </c>
      <c r="U412" s="2" t="s">
        <v>437</v>
      </c>
      <c r="V412" s="2" t="s">
        <v>209</v>
      </c>
      <c r="W412" s="2" t="s">
        <v>210</v>
      </c>
      <c r="X412" s="2" t="s">
        <v>206</v>
      </c>
      <c r="Y412" s="2" t="s">
        <v>1260</v>
      </c>
      <c r="Z412" s="4">
        <v>299</v>
      </c>
      <c r="AA412" s="4">
        <f>=ROUNDDOWN(27.1818181818182,0)</f>
      </c>
      <c r="AB412" s="5">
        <v>11</v>
      </c>
      <c r="AC412" s="2" t="s">
        <v>903</v>
      </c>
      <c r="AD412" s="4">
        <v>320</v>
      </c>
      <c r="AE412" s="4">
        <v>320</v>
      </c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206</v>
      </c>
      <c r="AM412" s="4"/>
      <c r="AN412" s="4"/>
      <c r="AO412" s="7"/>
      <c r="AP412" s="4"/>
      <c r="AQ412" s="8"/>
      <c r="AR412" s="4"/>
      <c r="AS412" s="8"/>
      <c r="AT412" s="7"/>
      <c r="AU412" s="7"/>
      <c r="AV412" s="4" t="s">
        <v>206</v>
      </c>
      <c r="AW412" s="8" t="s">
        <v>206</v>
      </c>
      <c r="AX412" s="4" t="s">
        <v>206</v>
      </c>
      <c r="AY412" s="8" t="s">
        <v>206</v>
      </c>
      <c r="AZ412" s="7" t="s">
        <v>206</v>
      </c>
      <c r="BA412" s="7" t="s">
        <v>206</v>
      </c>
      <c r="BB412" s="7"/>
      <c r="BC412" s="4" t="s">
        <v>206</v>
      </c>
      <c r="BD412" s="8" t="s">
        <v>206</v>
      </c>
      <c r="BE412" s="4" t="s">
        <v>206</v>
      </c>
      <c r="BF412" s="8" t="s">
        <v>206</v>
      </c>
      <c r="BG412" s="7" t="s">
        <v>206</v>
      </c>
      <c r="BH412" s="7" t="s">
        <v>206</v>
      </c>
      <c r="BI412" s="7"/>
      <c r="BJ412" s="4">
        <v>50</v>
      </c>
      <c r="BK412" s="8">
        <v>2663.78</v>
      </c>
      <c r="BL412" s="2" t="s">
        <v>380</v>
      </c>
      <c r="BM412" s="7"/>
      <c r="BN412" s="7"/>
      <c r="BO412" s="4"/>
      <c r="BP412" s="8"/>
      <c r="BQ412" s="4"/>
      <c r="BR412" s="8"/>
      <c r="BS412" s="7"/>
      <c r="BT412" s="7"/>
      <c r="BU412" s="2" t="s">
        <v>2915</v>
      </c>
      <c r="BV412" s="2" t="s">
        <v>206</v>
      </c>
      <c r="BW412" s="2" t="s">
        <v>206</v>
      </c>
      <c r="BX412" s="2" t="s">
        <v>426</v>
      </c>
      <c r="BY412" s="2" t="s">
        <v>215</v>
      </c>
      <c r="BZ412" s="2" t="s">
        <v>203</v>
      </c>
      <c r="CA412" s="2" t="s">
        <v>2912</v>
      </c>
      <c r="CB412" s="2" t="s">
        <v>1300</v>
      </c>
      <c r="CC412" s="2" t="s">
        <v>218</v>
      </c>
      <c r="CD412" s="2" t="s">
        <v>206</v>
      </c>
      <c r="CE412" s="4">
        <v>299</v>
      </c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>
        <v>320</v>
      </c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</row>
    <row r="413">
      <c r="A413" s="2" t="s">
        <v>2916</v>
      </c>
      <c r="B413" s="2" t="s">
        <v>195</v>
      </c>
      <c r="C413" s="2" t="s">
        <v>1948</v>
      </c>
      <c r="D413" s="2" t="s">
        <v>529</v>
      </c>
      <c r="E413" s="2" t="s">
        <v>2907</v>
      </c>
      <c r="F413" s="2" t="s">
        <v>2908</v>
      </c>
      <c r="G413" s="2" t="s">
        <v>2908</v>
      </c>
      <c r="H413" s="2" t="s">
        <v>2908</v>
      </c>
      <c r="I413" s="2" t="s">
        <v>2909</v>
      </c>
      <c r="J413" s="2" t="s">
        <v>821</v>
      </c>
      <c r="K413" s="2" t="s">
        <v>1508</v>
      </c>
      <c r="L413" s="3">
        <v>35.71</v>
      </c>
      <c r="M413" s="3">
        <v>37.5</v>
      </c>
      <c r="N413" s="3">
        <v>74.99</v>
      </c>
      <c r="O413" s="2" t="s">
        <v>203</v>
      </c>
      <c r="P413" s="2" t="s">
        <v>204</v>
      </c>
      <c r="Q413" s="2" t="s">
        <v>205</v>
      </c>
      <c r="R413" s="2" t="s">
        <v>206</v>
      </c>
      <c r="S413" s="2" t="s">
        <v>2917</v>
      </c>
      <c r="T413" s="2" t="s">
        <v>292</v>
      </c>
      <c r="U413" s="2" t="s">
        <v>437</v>
      </c>
      <c r="V413" s="2" t="s">
        <v>209</v>
      </c>
      <c r="W413" s="2" t="s">
        <v>210</v>
      </c>
      <c r="X413" s="2" t="s">
        <v>206</v>
      </c>
      <c r="Y413" s="2" t="s">
        <v>1260</v>
      </c>
      <c r="Z413" s="4">
        <v>234</v>
      </c>
      <c r="AA413" s="4">
        <f>=ROUNDDOWN(39,0)</f>
      </c>
      <c r="AB413" s="5">
        <v>6</v>
      </c>
      <c r="AC413" s="2" t="s">
        <v>903</v>
      </c>
      <c r="AD413" s="4">
        <v>40</v>
      </c>
      <c r="AE413" s="4">
        <v>40</v>
      </c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206</v>
      </c>
      <c r="AM413" s="4"/>
      <c r="AN413" s="4"/>
      <c r="AO413" s="7"/>
      <c r="AP413" s="4"/>
      <c r="AQ413" s="8"/>
      <c r="AR413" s="4"/>
      <c r="AS413" s="8"/>
      <c r="AT413" s="7"/>
      <c r="AU413" s="7"/>
      <c r="AV413" s="4" t="s">
        <v>206</v>
      </c>
      <c r="AW413" s="8" t="s">
        <v>206</v>
      </c>
      <c r="AX413" s="4" t="s">
        <v>206</v>
      </c>
      <c r="AY413" s="8" t="s">
        <v>206</v>
      </c>
      <c r="AZ413" s="7" t="s">
        <v>206</v>
      </c>
      <c r="BA413" s="7" t="s">
        <v>206</v>
      </c>
      <c r="BB413" s="7"/>
      <c r="BC413" s="4" t="s">
        <v>206</v>
      </c>
      <c r="BD413" s="8" t="s">
        <v>206</v>
      </c>
      <c r="BE413" s="4" t="s">
        <v>206</v>
      </c>
      <c r="BF413" s="8" t="s">
        <v>206</v>
      </c>
      <c r="BG413" s="7" t="s">
        <v>206</v>
      </c>
      <c r="BH413" s="7" t="s">
        <v>206</v>
      </c>
      <c r="BI413" s="7"/>
      <c r="BJ413" s="4">
        <v>29</v>
      </c>
      <c r="BK413" s="8">
        <v>1163.98</v>
      </c>
      <c r="BL413" s="2" t="s">
        <v>1881</v>
      </c>
      <c r="BM413" s="7"/>
      <c r="BN413" s="7"/>
      <c r="BO413" s="4"/>
      <c r="BP413" s="8"/>
      <c r="BQ413" s="4"/>
      <c r="BR413" s="8"/>
      <c r="BS413" s="7"/>
      <c r="BT413" s="7"/>
      <c r="BU413" s="2" t="s">
        <v>2918</v>
      </c>
      <c r="BV413" s="2" t="s">
        <v>206</v>
      </c>
      <c r="BW413" s="2" t="s">
        <v>206</v>
      </c>
      <c r="BX413" s="2" t="s">
        <v>426</v>
      </c>
      <c r="BY413" s="2" t="s">
        <v>215</v>
      </c>
      <c r="BZ413" s="2" t="s">
        <v>203</v>
      </c>
      <c r="CA413" s="2" t="s">
        <v>2912</v>
      </c>
      <c r="CB413" s="2" t="s">
        <v>2919</v>
      </c>
      <c r="CC413" s="2" t="s">
        <v>218</v>
      </c>
      <c r="CD413" s="2" t="s">
        <v>206</v>
      </c>
      <c r="CE413" s="4">
        <v>234</v>
      </c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>
        <v>40</v>
      </c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4"/>
      <c r="GA413" s="4"/>
      <c r="GB413" s="4"/>
      <c r="GC413" s="4"/>
      <c r="GD413" s="4"/>
      <c r="GE413" s="4"/>
      <c r="GF413" s="4"/>
    </row>
    <row r="414">
      <c r="A414" s="2" t="s">
        <v>2920</v>
      </c>
      <c r="B414" s="2" t="s">
        <v>195</v>
      </c>
      <c r="C414" s="2" t="s">
        <v>1948</v>
      </c>
      <c r="D414" s="2" t="s">
        <v>529</v>
      </c>
      <c r="E414" s="2" t="s">
        <v>2907</v>
      </c>
      <c r="F414" s="2" t="s">
        <v>2908</v>
      </c>
      <c r="G414" s="2" t="s">
        <v>2908</v>
      </c>
      <c r="H414" s="2" t="s">
        <v>2908</v>
      </c>
      <c r="I414" s="2" t="s">
        <v>2909</v>
      </c>
      <c r="J414" s="2" t="s">
        <v>593</v>
      </c>
      <c r="K414" s="2" t="s">
        <v>1508</v>
      </c>
      <c r="L414" s="3">
        <v>45.23</v>
      </c>
      <c r="M414" s="3">
        <v>47.49</v>
      </c>
      <c r="N414" s="3">
        <v>94.99</v>
      </c>
      <c r="O414" s="2" t="s">
        <v>203</v>
      </c>
      <c r="P414" s="2" t="s">
        <v>204</v>
      </c>
      <c r="Q414" s="2" t="s">
        <v>205</v>
      </c>
      <c r="R414" s="2" t="s">
        <v>206</v>
      </c>
      <c r="S414" s="2" t="s">
        <v>2917</v>
      </c>
      <c r="T414" s="2" t="s">
        <v>292</v>
      </c>
      <c r="U414" s="2" t="s">
        <v>437</v>
      </c>
      <c r="V414" s="2" t="s">
        <v>209</v>
      </c>
      <c r="W414" s="2" t="s">
        <v>210</v>
      </c>
      <c r="X414" s="2" t="s">
        <v>206</v>
      </c>
      <c r="Y414" s="2" t="s">
        <v>1260</v>
      </c>
      <c r="Z414" s="4">
        <v>275</v>
      </c>
      <c r="AA414" s="4">
        <f>=ROUNDDOWN(30.5555555555556,0)</f>
      </c>
      <c r="AB414" s="5">
        <v>9</v>
      </c>
      <c r="AC414" s="2" t="s">
        <v>903</v>
      </c>
      <c r="AD414" s="4">
        <v>140</v>
      </c>
      <c r="AE414" s="4">
        <v>140</v>
      </c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206</v>
      </c>
      <c r="AM414" s="4"/>
      <c r="AN414" s="4"/>
      <c r="AO414" s="7"/>
      <c r="AP414" s="4"/>
      <c r="AQ414" s="8"/>
      <c r="AR414" s="4"/>
      <c r="AS414" s="8"/>
      <c r="AT414" s="7"/>
      <c r="AU414" s="7"/>
      <c r="AV414" s="4" t="s">
        <v>206</v>
      </c>
      <c r="AW414" s="8" t="s">
        <v>206</v>
      </c>
      <c r="AX414" s="4" t="s">
        <v>206</v>
      </c>
      <c r="AY414" s="8" t="s">
        <v>206</v>
      </c>
      <c r="AZ414" s="7" t="s">
        <v>206</v>
      </c>
      <c r="BA414" s="7" t="s">
        <v>206</v>
      </c>
      <c r="BB414" s="7"/>
      <c r="BC414" s="4" t="s">
        <v>206</v>
      </c>
      <c r="BD414" s="8" t="s">
        <v>206</v>
      </c>
      <c r="BE414" s="4" t="s">
        <v>206</v>
      </c>
      <c r="BF414" s="8" t="s">
        <v>206</v>
      </c>
      <c r="BG414" s="7" t="s">
        <v>206</v>
      </c>
      <c r="BH414" s="7" t="s">
        <v>206</v>
      </c>
      <c r="BI414" s="7"/>
      <c r="BJ414" s="4">
        <v>46</v>
      </c>
      <c r="BK414" s="8">
        <v>2338.52</v>
      </c>
      <c r="BL414" s="2" t="s">
        <v>2104</v>
      </c>
      <c r="BM414" s="7"/>
      <c r="BN414" s="7"/>
      <c r="BO414" s="4"/>
      <c r="BP414" s="8"/>
      <c r="BQ414" s="4"/>
      <c r="BR414" s="8"/>
      <c r="BS414" s="7"/>
      <c r="BT414" s="7"/>
      <c r="BU414" s="2" t="s">
        <v>2921</v>
      </c>
      <c r="BV414" s="2" t="s">
        <v>206</v>
      </c>
      <c r="BW414" s="2" t="s">
        <v>206</v>
      </c>
      <c r="BX414" s="2" t="s">
        <v>426</v>
      </c>
      <c r="BY414" s="2" t="s">
        <v>215</v>
      </c>
      <c r="BZ414" s="2" t="s">
        <v>203</v>
      </c>
      <c r="CA414" s="2" t="s">
        <v>2912</v>
      </c>
      <c r="CB414" s="2" t="s">
        <v>2922</v>
      </c>
      <c r="CC414" s="2" t="s">
        <v>218</v>
      </c>
      <c r="CD414" s="2" t="s">
        <v>206</v>
      </c>
      <c r="CE414" s="4">
        <v>275</v>
      </c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>
        <v>140</v>
      </c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  <c r="FW414" s="4"/>
      <c r="FX414" s="4"/>
      <c r="FY414" s="4"/>
      <c r="FZ414" s="4"/>
      <c r="GA414" s="4"/>
      <c r="GB414" s="4"/>
      <c r="GC414" s="4"/>
      <c r="GD414" s="4"/>
      <c r="GE414" s="4"/>
      <c r="GF414" s="4"/>
    </row>
    <row r="415">
      <c r="A415" s="2" t="s">
        <v>2923</v>
      </c>
      <c r="B415" s="2" t="s">
        <v>195</v>
      </c>
      <c r="C415" s="2" t="s">
        <v>1948</v>
      </c>
      <c r="D415" s="2" t="s">
        <v>529</v>
      </c>
      <c r="E415" s="2" t="s">
        <v>2907</v>
      </c>
      <c r="F415" s="2" t="s">
        <v>2908</v>
      </c>
      <c r="G415" s="2" t="s">
        <v>2908</v>
      </c>
      <c r="H415" s="2" t="s">
        <v>2908</v>
      </c>
      <c r="I415" s="2" t="s">
        <v>2909</v>
      </c>
      <c r="J415" s="2" t="s">
        <v>582</v>
      </c>
      <c r="K415" s="2" t="s">
        <v>1508</v>
      </c>
      <c r="L415" s="3">
        <v>52.38</v>
      </c>
      <c r="M415" s="3">
        <v>55</v>
      </c>
      <c r="N415" s="3">
        <v>109.99</v>
      </c>
      <c r="O415" s="2" t="s">
        <v>203</v>
      </c>
      <c r="P415" s="2" t="s">
        <v>204</v>
      </c>
      <c r="Q415" s="2" t="s">
        <v>205</v>
      </c>
      <c r="R415" s="2" t="s">
        <v>206</v>
      </c>
      <c r="S415" s="2" t="s">
        <v>2917</v>
      </c>
      <c r="T415" s="2" t="s">
        <v>292</v>
      </c>
      <c r="U415" s="2" t="s">
        <v>437</v>
      </c>
      <c r="V415" s="2" t="s">
        <v>209</v>
      </c>
      <c r="W415" s="2" t="s">
        <v>210</v>
      </c>
      <c r="X415" s="2" t="s">
        <v>206</v>
      </c>
      <c r="Y415" s="2" t="s">
        <v>1260</v>
      </c>
      <c r="Z415" s="4">
        <v>273</v>
      </c>
      <c r="AA415" s="4">
        <f>=ROUNDDOWN(27.3,0)</f>
      </c>
      <c r="AB415" s="5">
        <v>10</v>
      </c>
      <c r="AC415" s="2" t="s">
        <v>903</v>
      </c>
      <c r="AD415" s="4">
        <v>160</v>
      </c>
      <c r="AE415" s="4">
        <v>160</v>
      </c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206</v>
      </c>
      <c r="AM415" s="4"/>
      <c r="AN415" s="4"/>
      <c r="AO415" s="7"/>
      <c r="AP415" s="4"/>
      <c r="AQ415" s="8"/>
      <c r="AR415" s="4"/>
      <c r="AS415" s="8"/>
      <c r="AT415" s="7"/>
      <c r="AU415" s="7"/>
      <c r="AV415" s="4" t="s">
        <v>206</v>
      </c>
      <c r="AW415" s="8" t="s">
        <v>206</v>
      </c>
      <c r="AX415" s="4" t="s">
        <v>206</v>
      </c>
      <c r="AY415" s="8" t="s">
        <v>206</v>
      </c>
      <c r="AZ415" s="7" t="s">
        <v>206</v>
      </c>
      <c r="BA415" s="7" t="s">
        <v>206</v>
      </c>
      <c r="BB415" s="7"/>
      <c r="BC415" s="4" t="s">
        <v>206</v>
      </c>
      <c r="BD415" s="8" t="s">
        <v>206</v>
      </c>
      <c r="BE415" s="4" t="s">
        <v>206</v>
      </c>
      <c r="BF415" s="8" t="s">
        <v>206</v>
      </c>
      <c r="BG415" s="7" t="s">
        <v>206</v>
      </c>
      <c r="BH415" s="7" t="s">
        <v>206</v>
      </c>
      <c r="BI415" s="7"/>
      <c r="BJ415" s="4">
        <v>69</v>
      </c>
      <c r="BK415" s="8">
        <v>4052.95</v>
      </c>
      <c r="BL415" s="2" t="s">
        <v>1590</v>
      </c>
      <c r="BM415" s="7"/>
      <c r="BN415" s="7"/>
      <c r="BO415" s="4"/>
      <c r="BP415" s="8"/>
      <c r="BQ415" s="4"/>
      <c r="BR415" s="8"/>
      <c r="BS415" s="7"/>
      <c r="BT415" s="7"/>
      <c r="BU415" s="2" t="s">
        <v>2924</v>
      </c>
      <c r="BV415" s="2" t="s">
        <v>206</v>
      </c>
      <c r="BW415" s="2" t="s">
        <v>206</v>
      </c>
      <c r="BX415" s="2" t="s">
        <v>426</v>
      </c>
      <c r="BY415" s="2" t="s">
        <v>215</v>
      </c>
      <c r="BZ415" s="2" t="s">
        <v>203</v>
      </c>
      <c r="CA415" s="2" t="s">
        <v>2912</v>
      </c>
      <c r="CB415" s="2" t="s">
        <v>2925</v>
      </c>
      <c r="CC415" s="2" t="s">
        <v>218</v>
      </c>
      <c r="CD415" s="2" t="s">
        <v>206</v>
      </c>
      <c r="CE415" s="4">
        <v>273</v>
      </c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>
        <v>160</v>
      </c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  <c r="FW415" s="4"/>
      <c r="FX415" s="4"/>
      <c r="FY415" s="4"/>
      <c r="FZ415" s="4"/>
      <c r="GA415" s="4"/>
      <c r="GB415" s="4"/>
      <c r="GC415" s="4"/>
      <c r="GD415" s="4"/>
      <c r="GE415" s="4"/>
      <c r="GF415" s="4"/>
    </row>
    <row r="416">
      <c r="A416" s="2" t="s">
        <v>2926</v>
      </c>
      <c r="B416" s="2" t="s">
        <v>528</v>
      </c>
      <c r="C416" s="2" t="s">
        <v>287</v>
      </c>
      <c r="D416" s="2" t="s">
        <v>529</v>
      </c>
      <c r="E416" s="2" t="s">
        <v>816</v>
      </c>
      <c r="F416" s="2" t="s">
        <v>2927</v>
      </c>
      <c r="G416" s="2" t="s">
        <v>2928</v>
      </c>
      <c r="H416" s="2" t="s">
        <v>2929</v>
      </c>
      <c r="I416" s="2" t="s">
        <v>2930</v>
      </c>
      <c r="J416" s="2" t="s">
        <v>582</v>
      </c>
      <c r="K416" s="2" t="s">
        <v>336</v>
      </c>
      <c r="L416" s="3">
        <v>67.2</v>
      </c>
      <c r="M416" s="3">
        <v>70.55</v>
      </c>
      <c r="N416" s="3">
        <v>139.99</v>
      </c>
      <c r="O416" s="2" t="s">
        <v>203</v>
      </c>
      <c r="P416" s="2" t="s">
        <v>492</v>
      </c>
      <c r="Q416" s="2" t="s">
        <v>205</v>
      </c>
      <c r="R416" s="2" t="s">
        <v>206</v>
      </c>
      <c r="S416" s="2" t="s">
        <v>2931</v>
      </c>
      <c r="T416" s="2" t="s">
        <v>206</v>
      </c>
      <c r="U416" s="2" t="s">
        <v>2932</v>
      </c>
      <c r="V416" s="2" t="s">
        <v>2933</v>
      </c>
      <c r="W416" s="2" t="s">
        <v>539</v>
      </c>
      <c r="X416" s="2" t="s">
        <v>2934</v>
      </c>
      <c r="Y416" s="2" t="s">
        <v>2264</v>
      </c>
      <c r="Z416" s="4">
        <v>1054</v>
      </c>
      <c r="AA416" s="4">
        <f>=ROUNDDOWN(26.35,0)</f>
      </c>
      <c r="AB416" s="5">
        <v>40</v>
      </c>
      <c r="AC416" s="2" t="s">
        <v>118</v>
      </c>
      <c r="AD416" s="4">
        <v>200</v>
      </c>
      <c r="AE416" s="4">
        <v>740</v>
      </c>
      <c r="AF416" s="6">
        <v>69</v>
      </c>
      <c r="AG416" s="6">
        <v>77</v>
      </c>
      <c r="AH416" s="7">
        <v>1</v>
      </c>
      <c r="AI416" s="4"/>
      <c r="AJ416" s="4">
        <f>=ROUNDDOWN({0},0)</f>
      </c>
      <c r="AK416" s="5"/>
      <c r="AL416" s="2" t="s">
        <v>206</v>
      </c>
      <c r="AM416" s="4"/>
      <c r="AN416" s="4"/>
      <c r="AO416" s="7"/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/>
      <c r="BD416" s="8"/>
      <c r="BE416" s="4"/>
      <c r="BF416" s="8"/>
      <c r="BG416" s="7"/>
      <c r="BH416" s="7"/>
      <c r="BI416" s="7"/>
      <c r="BJ416" s="4">
        <v>185</v>
      </c>
      <c r="BK416" s="8">
        <v>13831.81</v>
      </c>
      <c r="BL416" s="2" t="s">
        <v>2935</v>
      </c>
      <c r="BM416" s="7"/>
      <c r="BN416" s="7"/>
      <c r="BO416" s="4"/>
      <c r="BP416" s="8"/>
      <c r="BQ416" s="4"/>
      <c r="BR416" s="8"/>
      <c r="BS416" s="7"/>
      <c r="BT416" s="7"/>
      <c r="BU416" s="2" t="s">
        <v>2936</v>
      </c>
      <c r="BV416" s="2" t="s">
        <v>206</v>
      </c>
      <c r="BW416" s="2" t="s">
        <v>206</v>
      </c>
      <c r="BX416" s="2" t="s">
        <v>426</v>
      </c>
      <c r="BY416" s="2" t="s">
        <v>215</v>
      </c>
      <c r="BZ416" s="2" t="s">
        <v>203</v>
      </c>
      <c r="CA416" s="2" t="s">
        <v>2776</v>
      </c>
      <c r="CB416" s="2" t="s">
        <v>2937</v>
      </c>
      <c r="CC416" s="2" t="s">
        <v>218</v>
      </c>
      <c r="CD416" s="2" t="s">
        <v>206</v>
      </c>
      <c r="CE416" s="4">
        <v>815</v>
      </c>
      <c r="CF416" s="4">
        <v>163</v>
      </c>
      <c r="CG416" s="4"/>
      <c r="CH416" s="4">
        <v>76</v>
      </c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>
        <v>200</v>
      </c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>
        <v>40</v>
      </c>
      <c r="DU416" s="4"/>
      <c r="DV416" s="4"/>
      <c r="DW416" s="4"/>
      <c r="DX416" s="4"/>
      <c r="DY416" s="4"/>
      <c r="DZ416" s="4"/>
      <c r="EA416" s="4"/>
      <c r="EB416" s="4"/>
      <c r="EC416" s="4"/>
      <c r="ED416" s="4">
        <v>300</v>
      </c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>
        <v>200</v>
      </c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  <c r="FW416" s="4"/>
      <c r="FX416" s="4"/>
      <c r="FY416" s="4"/>
      <c r="FZ416" s="4"/>
      <c r="GA416" s="4"/>
      <c r="GB416" s="4"/>
      <c r="GC416" s="4"/>
      <c r="GD416" s="4"/>
      <c r="GE416" s="4"/>
      <c r="GF416" s="4"/>
    </row>
    <row r="417">
      <c r="A417" s="2" t="s">
        <v>2938</v>
      </c>
      <c r="B417" s="2" t="s">
        <v>461</v>
      </c>
      <c r="C417" s="2" t="s">
        <v>287</v>
      </c>
      <c r="D417" s="2" t="s">
        <v>975</v>
      </c>
      <c r="E417" s="2" t="s">
        <v>976</v>
      </c>
      <c r="F417" s="2" t="s">
        <v>2939</v>
      </c>
      <c r="G417" s="2" t="s">
        <v>2940</v>
      </c>
      <c r="H417" s="2" t="s">
        <v>2941</v>
      </c>
      <c r="I417" s="2" t="s">
        <v>1208</v>
      </c>
      <c r="J417" s="2" t="s">
        <v>434</v>
      </c>
      <c r="K417" s="2" t="s">
        <v>336</v>
      </c>
      <c r="L417" s="3">
        <v>207.9</v>
      </c>
      <c r="M417" s="3">
        <v>218.3</v>
      </c>
      <c r="N417" s="3">
        <v>439</v>
      </c>
      <c r="O417" s="2" t="s">
        <v>203</v>
      </c>
      <c r="P417" s="2" t="s">
        <v>467</v>
      </c>
      <c r="Q417" s="2" t="s">
        <v>205</v>
      </c>
      <c r="R417" s="2" t="s">
        <v>206</v>
      </c>
      <c r="S417" s="2" t="s">
        <v>206</v>
      </c>
      <c r="T417" s="2" t="s">
        <v>206</v>
      </c>
      <c r="U417" s="2" t="s">
        <v>206</v>
      </c>
      <c r="V417" s="2" t="s">
        <v>209</v>
      </c>
      <c r="W417" s="2" t="s">
        <v>210</v>
      </c>
      <c r="X417" s="2" t="s">
        <v>206</v>
      </c>
      <c r="Y417" s="2" t="s">
        <v>2942</v>
      </c>
      <c r="Z417" s="4">
        <v>37</v>
      </c>
      <c r="AA417" s="4">
        <f>=ROUNDDOWN(12.3333333333333,0)</f>
      </c>
      <c r="AB417" s="5">
        <v>3</v>
      </c>
      <c r="AC417" s="2" t="s">
        <v>127</v>
      </c>
      <c r="AD417" s="4">
        <v>92</v>
      </c>
      <c r="AE417" s="4">
        <v>92</v>
      </c>
      <c r="AF417" s="6">
        <v>66</v>
      </c>
      <c r="AG417" s="6"/>
      <c r="AH417" s="7">
        <v>1</v>
      </c>
      <c r="AI417" s="4"/>
      <c r="AJ417" s="4">
        <f>=ROUNDDOWN({0},0)</f>
      </c>
      <c r="AK417" s="5"/>
      <c r="AL417" s="2" t="s">
        <v>206</v>
      </c>
      <c r="AM417" s="4"/>
      <c r="AN417" s="4"/>
      <c r="AO417" s="7"/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/>
      <c r="BD417" s="8"/>
      <c r="BE417" s="4"/>
      <c r="BF417" s="8"/>
      <c r="BG417" s="7"/>
      <c r="BH417" s="7"/>
      <c r="BI417" s="7"/>
      <c r="BJ417" s="4">
        <v>13</v>
      </c>
      <c r="BK417" s="8">
        <v>2597.35</v>
      </c>
      <c r="BL417" s="2" t="s">
        <v>2943</v>
      </c>
      <c r="BM417" s="7"/>
      <c r="BN417" s="7"/>
      <c r="BO417" s="4"/>
      <c r="BP417" s="8"/>
      <c r="BQ417" s="4"/>
      <c r="BR417" s="8"/>
      <c r="BS417" s="7"/>
      <c r="BT417" s="7"/>
      <c r="BU417" s="2" t="s">
        <v>2944</v>
      </c>
      <c r="BV417" s="2" t="s">
        <v>206</v>
      </c>
      <c r="BW417" s="2" t="s">
        <v>206</v>
      </c>
      <c r="BX417" s="2" t="s">
        <v>214</v>
      </c>
      <c r="BY417" s="2" t="s">
        <v>215</v>
      </c>
      <c r="BZ417" s="2" t="s">
        <v>203</v>
      </c>
      <c r="CA417" s="2" t="s">
        <v>1660</v>
      </c>
      <c r="CB417" s="2" t="s">
        <v>2945</v>
      </c>
      <c r="CC417" s="2" t="s">
        <v>218</v>
      </c>
      <c r="CD417" s="2" t="s">
        <v>206</v>
      </c>
      <c r="CE417" s="4"/>
      <c r="CF417" s="4">
        <v>37</v>
      </c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>
        <v>92</v>
      </c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  <c r="FW417" s="4"/>
      <c r="FX417" s="4"/>
      <c r="FY417" s="4"/>
      <c r="FZ417" s="4"/>
      <c r="GA417" s="4"/>
      <c r="GB417" s="4"/>
      <c r="GC417" s="4"/>
      <c r="GD417" s="4"/>
      <c r="GE417" s="4"/>
      <c r="GF417" s="4"/>
    </row>
    <row r="418">
      <c r="A418" s="2" t="s">
        <v>2946</v>
      </c>
      <c r="B418" s="2" t="s">
        <v>195</v>
      </c>
      <c r="C418" s="2" t="s">
        <v>196</v>
      </c>
      <c r="D418" s="2" t="s">
        <v>197</v>
      </c>
      <c r="E418" s="2" t="s">
        <v>2947</v>
      </c>
      <c r="F418" s="2" t="s">
        <v>2948</v>
      </c>
      <c r="G418" s="2" t="s">
        <v>2949</v>
      </c>
      <c r="H418" s="2" t="s">
        <v>2949</v>
      </c>
      <c r="I418" s="2" t="s">
        <v>2950</v>
      </c>
      <c r="J418" s="2" t="s">
        <v>290</v>
      </c>
      <c r="K418" s="2" t="s">
        <v>202</v>
      </c>
      <c r="L418" s="3">
        <v>11.43</v>
      </c>
      <c r="M418" s="3">
        <v>12</v>
      </c>
      <c r="N418" s="3">
        <v>21.99</v>
      </c>
      <c r="O418" s="2" t="s">
        <v>203</v>
      </c>
      <c r="P418" s="2" t="s">
        <v>204</v>
      </c>
      <c r="Q418" s="2" t="s">
        <v>205</v>
      </c>
      <c r="R418" s="2" t="s">
        <v>206</v>
      </c>
      <c r="S418" s="2" t="s">
        <v>2951</v>
      </c>
      <c r="T418" s="2" t="s">
        <v>292</v>
      </c>
      <c r="U418" s="2" t="s">
        <v>206</v>
      </c>
      <c r="V418" s="2" t="s">
        <v>209</v>
      </c>
      <c r="W418" s="2" t="s">
        <v>210</v>
      </c>
      <c r="X418" s="2" t="s">
        <v>206</v>
      </c>
      <c r="Y418" s="2" t="s">
        <v>211</v>
      </c>
      <c r="Z418" s="4">
        <v>444</v>
      </c>
      <c r="AA418" s="4">
        <f>=ROUNDDOWN(9.65217391304348,0)</f>
      </c>
      <c r="AB418" s="5">
        <v>46</v>
      </c>
      <c r="AC418" s="2" t="s">
        <v>126</v>
      </c>
      <c r="AD418" s="4">
        <v>100</v>
      </c>
      <c r="AE418" s="4">
        <v>730</v>
      </c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206</v>
      </c>
      <c r="AM418" s="4"/>
      <c r="AN418" s="4"/>
      <c r="AO418" s="7"/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/>
      <c r="BD418" s="8"/>
      <c r="BE418" s="4"/>
      <c r="BF418" s="8"/>
      <c r="BG418" s="7"/>
      <c r="BH418" s="7"/>
      <c r="BI418" s="7"/>
      <c r="BJ418" s="4">
        <v>301</v>
      </c>
      <c r="BK418" s="8">
        <v>4392.02</v>
      </c>
      <c r="BL418" s="2" t="s">
        <v>2952</v>
      </c>
      <c r="BM418" s="7"/>
      <c r="BN418" s="7"/>
      <c r="BO418" s="4"/>
      <c r="BP418" s="8"/>
      <c r="BQ418" s="4"/>
      <c r="BR418" s="8"/>
      <c r="BS418" s="7"/>
      <c r="BT418" s="7"/>
      <c r="BU418" s="2" t="s">
        <v>2953</v>
      </c>
      <c r="BV418" s="2" t="s">
        <v>206</v>
      </c>
      <c r="BW418" s="2" t="s">
        <v>206</v>
      </c>
      <c r="BX418" s="2" t="s">
        <v>214</v>
      </c>
      <c r="BY418" s="2" t="s">
        <v>215</v>
      </c>
      <c r="BZ418" s="2" t="s">
        <v>203</v>
      </c>
      <c r="CA418" s="2" t="s">
        <v>216</v>
      </c>
      <c r="CB418" s="2" t="s">
        <v>826</v>
      </c>
      <c r="CC418" s="2" t="s">
        <v>218</v>
      </c>
      <c r="CD418" s="2" t="s">
        <v>206</v>
      </c>
      <c r="CE418" s="4">
        <v>354</v>
      </c>
      <c r="CF418" s="4"/>
      <c r="CG418" s="4"/>
      <c r="CH418" s="4"/>
      <c r="CI418" s="4"/>
      <c r="CJ418" s="4"/>
      <c r="CK418" s="4"/>
      <c r="CL418" s="4"/>
      <c r="CM418" s="4"/>
      <c r="CN418" s="4"/>
      <c r="CO418" s="4">
        <v>90</v>
      </c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>
        <v>100</v>
      </c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>
        <v>210</v>
      </c>
      <c r="ER418" s="4"/>
      <c r="ES418" s="4"/>
      <c r="ET418" s="4"/>
      <c r="EU418" s="4"/>
      <c r="EV418" s="4"/>
      <c r="EW418" s="4"/>
      <c r="EX418" s="4"/>
      <c r="EY418" s="4"/>
      <c r="EZ418" s="4"/>
      <c r="FA418" s="4">
        <v>140</v>
      </c>
      <c r="FB418" s="4"/>
      <c r="FC418" s="4"/>
      <c r="FD418" s="4"/>
      <c r="FE418" s="4"/>
      <c r="FF418" s="4"/>
      <c r="FG418" s="4"/>
      <c r="FH418" s="4">
        <v>280</v>
      </c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  <c r="FW418" s="4"/>
      <c r="FX418" s="4"/>
      <c r="FY418" s="4"/>
      <c r="FZ418" s="4"/>
      <c r="GA418" s="4"/>
      <c r="GB418" s="4"/>
      <c r="GC418" s="4"/>
      <c r="GD418" s="4"/>
      <c r="GE418" s="4"/>
      <c r="GF418" s="4"/>
    </row>
    <row r="419">
      <c r="A419" s="2" t="s">
        <v>2954</v>
      </c>
      <c r="B419" s="2" t="s">
        <v>461</v>
      </c>
      <c r="C419" s="2" t="s">
        <v>287</v>
      </c>
      <c r="D419" s="2" t="s">
        <v>975</v>
      </c>
      <c r="E419" s="2" t="s">
        <v>1206</v>
      </c>
      <c r="F419" s="2" t="s">
        <v>2955</v>
      </c>
      <c r="G419" s="2" t="s">
        <v>2956</v>
      </c>
      <c r="H419" s="2" t="s">
        <v>2957</v>
      </c>
      <c r="I419" s="2" t="s">
        <v>2958</v>
      </c>
      <c r="J419" s="2" t="s">
        <v>434</v>
      </c>
      <c r="K419" s="2" t="s">
        <v>336</v>
      </c>
      <c r="L419" s="3">
        <v>158.36</v>
      </c>
      <c r="M419" s="3">
        <v>166.28</v>
      </c>
      <c r="N419" s="3">
        <v>329</v>
      </c>
      <c r="O419" s="2" t="s">
        <v>203</v>
      </c>
      <c r="P419" s="2" t="s">
        <v>467</v>
      </c>
      <c r="Q419" s="2" t="s">
        <v>205</v>
      </c>
      <c r="R419" s="2" t="s">
        <v>206</v>
      </c>
      <c r="S419" s="2" t="s">
        <v>2959</v>
      </c>
      <c r="T419" s="2" t="s">
        <v>206</v>
      </c>
      <c r="U419" s="2" t="s">
        <v>206</v>
      </c>
      <c r="V419" s="2" t="s">
        <v>209</v>
      </c>
      <c r="W419" s="2" t="s">
        <v>439</v>
      </c>
      <c r="X419" s="2" t="s">
        <v>206</v>
      </c>
      <c r="Y419" s="2" t="s">
        <v>211</v>
      </c>
      <c r="Z419" s="4">
        <v>60</v>
      </c>
      <c r="AA419" s="4">
        <f>=ROUNDDOWN(30,0)</f>
      </c>
      <c r="AB419" s="5">
        <v>2</v>
      </c>
      <c r="AC419" s="2" t="s">
        <v>441</v>
      </c>
      <c r="AD419" s="4">
        <v>38</v>
      </c>
      <c r="AE419" s="4">
        <v>38</v>
      </c>
      <c r="AF419" s="6">
        <v>66</v>
      </c>
      <c r="AG419" s="6">
        <v>49</v>
      </c>
      <c r="AH419" s="7">
        <v>1</v>
      </c>
      <c r="AI419" s="4"/>
      <c r="AJ419" s="4">
        <f>=ROUNDDOWN({0},0)</f>
      </c>
      <c r="AK419" s="5"/>
      <c r="AL419" s="2" t="s">
        <v>206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/>
      <c r="BD419" s="8"/>
      <c r="BE419" s="4"/>
      <c r="BF419" s="8"/>
      <c r="BG419" s="7"/>
      <c r="BH419" s="7"/>
      <c r="BI419" s="7"/>
      <c r="BJ419" s="4">
        <v>7</v>
      </c>
      <c r="BK419" s="8">
        <v>1041.39</v>
      </c>
      <c r="BL419" s="2" t="s">
        <v>2960</v>
      </c>
      <c r="BM419" s="7"/>
      <c r="BN419" s="7"/>
      <c r="BO419" s="4"/>
      <c r="BP419" s="8"/>
      <c r="BQ419" s="4"/>
      <c r="BR419" s="8"/>
      <c r="BS419" s="7"/>
      <c r="BT419" s="7"/>
      <c r="BU419" s="2" t="s">
        <v>2961</v>
      </c>
      <c r="BV419" s="2" t="s">
        <v>206</v>
      </c>
      <c r="BW419" s="2" t="s">
        <v>206</v>
      </c>
      <c r="BX419" s="2" t="s">
        <v>426</v>
      </c>
      <c r="BY419" s="2" t="s">
        <v>215</v>
      </c>
      <c r="BZ419" s="2" t="s">
        <v>203</v>
      </c>
      <c r="CA419" s="2" t="s">
        <v>216</v>
      </c>
      <c r="CB419" s="2" t="s">
        <v>2962</v>
      </c>
      <c r="CC419" s="2" t="s">
        <v>218</v>
      </c>
      <c r="CD419" s="2" t="s">
        <v>206</v>
      </c>
      <c r="CE419" s="4"/>
      <c r="CF419" s="4">
        <v>60</v>
      </c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>
        <v>38</v>
      </c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  <c r="FU419" s="4"/>
      <c r="FV419" s="4"/>
      <c r="FW419" s="4"/>
      <c r="FX419" s="4"/>
      <c r="FY419" s="4"/>
      <c r="FZ419" s="4"/>
      <c r="GA419" s="4"/>
      <c r="GB419" s="4"/>
      <c r="GC419" s="4"/>
      <c r="GD419" s="4"/>
      <c r="GE419" s="4"/>
      <c r="GF419" s="4"/>
    </row>
    <row r="420">
      <c r="A420" s="2" t="s">
        <v>2963</v>
      </c>
      <c r="B420" s="2" t="s">
        <v>195</v>
      </c>
      <c r="C420" s="2" t="s">
        <v>287</v>
      </c>
      <c r="D420" s="2" t="s">
        <v>529</v>
      </c>
      <c r="E420" s="2" t="s">
        <v>1764</v>
      </c>
      <c r="F420" s="2" t="s">
        <v>2964</v>
      </c>
      <c r="G420" s="2" t="s">
        <v>2964</v>
      </c>
      <c r="H420" s="2" t="s">
        <v>2964</v>
      </c>
      <c r="I420" s="2" t="s">
        <v>1766</v>
      </c>
      <c r="J420" s="2" t="s">
        <v>821</v>
      </c>
      <c r="K420" s="2" t="s">
        <v>202</v>
      </c>
      <c r="L420" s="3">
        <v>18.28</v>
      </c>
      <c r="M420" s="3">
        <v>19.19</v>
      </c>
      <c r="N420" s="3">
        <v>39.99</v>
      </c>
      <c r="O420" s="2" t="s">
        <v>203</v>
      </c>
      <c r="P420" s="2" t="s">
        <v>204</v>
      </c>
      <c r="Q420" s="2" t="s">
        <v>205</v>
      </c>
      <c r="R420" s="2" t="s">
        <v>206</v>
      </c>
      <c r="S420" s="2" t="s">
        <v>2965</v>
      </c>
      <c r="T420" s="2" t="s">
        <v>292</v>
      </c>
      <c r="U420" s="2" t="s">
        <v>437</v>
      </c>
      <c r="V420" s="2" t="s">
        <v>809</v>
      </c>
      <c r="W420" s="2" t="s">
        <v>210</v>
      </c>
      <c r="X420" s="2" t="s">
        <v>439</v>
      </c>
      <c r="Y420" s="2" t="s">
        <v>2966</v>
      </c>
      <c r="Z420" s="4">
        <v>75</v>
      </c>
      <c r="AA420" s="4">
        <f>=ROUNDDOWN(18.75,0)</f>
      </c>
      <c r="AB420" s="5">
        <v>4</v>
      </c>
      <c r="AC420" s="2" t="s">
        <v>206</v>
      </c>
      <c r="AD420" s="4"/>
      <c r="AE420" s="4"/>
      <c r="AF420" s="6">
        <v>65</v>
      </c>
      <c r="AG420" s="6"/>
      <c r="AH420" s="7">
        <v>1</v>
      </c>
      <c r="AI420" s="4"/>
      <c r="AJ420" s="4">
        <f>=ROUNDDOWN({0},0)</f>
      </c>
      <c r="AK420" s="5"/>
      <c r="AL420" s="2" t="s">
        <v>206</v>
      </c>
      <c r="AM420" s="4"/>
      <c r="AN420" s="4"/>
      <c r="AO420" s="7"/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/>
      <c r="BD420" s="8"/>
      <c r="BE420" s="4"/>
      <c r="BF420" s="8"/>
      <c r="BG420" s="7"/>
      <c r="BH420" s="7"/>
      <c r="BI420" s="7"/>
      <c r="BJ420" s="4">
        <v>26</v>
      </c>
      <c r="BK420" s="8">
        <v>526.04</v>
      </c>
      <c r="BL420" s="2" t="s">
        <v>2967</v>
      </c>
      <c r="BM420" s="7"/>
      <c r="BN420" s="7"/>
      <c r="BO420" s="4"/>
      <c r="BP420" s="8"/>
      <c r="BQ420" s="4"/>
      <c r="BR420" s="8"/>
      <c r="BS420" s="7"/>
      <c r="BT420" s="7"/>
      <c r="BU420" s="2" t="s">
        <v>2968</v>
      </c>
      <c r="BV420" s="2" t="s">
        <v>206</v>
      </c>
      <c r="BW420" s="2" t="s">
        <v>206</v>
      </c>
      <c r="BX420" s="2" t="s">
        <v>214</v>
      </c>
      <c r="BY420" s="2" t="s">
        <v>215</v>
      </c>
      <c r="BZ420" s="2" t="s">
        <v>203</v>
      </c>
      <c r="CA420" s="2" t="s">
        <v>2969</v>
      </c>
      <c r="CB420" s="2" t="s">
        <v>2882</v>
      </c>
      <c r="CC420" s="2" t="s">
        <v>218</v>
      </c>
      <c r="CD420" s="2" t="s">
        <v>206</v>
      </c>
      <c r="CE420" s="4">
        <v>75</v>
      </c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  <c r="FV420" s="4"/>
      <c r="FW420" s="4"/>
      <c r="FX420" s="4"/>
      <c r="FY420" s="4"/>
      <c r="FZ420" s="4"/>
      <c r="GA420" s="4"/>
      <c r="GB420" s="4"/>
      <c r="GC420" s="4"/>
      <c r="GD420" s="4"/>
      <c r="GE420" s="4"/>
      <c r="GF420" s="4"/>
    </row>
    <row r="421">
      <c r="A421" s="2" t="s">
        <v>2970</v>
      </c>
      <c r="B421" s="2" t="s">
        <v>528</v>
      </c>
      <c r="C421" s="2" t="s">
        <v>287</v>
      </c>
      <c r="D421" s="2" t="s">
        <v>529</v>
      </c>
      <c r="E421" s="2" t="s">
        <v>816</v>
      </c>
      <c r="F421" s="2" t="s">
        <v>2971</v>
      </c>
      <c r="G421" s="2" t="s">
        <v>2972</v>
      </c>
      <c r="H421" s="2" t="s">
        <v>2973</v>
      </c>
      <c r="I421" s="2" t="s">
        <v>2974</v>
      </c>
      <c r="J421" s="2" t="s">
        <v>593</v>
      </c>
      <c r="K421" s="2" t="s">
        <v>2975</v>
      </c>
      <c r="L421" s="3">
        <v>36.57</v>
      </c>
      <c r="M421" s="3">
        <v>38.4</v>
      </c>
      <c r="N421" s="3">
        <v>79.99</v>
      </c>
      <c r="O421" s="2" t="s">
        <v>203</v>
      </c>
      <c r="P421" s="2" t="s">
        <v>204</v>
      </c>
      <c r="Q421" s="2" t="s">
        <v>205</v>
      </c>
      <c r="R421" s="2" t="s">
        <v>206</v>
      </c>
      <c r="S421" s="2" t="s">
        <v>2976</v>
      </c>
      <c r="T421" s="2" t="s">
        <v>292</v>
      </c>
      <c r="U421" s="2" t="s">
        <v>235</v>
      </c>
      <c r="V421" s="2" t="s">
        <v>809</v>
      </c>
      <c r="W421" s="2" t="s">
        <v>2977</v>
      </c>
      <c r="X421" s="2" t="s">
        <v>206</v>
      </c>
      <c r="Y421" s="2" t="s">
        <v>1480</v>
      </c>
      <c r="Z421" s="4">
        <v>404</v>
      </c>
      <c r="AA421" s="4">
        <f>=ROUNDDOWN(36.7272727272727,0)</f>
      </c>
      <c r="AB421" s="5">
        <v>11</v>
      </c>
      <c r="AC421" s="2" t="s">
        <v>1555</v>
      </c>
      <c r="AD421" s="4">
        <v>200</v>
      </c>
      <c r="AE421" s="4">
        <v>200</v>
      </c>
      <c r="AF421" s="6">
        <v>69</v>
      </c>
      <c r="AG421" s="6"/>
      <c r="AH421" s="7">
        <v>1</v>
      </c>
      <c r="AI421" s="4"/>
      <c r="AJ421" s="4">
        <f>=ROUNDDOWN({0},0)</f>
      </c>
      <c r="AK421" s="5"/>
      <c r="AL421" s="2" t="s">
        <v>206</v>
      </c>
      <c r="AM421" s="4"/>
      <c r="AN421" s="4"/>
      <c r="AO421" s="7"/>
      <c r="AP421" s="4"/>
      <c r="AQ421" s="8"/>
      <c r="AR421" s="4"/>
      <c r="AS421" s="8"/>
      <c r="AT421" s="7"/>
      <c r="AU421" s="7"/>
      <c r="AV421" s="4" t="s">
        <v>206</v>
      </c>
      <c r="AW421" s="8" t="s">
        <v>206</v>
      </c>
      <c r="AX421" s="4" t="s">
        <v>206</v>
      </c>
      <c r="AY421" s="8" t="s">
        <v>206</v>
      </c>
      <c r="AZ421" s="7" t="s">
        <v>206</v>
      </c>
      <c r="BA421" s="7" t="s">
        <v>206</v>
      </c>
      <c r="BB421" s="7" t="s">
        <v>206</v>
      </c>
      <c r="BC421" s="4" t="s">
        <v>206</v>
      </c>
      <c r="BD421" s="8" t="s">
        <v>206</v>
      </c>
      <c r="BE421" s="4" t="s">
        <v>206</v>
      </c>
      <c r="BF421" s="8" t="s">
        <v>206</v>
      </c>
      <c r="BG421" s="7" t="s">
        <v>206</v>
      </c>
      <c r="BH421" s="7" t="s">
        <v>206</v>
      </c>
      <c r="BI421" s="7"/>
      <c r="BJ421" s="4">
        <v>34</v>
      </c>
      <c r="BK421" s="8">
        <v>1401.97</v>
      </c>
      <c r="BL421" s="2" t="s">
        <v>1542</v>
      </c>
      <c r="BM421" s="7"/>
      <c r="BN421" s="7"/>
      <c r="BO421" s="4"/>
      <c r="BP421" s="8"/>
      <c r="BQ421" s="4"/>
      <c r="BR421" s="8"/>
      <c r="BS421" s="7"/>
      <c r="BT421" s="7"/>
      <c r="BU421" s="2" t="s">
        <v>2978</v>
      </c>
      <c r="BV421" s="2" t="s">
        <v>206</v>
      </c>
      <c r="BW421" s="2" t="s">
        <v>206</v>
      </c>
      <c r="BX421" s="2" t="s">
        <v>214</v>
      </c>
      <c r="BY421" s="2" t="s">
        <v>215</v>
      </c>
      <c r="BZ421" s="2" t="s">
        <v>203</v>
      </c>
      <c r="CA421" s="2" t="s">
        <v>968</v>
      </c>
      <c r="CB421" s="2" t="s">
        <v>1314</v>
      </c>
      <c r="CC421" s="2" t="s">
        <v>218</v>
      </c>
      <c r="CD421" s="2" t="s">
        <v>206</v>
      </c>
      <c r="CE421" s="4">
        <v>404</v>
      </c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  <c r="FU421" s="4"/>
      <c r="FV421" s="4"/>
      <c r="FW421" s="4"/>
      <c r="FX421" s="4"/>
      <c r="FY421" s="4"/>
      <c r="FZ421" s="4"/>
      <c r="GA421" s="4">
        <v>200</v>
      </c>
      <c r="GB421" s="4"/>
      <c r="GC421" s="4"/>
      <c r="GD421" s="4"/>
      <c r="GE421" s="4"/>
      <c r="GF421" s="4"/>
    </row>
    <row r="422">
      <c r="A422" s="2" t="s">
        <v>2979</v>
      </c>
      <c r="B422" s="2" t="s">
        <v>528</v>
      </c>
      <c r="C422" s="2" t="s">
        <v>287</v>
      </c>
      <c r="D422" s="2" t="s">
        <v>548</v>
      </c>
      <c r="E422" s="2" t="s">
        <v>549</v>
      </c>
      <c r="F422" s="2" t="s">
        <v>2971</v>
      </c>
      <c r="G422" s="2" t="s">
        <v>2972</v>
      </c>
      <c r="H422" s="2" t="s">
        <v>2973</v>
      </c>
      <c r="I422" s="2" t="s">
        <v>2980</v>
      </c>
      <c r="J422" s="2" t="s">
        <v>593</v>
      </c>
      <c r="K422" s="2" t="s">
        <v>2975</v>
      </c>
      <c r="L422" s="3">
        <v>22.85</v>
      </c>
      <c r="M422" s="3">
        <v>23.99</v>
      </c>
      <c r="N422" s="3">
        <v>49.99</v>
      </c>
      <c r="O422" s="2" t="s">
        <v>203</v>
      </c>
      <c r="P422" s="2" t="s">
        <v>204</v>
      </c>
      <c r="Q422" s="2" t="s">
        <v>205</v>
      </c>
      <c r="R422" s="2" t="s">
        <v>206</v>
      </c>
      <c r="S422" s="2" t="s">
        <v>2976</v>
      </c>
      <c r="T422" s="2" t="s">
        <v>292</v>
      </c>
      <c r="U422" s="2" t="s">
        <v>235</v>
      </c>
      <c r="V422" s="2" t="s">
        <v>809</v>
      </c>
      <c r="W422" s="2" t="s">
        <v>2977</v>
      </c>
      <c r="X422" s="2" t="s">
        <v>206</v>
      </c>
      <c r="Y422" s="2" t="s">
        <v>2484</v>
      </c>
      <c r="Z422" s="4">
        <v>31</v>
      </c>
      <c r="AA422" s="4">
        <f>=ROUNDDOWN(6.2,0)</f>
      </c>
      <c r="AB422" s="5">
        <v>5</v>
      </c>
      <c r="AC422" s="2" t="s">
        <v>142</v>
      </c>
      <c r="AD422" s="4">
        <v>110</v>
      </c>
      <c r="AE422" s="4">
        <v>195</v>
      </c>
      <c r="AF422" s="6">
        <v>69</v>
      </c>
      <c r="AG422" s="6"/>
      <c r="AH422" s="7">
        <v>0.2903</v>
      </c>
      <c r="AI422" s="4"/>
      <c r="AJ422" s="4">
        <f>=ROUNDDOWN({0},0)</f>
      </c>
      <c r="AK422" s="5"/>
      <c r="AL422" s="2" t="s">
        <v>206</v>
      </c>
      <c r="AM422" s="4"/>
      <c r="AN422" s="4"/>
      <c r="AO422" s="7"/>
      <c r="AP422" s="4"/>
      <c r="AQ422" s="8"/>
      <c r="AR422" s="4"/>
      <c r="AS422" s="8"/>
      <c r="AT422" s="7"/>
      <c r="AU422" s="7"/>
      <c r="AV422" s="4" t="s">
        <v>206</v>
      </c>
      <c r="AW422" s="8" t="s">
        <v>206</v>
      </c>
      <c r="AX422" s="4" t="s">
        <v>206</v>
      </c>
      <c r="AY422" s="8" t="s">
        <v>206</v>
      </c>
      <c r="AZ422" s="7" t="s">
        <v>206</v>
      </c>
      <c r="BA422" s="7" t="s">
        <v>206</v>
      </c>
      <c r="BB422" s="7" t="s">
        <v>206</v>
      </c>
      <c r="BC422" s="4" t="s">
        <v>206</v>
      </c>
      <c r="BD422" s="8" t="s">
        <v>206</v>
      </c>
      <c r="BE422" s="4" t="s">
        <v>206</v>
      </c>
      <c r="BF422" s="8" t="s">
        <v>206</v>
      </c>
      <c r="BG422" s="7" t="s">
        <v>206</v>
      </c>
      <c r="BH422" s="7" t="s">
        <v>206</v>
      </c>
      <c r="BI422" s="7"/>
      <c r="BJ422" s="4">
        <v>1</v>
      </c>
      <c r="BK422" s="8">
        <v>26.28</v>
      </c>
      <c r="BL422" s="2" t="s">
        <v>1439</v>
      </c>
      <c r="BM422" s="7"/>
      <c r="BN422" s="7"/>
      <c r="BO422" s="4"/>
      <c r="BP422" s="8"/>
      <c r="BQ422" s="4"/>
      <c r="BR422" s="8"/>
      <c r="BS422" s="7"/>
      <c r="BT422" s="7"/>
      <c r="BU422" s="2" t="s">
        <v>2981</v>
      </c>
      <c r="BV422" s="2" t="s">
        <v>206</v>
      </c>
      <c r="BW422" s="2" t="s">
        <v>206</v>
      </c>
      <c r="BX422" s="2" t="s">
        <v>214</v>
      </c>
      <c r="BY422" s="2" t="s">
        <v>215</v>
      </c>
      <c r="BZ422" s="2" t="s">
        <v>203</v>
      </c>
      <c r="CA422" s="2" t="s">
        <v>2761</v>
      </c>
      <c r="CB422" s="2" t="s">
        <v>2982</v>
      </c>
      <c r="CC422" s="2" t="s">
        <v>218</v>
      </c>
      <c r="CD422" s="2" t="s">
        <v>206</v>
      </c>
      <c r="CE422" s="4">
        <v>31</v>
      </c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>
        <v>110</v>
      </c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  <c r="FU422" s="4"/>
      <c r="FV422" s="4"/>
      <c r="FW422" s="4"/>
      <c r="FX422" s="4"/>
      <c r="FY422" s="4"/>
      <c r="FZ422" s="4"/>
      <c r="GA422" s="4">
        <v>85</v>
      </c>
      <c r="GB422" s="4"/>
      <c r="GC422" s="4"/>
      <c r="GD422" s="4"/>
      <c r="GE422" s="4"/>
      <c r="GF422" s="4"/>
    </row>
    <row r="423">
      <c r="A423" s="2" t="s">
        <v>2983</v>
      </c>
      <c r="B423" s="2" t="s">
        <v>528</v>
      </c>
      <c r="C423" s="2" t="s">
        <v>287</v>
      </c>
      <c r="D423" s="2" t="s">
        <v>548</v>
      </c>
      <c r="E423" s="2" t="s">
        <v>549</v>
      </c>
      <c r="F423" s="2" t="s">
        <v>2971</v>
      </c>
      <c r="G423" s="2" t="s">
        <v>2972</v>
      </c>
      <c r="H423" s="2" t="s">
        <v>2973</v>
      </c>
      <c r="I423" s="2" t="s">
        <v>2980</v>
      </c>
      <c r="J423" s="2" t="s">
        <v>582</v>
      </c>
      <c r="K423" s="2" t="s">
        <v>2975</v>
      </c>
      <c r="L423" s="3">
        <v>27.42</v>
      </c>
      <c r="M423" s="3">
        <v>28.79</v>
      </c>
      <c r="N423" s="3">
        <v>59.99</v>
      </c>
      <c r="O423" s="2" t="s">
        <v>203</v>
      </c>
      <c r="P423" s="2" t="s">
        <v>204</v>
      </c>
      <c r="Q423" s="2" t="s">
        <v>205</v>
      </c>
      <c r="R423" s="2" t="s">
        <v>206</v>
      </c>
      <c r="S423" s="2" t="s">
        <v>2976</v>
      </c>
      <c r="T423" s="2" t="s">
        <v>292</v>
      </c>
      <c r="U423" s="2" t="s">
        <v>235</v>
      </c>
      <c r="V423" s="2" t="s">
        <v>809</v>
      </c>
      <c r="W423" s="2" t="s">
        <v>2977</v>
      </c>
      <c r="X423" s="2" t="s">
        <v>206</v>
      </c>
      <c r="Y423" s="2" t="s">
        <v>2484</v>
      </c>
      <c r="Z423" s="4">
        <v>72</v>
      </c>
      <c r="AA423" s="4">
        <f>=ROUNDDOWN(12,0)</f>
      </c>
      <c r="AB423" s="5">
        <v>6</v>
      </c>
      <c r="AC423" s="2" t="s">
        <v>142</v>
      </c>
      <c r="AD423" s="4">
        <v>125</v>
      </c>
      <c r="AE423" s="4">
        <v>225</v>
      </c>
      <c r="AF423" s="6">
        <v>69</v>
      </c>
      <c r="AG423" s="6"/>
      <c r="AH423" s="7">
        <v>0.2903</v>
      </c>
      <c r="AI423" s="4"/>
      <c r="AJ423" s="4">
        <f>=ROUNDDOWN({0},0)</f>
      </c>
      <c r="AK423" s="5"/>
      <c r="AL423" s="2" t="s">
        <v>206</v>
      </c>
      <c r="AM423" s="4"/>
      <c r="AN423" s="4"/>
      <c r="AO423" s="7"/>
      <c r="AP423" s="4"/>
      <c r="AQ423" s="8"/>
      <c r="AR423" s="4"/>
      <c r="AS423" s="8"/>
      <c r="AT423" s="7"/>
      <c r="AU423" s="7"/>
      <c r="AV423" s="4" t="s">
        <v>206</v>
      </c>
      <c r="AW423" s="8" t="s">
        <v>206</v>
      </c>
      <c r="AX423" s="4" t="s">
        <v>206</v>
      </c>
      <c r="AY423" s="8" t="s">
        <v>206</v>
      </c>
      <c r="AZ423" s="7" t="s">
        <v>206</v>
      </c>
      <c r="BA423" s="7" t="s">
        <v>206</v>
      </c>
      <c r="BB423" s="7"/>
      <c r="BC423" s="4" t="s">
        <v>206</v>
      </c>
      <c r="BD423" s="8" t="s">
        <v>206</v>
      </c>
      <c r="BE423" s="4" t="s">
        <v>206</v>
      </c>
      <c r="BF423" s="8" t="s">
        <v>206</v>
      </c>
      <c r="BG423" s="7" t="s">
        <v>206</v>
      </c>
      <c r="BH423" s="7" t="s">
        <v>206</v>
      </c>
      <c r="BI423" s="7"/>
      <c r="BJ423" s="4">
        <v>4</v>
      </c>
      <c r="BK423" s="8">
        <v>126.4</v>
      </c>
      <c r="BL423" s="2" t="s">
        <v>1573</v>
      </c>
      <c r="BM423" s="7"/>
      <c r="BN423" s="7"/>
      <c r="BO423" s="4"/>
      <c r="BP423" s="8"/>
      <c r="BQ423" s="4"/>
      <c r="BR423" s="8"/>
      <c r="BS423" s="7"/>
      <c r="BT423" s="7"/>
      <c r="BU423" s="2" t="s">
        <v>2984</v>
      </c>
      <c r="BV423" s="2" t="s">
        <v>206</v>
      </c>
      <c r="BW423" s="2" t="s">
        <v>206</v>
      </c>
      <c r="BX423" s="2" t="s">
        <v>214</v>
      </c>
      <c r="BY423" s="2" t="s">
        <v>215</v>
      </c>
      <c r="BZ423" s="2" t="s">
        <v>203</v>
      </c>
      <c r="CA423" s="2" t="s">
        <v>2761</v>
      </c>
      <c r="CB423" s="2" t="s">
        <v>2985</v>
      </c>
      <c r="CC423" s="2" t="s">
        <v>218</v>
      </c>
      <c r="CD423" s="2" t="s">
        <v>206</v>
      </c>
      <c r="CE423" s="4">
        <v>72</v>
      </c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>
        <v>125</v>
      </c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  <c r="FU423" s="4"/>
      <c r="FV423" s="4"/>
      <c r="FW423" s="4"/>
      <c r="FX423" s="4"/>
      <c r="FY423" s="4"/>
      <c r="FZ423" s="4"/>
      <c r="GA423" s="4">
        <v>100</v>
      </c>
      <c r="GB423" s="4"/>
      <c r="GC423" s="4"/>
      <c r="GD423" s="4"/>
      <c r="GE423" s="4"/>
      <c r="GF423" s="4"/>
    </row>
    <row r="424">
      <c r="A424" s="2" t="s">
        <v>2986</v>
      </c>
      <c r="B424" s="2" t="s">
        <v>2987</v>
      </c>
      <c r="C424" s="2" t="s">
        <v>462</v>
      </c>
      <c r="D424" s="2" t="s">
        <v>2988</v>
      </c>
      <c r="E424" s="2" t="s">
        <v>2989</v>
      </c>
      <c r="F424" s="2" t="s">
        <v>2990</v>
      </c>
      <c r="G424" s="2" t="s">
        <v>2990</v>
      </c>
      <c r="H424" s="2" t="s">
        <v>2990</v>
      </c>
      <c r="I424" s="2" t="s">
        <v>2991</v>
      </c>
      <c r="J424" s="2" t="s">
        <v>2992</v>
      </c>
      <c r="K424" s="2" t="s">
        <v>262</v>
      </c>
      <c r="L424" s="3">
        <v>18.5</v>
      </c>
      <c r="M424" s="3">
        <v>19.42</v>
      </c>
      <c r="N424" s="3">
        <v>39.99</v>
      </c>
      <c r="O424" s="2" t="s">
        <v>203</v>
      </c>
      <c r="P424" s="2" t="s">
        <v>492</v>
      </c>
      <c r="Q424" s="2" t="s">
        <v>205</v>
      </c>
      <c r="R424" s="2" t="s">
        <v>206</v>
      </c>
      <c r="S424" s="2" t="s">
        <v>206</v>
      </c>
      <c r="T424" s="2" t="s">
        <v>206</v>
      </c>
      <c r="U424" s="2" t="s">
        <v>206</v>
      </c>
      <c r="V424" s="2" t="s">
        <v>209</v>
      </c>
      <c r="W424" s="2" t="s">
        <v>206</v>
      </c>
      <c r="X424" s="2" t="s">
        <v>206</v>
      </c>
      <c r="Y424" s="2" t="s">
        <v>2857</v>
      </c>
      <c r="Z424" s="4">
        <v>453</v>
      </c>
      <c r="AA424" s="4">
        <f>=ROUNDDOWN(41.1818181818182,0)</f>
      </c>
      <c r="AB424" s="5">
        <v>11</v>
      </c>
      <c r="AC424" s="2" t="s">
        <v>206</v>
      </c>
      <c r="AD424" s="4"/>
      <c r="AE424" s="4"/>
      <c r="AF424" s="6"/>
      <c r="AG424" s="6">
        <v>73</v>
      </c>
      <c r="AH424" s="7">
        <v>1</v>
      </c>
      <c r="AI424" s="4"/>
      <c r="AJ424" s="4">
        <f>=ROUNDDOWN({0},0)</f>
      </c>
      <c r="AK424" s="5"/>
      <c r="AL424" s="2" t="s">
        <v>206</v>
      </c>
      <c r="AM424" s="4"/>
      <c r="AN424" s="4"/>
      <c r="AO424" s="7"/>
      <c r="AP424" s="4"/>
      <c r="AQ424" s="8"/>
      <c r="AR424" s="4"/>
      <c r="AS424" s="8"/>
      <c r="AT424" s="7"/>
      <c r="AU424" s="7"/>
      <c r="AV424" s="4" t="s">
        <v>206</v>
      </c>
      <c r="AW424" s="8" t="s">
        <v>206</v>
      </c>
      <c r="AX424" s="4" t="s">
        <v>206</v>
      </c>
      <c r="AY424" s="8" t="s">
        <v>206</v>
      </c>
      <c r="AZ424" s="7" t="s">
        <v>206</v>
      </c>
      <c r="BA424" s="7" t="s">
        <v>206</v>
      </c>
      <c r="BB424" s="7"/>
      <c r="BC424" s="4" t="s">
        <v>206</v>
      </c>
      <c r="BD424" s="8" t="s">
        <v>206</v>
      </c>
      <c r="BE424" s="4" t="s">
        <v>206</v>
      </c>
      <c r="BF424" s="8" t="s">
        <v>206</v>
      </c>
      <c r="BG424" s="7" t="s">
        <v>206</v>
      </c>
      <c r="BH424" s="7" t="s">
        <v>206</v>
      </c>
      <c r="BI424" s="7"/>
      <c r="BJ424" s="4">
        <v>17</v>
      </c>
      <c r="BK424" s="8">
        <v>327.48</v>
      </c>
      <c r="BL424" s="2" t="s">
        <v>2993</v>
      </c>
      <c r="BM424" s="7"/>
      <c r="BN424" s="7"/>
      <c r="BO424" s="4"/>
      <c r="BP424" s="8"/>
      <c r="BQ424" s="4"/>
      <c r="BR424" s="8"/>
      <c r="BS424" s="7"/>
      <c r="BT424" s="7"/>
      <c r="BU424" s="2" t="s">
        <v>2994</v>
      </c>
      <c r="BV424" s="2" t="s">
        <v>206</v>
      </c>
      <c r="BW424" s="2" t="s">
        <v>206</v>
      </c>
      <c r="BX424" s="2" t="s">
        <v>214</v>
      </c>
      <c r="BY424" s="2" t="s">
        <v>215</v>
      </c>
      <c r="BZ424" s="2" t="s">
        <v>203</v>
      </c>
      <c r="CA424" s="2" t="s">
        <v>2995</v>
      </c>
      <c r="CB424" s="2" t="s">
        <v>2996</v>
      </c>
      <c r="CC424" s="2" t="s">
        <v>218</v>
      </c>
      <c r="CD424" s="2" t="s">
        <v>206</v>
      </c>
      <c r="CE424" s="4"/>
      <c r="CF424" s="4"/>
      <c r="CG424" s="4"/>
      <c r="CH424" s="4">
        <v>453</v>
      </c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  <c r="FU424" s="4"/>
      <c r="FV424" s="4"/>
      <c r="FW424" s="4"/>
      <c r="FX424" s="4"/>
      <c r="FY424" s="4"/>
      <c r="FZ424" s="4"/>
      <c r="GA424" s="4"/>
      <c r="GB424" s="4"/>
      <c r="GC424" s="4"/>
      <c r="GD424" s="4"/>
      <c r="GE424" s="4"/>
      <c r="GF424" s="4"/>
    </row>
    <row r="425">
      <c r="A425" s="2" t="s">
        <v>2997</v>
      </c>
      <c r="B425" s="2" t="s">
        <v>2987</v>
      </c>
      <c r="C425" s="2" t="s">
        <v>462</v>
      </c>
      <c r="D425" s="2" t="s">
        <v>2988</v>
      </c>
      <c r="E425" s="2" t="s">
        <v>2989</v>
      </c>
      <c r="F425" s="2" t="s">
        <v>2990</v>
      </c>
      <c r="G425" s="2" t="s">
        <v>206</v>
      </c>
      <c r="H425" s="2" t="s">
        <v>206</v>
      </c>
      <c r="I425" s="2" t="s">
        <v>2991</v>
      </c>
      <c r="J425" s="2" t="s">
        <v>2998</v>
      </c>
      <c r="K425" s="2" t="s">
        <v>262</v>
      </c>
      <c r="L425" s="3">
        <v>18.5</v>
      </c>
      <c r="M425" s="3">
        <v>19.42</v>
      </c>
      <c r="N425" s="3">
        <v>39.99</v>
      </c>
      <c r="O425" s="2" t="s">
        <v>203</v>
      </c>
      <c r="P425" s="2" t="s">
        <v>492</v>
      </c>
      <c r="Q425" s="2" t="s">
        <v>205</v>
      </c>
      <c r="R425" s="2" t="s">
        <v>206</v>
      </c>
      <c r="S425" s="2" t="s">
        <v>206</v>
      </c>
      <c r="T425" s="2" t="s">
        <v>206</v>
      </c>
      <c r="U425" s="2" t="s">
        <v>206</v>
      </c>
      <c r="V425" s="2" t="s">
        <v>209</v>
      </c>
      <c r="W425" s="2" t="s">
        <v>206</v>
      </c>
      <c r="X425" s="2" t="s">
        <v>206</v>
      </c>
      <c r="Y425" s="2" t="s">
        <v>2857</v>
      </c>
      <c r="Z425" s="4">
        <v>315</v>
      </c>
      <c r="AA425" s="4">
        <f>=ROUNDDOWN(20.0636942675159,0)</f>
      </c>
      <c r="AB425" s="5">
        <v>15.7</v>
      </c>
      <c r="AC425" s="2" t="s">
        <v>206</v>
      </c>
      <c r="AD425" s="4"/>
      <c r="AE425" s="4"/>
      <c r="AF425" s="6"/>
      <c r="AG425" s="6">
        <v>73</v>
      </c>
      <c r="AH425" s="7">
        <v>1</v>
      </c>
      <c r="AI425" s="4"/>
      <c r="AJ425" s="4">
        <f>=ROUNDDOWN({0},0)</f>
      </c>
      <c r="AK425" s="5"/>
      <c r="AL425" s="2" t="s">
        <v>206</v>
      </c>
      <c r="AM425" s="4"/>
      <c r="AN425" s="4"/>
      <c r="AO425" s="7"/>
      <c r="AP425" s="4"/>
      <c r="AQ425" s="8"/>
      <c r="AR425" s="4"/>
      <c r="AS425" s="8"/>
      <c r="AT425" s="7"/>
      <c r="AU425" s="7"/>
      <c r="AV425" s="4" t="s">
        <v>206</v>
      </c>
      <c r="AW425" s="8" t="s">
        <v>206</v>
      </c>
      <c r="AX425" s="4" t="s">
        <v>206</v>
      </c>
      <c r="AY425" s="8" t="s">
        <v>206</v>
      </c>
      <c r="AZ425" s="7" t="s">
        <v>206</v>
      </c>
      <c r="BA425" s="7" t="s">
        <v>206</v>
      </c>
      <c r="BB425" s="7"/>
      <c r="BC425" s="4" t="s">
        <v>206</v>
      </c>
      <c r="BD425" s="8" t="s">
        <v>206</v>
      </c>
      <c r="BE425" s="4" t="s">
        <v>206</v>
      </c>
      <c r="BF425" s="8" t="s">
        <v>206</v>
      </c>
      <c r="BG425" s="7" t="s">
        <v>206</v>
      </c>
      <c r="BH425" s="7" t="s">
        <v>206</v>
      </c>
      <c r="BI425" s="7"/>
      <c r="BJ425" s="4">
        <v>37</v>
      </c>
      <c r="BK425" s="8">
        <v>691.92</v>
      </c>
      <c r="BL425" s="2" t="s">
        <v>2999</v>
      </c>
      <c r="BM425" s="7"/>
      <c r="BN425" s="7"/>
      <c r="BO425" s="4"/>
      <c r="BP425" s="8"/>
      <c r="BQ425" s="4"/>
      <c r="BR425" s="8"/>
      <c r="BS425" s="7"/>
      <c r="BT425" s="7"/>
      <c r="BU425" s="2" t="s">
        <v>3000</v>
      </c>
      <c r="BV425" s="2" t="s">
        <v>206</v>
      </c>
      <c r="BW425" s="2" t="s">
        <v>206</v>
      </c>
      <c r="BX425" s="2" t="s">
        <v>214</v>
      </c>
      <c r="BY425" s="2" t="s">
        <v>215</v>
      </c>
      <c r="BZ425" s="2" t="s">
        <v>203</v>
      </c>
      <c r="CA425" s="2" t="s">
        <v>2995</v>
      </c>
      <c r="CB425" s="2" t="s">
        <v>3001</v>
      </c>
      <c r="CC425" s="2" t="s">
        <v>218</v>
      </c>
      <c r="CD425" s="2" t="s">
        <v>206</v>
      </c>
      <c r="CE425" s="4"/>
      <c r="CF425" s="4"/>
      <c r="CG425" s="4"/>
      <c r="CH425" s="4">
        <v>315</v>
      </c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  <c r="FU425" s="4"/>
      <c r="FV425" s="4"/>
      <c r="FW425" s="4"/>
      <c r="FX425" s="4"/>
      <c r="FY425" s="4"/>
      <c r="FZ425" s="4"/>
      <c r="GA425" s="4"/>
      <c r="GB425" s="4"/>
      <c r="GC425" s="4"/>
      <c r="GD425" s="4"/>
      <c r="GE425" s="4"/>
      <c r="GF425" s="4"/>
    </row>
    <row r="426">
      <c r="A426" s="2" t="s">
        <v>3002</v>
      </c>
      <c r="B426" s="2" t="s">
        <v>2987</v>
      </c>
      <c r="C426" s="2" t="s">
        <v>462</v>
      </c>
      <c r="D426" s="2" t="s">
        <v>2988</v>
      </c>
      <c r="E426" s="2" t="s">
        <v>2989</v>
      </c>
      <c r="F426" s="2" t="s">
        <v>2990</v>
      </c>
      <c r="G426" s="2" t="s">
        <v>206</v>
      </c>
      <c r="H426" s="2" t="s">
        <v>206</v>
      </c>
      <c r="I426" s="2" t="s">
        <v>3003</v>
      </c>
      <c r="J426" s="2" t="s">
        <v>2992</v>
      </c>
      <c r="K426" s="2" t="s">
        <v>3004</v>
      </c>
      <c r="L426" s="3">
        <v>18.5</v>
      </c>
      <c r="M426" s="3">
        <v>19.42</v>
      </c>
      <c r="N426" s="3">
        <v>39.99</v>
      </c>
      <c r="O426" s="2" t="s">
        <v>203</v>
      </c>
      <c r="P426" s="2" t="s">
        <v>492</v>
      </c>
      <c r="Q426" s="2" t="s">
        <v>205</v>
      </c>
      <c r="R426" s="2" t="s">
        <v>206</v>
      </c>
      <c r="S426" s="2" t="s">
        <v>206</v>
      </c>
      <c r="T426" s="2" t="s">
        <v>206</v>
      </c>
      <c r="U426" s="2" t="s">
        <v>206</v>
      </c>
      <c r="V426" s="2" t="s">
        <v>209</v>
      </c>
      <c r="W426" s="2" t="s">
        <v>206</v>
      </c>
      <c r="X426" s="2" t="s">
        <v>206</v>
      </c>
      <c r="Y426" s="2" t="s">
        <v>1973</v>
      </c>
      <c r="Z426" s="4">
        <v>263</v>
      </c>
      <c r="AA426" s="4">
        <f>=ROUNDDOWN(26.3,0)</f>
      </c>
      <c r="AB426" s="5">
        <v>10</v>
      </c>
      <c r="AC426" s="2" t="s">
        <v>206</v>
      </c>
      <c r="AD426" s="4"/>
      <c r="AE426" s="4"/>
      <c r="AF426" s="6"/>
      <c r="AG426" s="6">
        <v>73</v>
      </c>
      <c r="AH426" s="7">
        <v>1</v>
      </c>
      <c r="AI426" s="4"/>
      <c r="AJ426" s="4">
        <f>=ROUNDDOWN({0},0)</f>
      </c>
      <c r="AK426" s="5"/>
      <c r="AL426" s="2" t="s">
        <v>206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 t="s">
        <v>206</v>
      </c>
      <c r="AW426" s="8" t="s">
        <v>206</v>
      </c>
      <c r="AX426" s="4" t="s">
        <v>206</v>
      </c>
      <c r="AY426" s="8" t="s">
        <v>206</v>
      </c>
      <c r="AZ426" s="7" t="s">
        <v>206</v>
      </c>
      <c r="BA426" s="7" t="s">
        <v>206</v>
      </c>
      <c r="BB426" s="7"/>
      <c r="BC426" s="4" t="s">
        <v>206</v>
      </c>
      <c r="BD426" s="8" t="s">
        <v>206</v>
      </c>
      <c r="BE426" s="4" t="s">
        <v>206</v>
      </c>
      <c r="BF426" s="8" t="s">
        <v>206</v>
      </c>
      <c r="BG426" s="7" t="s">
        <v>206</v>
      </c>
      <c r="BH426" s="7" t="s">
        <v>206</v>
      </c>
      <c r="BI426" s="7"/>
      <c r="BJ426" s="4">
        <v>24</v>
      </c>
      <c r="BK426" s="8">
        <v>446.36</v>
      </c>
      <c r="BL426" s="2" t="s">
        <v>3005</v>
      </c>
      <c r="BM426" s="7"/>
      <c r="BN426" s="7"/>
      <c r="BO426" s="4"/>
      <c r="BP426" s="8"/>
      <c r="BQ426" s="4"/>
      <c r="BR426" s="8"/>
      <c r="BS426" s="7"/>
      <c r="BT426" s="7"/>
      <c r="BU426" s="2" t="s">
        <v>3006</v>
      </c>
      <c r="BV426" s="2" t="s">
        <v>206</v>
      </c>
      <c r="BW426" s="2" t="s">
        <v>206</v>
      </c>
      <c r="BX426" s="2" t="s">
        <v>214</v>
      </c>
      <c r="BY426" s="2" t="s">
        <v>215</v>
      </c>
      <c r="BZ426" s="2" t="s">
        <v>203</v>
      </c>
      <c r="CA426" s="2" t="s">
        <v>3007</v>
      </c>
      <c r="CB426" s="2" t="s">
        <v>514</v>
      </c>
      <c r="CC426" s="2" t="s">
        <v>218</v>
      </c>
      <c r="CD426" s="2" t="s">
        <v>206</v>
      </c>
      <c r="CE426" s="4"/>
      <c r="CF426" s="4"/>
      <c r="CG426" s="4"/>
      <c r="CH426" s="4">
        <v>263</v>
      </c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  <c r="FU426" s="4"/>
      <c r="FV426" s="4"/>
      <c r="FW426" s="4"/>
      <c r="FX426" s="4"/>
      <c r="FY426" s="4"/>
      <c r="FZ426" s="4"/>
      <c r="GA426" s="4"/>
      <c r="GB426" s="4"/>
      <c r="GC426" s="4"/>
      <c r="GD426" s="4"/>
      <c r="GE426" s="4"/>
      <c r="GF426" s="4"/>
    </row>
    <row r="427">
      <c r="A427" s="2" t="s">
        <v>3008</v>
      </c>
      <c r="B427" s="2" t="s">
        <v>2987</v>
      </c>
      <c r="C427" s="2" t="s">
        <v>462</v>
      </c>
      <c r="D427" s="2" t="s">
        <v>2988</v>
      </c>
      <c r="E427" s="2" t="s">
        <v>2989</v>
      </c>
      <c r="F427" s="2" t="s">
        <v>2990</v>
      </c>
      <c r="G427" s="2" t="s">
        <v>206</v>
      </c>
      <c r="H427" s="2" t="s">
        <v>206</v>
      </c>
      <c r="I427" s="2" t="s">
        <v>3003</v>
      </c>
      <c r="J427" s="2" t="s">
        <v>2998</v>
      </c>
      <c r="K427" s="2" t="s">
        <v>3004</v>
      </c>
      <c r="L427" s="3">
        <v>18.5</v>
      </c>
      <c r="M427" s="3">
        <v>19.42</v>
      </c>
      <c r="N427" s="3">
        <v>39.99</v>
      </c>
      <c r="O427" s="2" t="s">
        <v>203</v>
      </c>
      <c r="P427" s="2" t="s">
        <v>492</v>
      </c>
      <c r="Q427" s="2" t="s">
        <v>205</v>
      </c>
      <c r="R427" s="2" t="s">
        <v>206</v>
      </c>
      <c r="S427" s="2" t="s">
        <v>206</v>
      </c>
      <c r="T427" s="2" t="s">
        <v>206</v>
      </c>
      <c r="U427" s="2" t="s">
        <v>206</v>
      </c>
      <c r="V427" s="2" t="s">
        <v>209</v>
      </c>
      <c r="W427" s="2" t="s">
        <v>206</v>
      </c>
      <c r="X427" s="2" t="s">
        <v>206</v>
      </c>
      <c r="Y427" s="2" t="s">
        <v>1973</v>
      </c>
      <c r="Z427" s="4">
        <v>237</v>
      </c>
      <c r="AA427" s="4">
        <f>=ROUNDDOWN(21.5454545454545,0)</f>
      </c>
      <c r="AB427" s="5">
        <v>11</v>
      </c>
      <c r="AC427" s="2" t="s">
        <v>206</v>
      </c>
      <c r="AD427" s="4"/>
      <c r="AE427" s="4"/>
      <c r="AF427" s="6"/>
      <c r="AG427" s="6">
        <v>73</v>
      </c>
      <c r="AH427" s="7">
        <v>1</v>
      </c>
      <c r="AI427" s="4"/>
      <c r="AJ427" s="4">
        <f>=ROUNDDOWN({0},0)</f>
      </c>
      <c r="AK427" s="5"/>
      <c r="AL427" s="2" t="s">
        <v>206</v>
      </c>
      <c r="AM427" s="4"/>
      <c r="AN427" s="4"/>
      <c r="AO427" s="7"/>
      <c r="AP427" s="4"/>
      <c r="AQ427" s="8"/>
      <c r="AR427" s="4"/>
      <c r="AS427" s="8"/>
      <c r="AT427" s="7"/>
      <c r="AU427" s="7"/>
      <c r="AV427" s="4" t="s">
        <v>206</v>
      </c>
      <c r="AW427" s="8" t="s">
        <v>206</v>
      </c>
      <c r="AX427" s="4" t="s">
        <v>206</v>
      </c>
      <c r="AY427" s="8" t="s">
        <v>206</v>
      </c>
      <c r="AZ427" s="7" t="s">
        <v>206</v>
      </c>
      <c r="BA427" s="7" t="s">
        <v>206</v>
      </c>
      <c r="BB427" s="7"/>
      <c r="BC427" s="4" t="s">
        <v>206</v>
      </c>
      <c r="BD427" s="8" t="s">
        <v>206</v>
      </c>
      <c r="BE427" s="4" t="s">
        <v>206</v>
      </c>
      <c r="BF427" s="8" t="s">
        <v>206</v>
      </c>
      <c r="BG427" s="7" t="s">
        <v>206</v>
      </c>
      <c r="BH427" s="7" t="s">
        <v>206</v>
      </c>
      <c r="BI427" s="7"/>
      <c r="BJ427" s="4">
        <v>45</v>
      </c>
      <c r="BK427" s="8">
        <v>900.19</v>
      </c>
      <c r="BL427" s="2" t="s">
        <v>3009</v>
      </c>
      <c r="BM427" s="7"/>
      <c r="BN427" s="7"/>
      <c r="BO427" s="4"/>
      <c r="BP427" s="8"/>
      <c r="BQ427" s="4"/>
      <c r="BR427" s="8"/>
      <c r="BS427" s="7"/>
      <c r="BT427" s="7"/>
      <c r="BU427" s="2" t="s">
        <v>3010</v>
      </c>
      <c r="BV427" s="2" t="s">
        <v>206</v>
      </c>
      <c r="BW427" s="2" t="s">
        <v>206</v>
      </c>
      <c r="BX427" s="2" t="s">
        <v>214</v>
      </c>
      <c r="BY427" s="2" t="s">
        <v>215</v>
      </c>
      <c r="BZ427" s="2" t="s">
        <v>203</v>
      </c>
      <c r="CA427" s="2" t="s">
        <v>3007</v>
      </c>
      <c r="CB427" s="2" t="s">
        <v>3011</v>
      </c>
      <c r="CC427" s="2" t="s">
        <v>218</v>
      </c>
      <c r="CD427" s="2" t="s">
        <v>206</v>
      </c>
      <c r="CE427" s="4"/>
      <c r="CF427" s="4"/>
      <c r="CG427" s="4"/>
      <c r="CH427" s="4">
        <v>237</v>
      </c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  <c r="FT427" s="4"/>
      <c r="FU427" s="4"/>
      <c r="FV427" s="4"/>
      <c r="FW427" s="4"/>
      <c r="FX427" s="4"/>
      <c r="FY427" s="4"/>
      <c r="FZ427" s="4"/>
      <c r="GA427" s="4"/>
      <c r="GB427" s="4"/>
      <c r="GC427" s="4"/>
      <c r="GD427" s="4"/>
      <c r="GE427" s="4"/>
      <c r="GF427" s="4"/>
    </row>
    <row r="428">
      <c r="A428" s="2" t="s">
        <v>3012</v>
      </c>
      <c r="B428" s="2" t="s">
        <v>2987</v>
      </c>
      <c r="C428" s="2" t="s">
        <v>462</v>
      </c>
      <c r="D428" s="2" t="s">
        <v>2988</v>
      </c>
      <c r="E428" s="2" t="s">
        <v>2989</v>
      </c>
      <c r="F428" s="2" t="s">
        <v>2990</v>
      </c>
      <c r="G428" s="2" t="s">
        <v>206</v>
      </c>
      <c r="H428" s="2" t="s">
        <v>206</v>
      </c>
      <c r="I428" s="2" t="s">
        <v>2991</v>
      </c>
      <c r="J428" s="2" t="s">
        <v>2992</v>
      </c>
      <c r="K428" s="2" t="s">
        <v>202</v>
      </c>
      <c r="L428" s="3">
        <v>18.5</v>
      </c>
      <c r="M428" s="3">
        <v>19.42</v>
      </c>
      <c r="N428" s="3">
        <v>39.99</v>
      </c>
      <c r="O428" s="2" t="s">
        <v>203</v>
      </c>
      <c r="P428" s="2" t="s">
        <v>492</v>
      </c>
      <c r="Q428" s="2" t="s">
        <v>205</v>
      </c>
      <c r="R428" s="2" t="s">
        <v>206</v>
      </c>
      <c r="S428" s="2" t="s">
        <v>206</v>
      </c>
      <c r="T428" s="2" t="s">
        <v>206</v>
      </c>
      <c r="U428" s="2" t="s">
        <v>206</v>
      </c>
      <c r="V428" s="2" t="s">
        <v>209</v>
      </c>
      <c r="W428" s="2" t="s">
        <v>206</v>
      </c>
      <c r="X428" s="2" t="s">
        <v>206</v>
      </c>
      <c r="Y428" s="2" t="s">
        <v>2857</v>
      </c>
      <c r="Z428" s="4">
        <v>510</v>
      </c>
      <c r="AA428" s="4">
        <f>=ROUNDDOWN(40.8,0)</f>
      </c>
      <c r="AB428" s="5">
        <v>12.5</v>
      </c>
      <c r="AC428" s="2" t="s">
        <v>206</v>
      </c>
      <c r="AD428" s="4"/>
      <c r="AE428" s="4"/>
      <c r="AF428" s="6"/>
      <c r="AG428" s="6">
        <v>73</v>
      </c>
      <c r="AH428" s="7">
        <v>1</v>
      </c>
      <c r="AI428" s="4"/>
      <c r="AJ428" s="4">
        <f>=ROUNDDOWN({0},0)</f>
      </c>
      <c r="AK428" s="5"/>
      <c r="AL428" s="2" t="s">
        <v>206</v>
      </c>
      <c r="AM428" s="4"/>
      <c r="AN428" s="4"/>
      <c r="AO428" s="7"/>
      <c r="AP428" s="4"/>
      <c r="AQ428" s="8"/>
      <c r="AR428" s="4"/>
      <c r="AS428" s="8"/>
      <c r="AT428" s="7"/>
      <c r="AU428" s="7"/>
      <c r="AV428" s="4" t="s">
        <v>206</v>
      </c>
      <c r="AW428" s="8" t="s">
        <v>206</v>
      </c>
      <c r="AX428" s="4" t="s">
        <v>206</v>
      </c>
      <c r="AY428" s="8" t="s">
        <v>206</v>
      </c>
      <c r="AZ428" s="7" t="s">
        <v>206</v>
      </c>
      <c r="BA428" s="7" t="s">
        <v>206</v>
      </c>
      <c r="BB428" s="7"/>
      <c r="BC428" s="4" t="s">
        <v>206</v>
      </c>
      <c r="BD428" s="8" t="s">
        <v>206</v>
      </c>
      <c r="BE428" s="4" t="s">
        <v>206</v>
      </c>
      <c r="BF428" s="8" t="s">
        <v>206</v>
      </c>
      <c r="BG428" s="7" t="s">
        <v>206</v>
      </c>
      <c r="BH428" s="7" t="s">
        <v>206</v>
      </c>
      <c r="BI428" s="7"/>
      <c r="BJ428" s="4">
        <v>9</v>
      </c>
      <c r="BK428" s="8">
        <v>167.43</v>
      </c>
      <c r="BL428" s="2" t="s">
        <v>3013</v>
      </c>
      <c r="BM428" s="7"/>
      <c r="BN428" s="7"/>
      <c r="BO428" s="4"/>
      <c r="BP428" s="8"/>
      <c r="BQ428" s="4"/>
      <c r="BR428" s="8"/>
      <c r="BS428" s="7"/>
      <c r="BT428" s="7"/>
      <c r="BU428" s="2" t="s">
        <v>3014</v>
      </c>
      <c r="BV428" s="2" t="s">
        <v>206</v>
      </c>
      <c r="BW428" s="2" t="s">
        <v>206</v>
      </c>
      <c r="BX428" s="2" t="s">
        <v>214</v>
      </c>
      <c r="BY428" s="2" t="s">
        <v>215</v>
      </c>
      <c r="BZ428" s="2" t="s">
        <v>203</v>
      </c>
      <c r="CA428" s="2" t="s">
        <v>3015</v>
      </c>
      <c r="CB428" s="2" t="s">
        <v>3016</v>
      </c>
      <c r="CC428" s="2" t="s">
        <v>218</v>
      </c>
      <c r="CD428" s="2" t="s">
        <v>206</v>
      </c>
      <c r="CE428" s="4"/>
      <c r="CF428" s="4"/>
      <c r="CG428" s="4"/>
      <c r="CH428" s="4">
        <v>510</v>
      </c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  <c r="FU428" s="4"/>
      <c r="FV428" s="4"/>
      <c r="FW428" s="4"/>
      <c r="FX428" s="4"/>
      <c r="FY428" s="4"/>
      <c r="FZ428" s="4"/>
      <c r="GA428" s="4"/>
      <c r="GB428" s="4"/>
      <c r="GC428" s="4"/>
      <c r="GD428" s="4"/>
      <c r="GE428" s="4"/>
      <c r="GF428" s="4"/>
    </row>
    <row r="429">
      <c r="A429" s="2" t="s">
        <v>3017</v>
      </c>
      <c r="B429" s="2" t="s">
        <v>2987</v>
      </c>
      <c r="C429" s="2" t="s">
        <v>462</v>
      </c>
      <c r="D429" s="2" t="s">
        <v>2988</v>
      </c>
      <c r="E429" s="2" t="s">
        <v>2989</v>
      </c>
      <c r="F429" s="2" t="s">
        <v>2990</v>
      </c>
      <c r="G429" s="2" t="s">
        <v>206</v>
      </c>
      <c r="H429" s="2" t="s">
        <v>206</v>
      </c>
      <c r="I429" s="2" t="s">
        <v>2991</v>
      </c>
      <c r="J429" s="2" t="s">
        <v>2998</v>
      </c>
      <c r="K429" s="2" t="s">
        <v>202</v>
      </c>
      <c r="L429" s="3">
        <v>18.5</v>
      </c>
      <c r="M429" s="3">
        <v>19.42</v>
      </c>
      <c r="N429" s="3">
        <v>39.99</v>
      </c>
      <c r="O429" s="2" t="s">
        <v>203</v>
      </c>
      <c r="P429" s="2" t="s">
        <v>492</v>
      </c>
      <c r="Q429" s="2" t="s">
        <v>205</v>
      </c>
      <c r="R429" s="2" t="s">
        <v>206</v>
      </c>
      <c r="S429" s="2" t="s">
        <v>206</v>
      </c>
      <c r="T429" s="2" t="s">
        <v>206</v>
      </c>
      <c r="U429" s="2" t="s">
        <v>206</v>
      </c>
      <c r="V429" s="2" t="s">
        <v>209</v>
      </c>
      <c r="W429" s="2" t="s">
        <v>206</v>
      </c>
      <c r="X429" s="2" t="s">
        <v>206</v>
      </c>
      <c r="Y429" s="2" t="s">
        <v>2857</v>
      </c>
      <c r="Z429" s="4">
        <v>474</v>
      </c>
      <c r="AA429" s="4">
        <f>=ROUNDDOWN(33.8571428571429,0)</f>
      </c>
      <c r="AB429" s="5">
        <v>14</v>
      </c>
      <c r="AC429" s="2" t="s">
        <v>206</v>
      </c>
      <c r="AD429" s="4"/>
      <c r="AE429" s="4"/>
      <c r="AF429" s="6"/>
      <c r="AG429" s="6">
        <v>73</v>
      </c>
      <c r="AH429" s="7">
        <v>1</v>
      </c>
      <c r="AI429" s="4"/>
      <c r="AJ429" s="4">
        <f>=ROUNDDOWN({0},0)</f>
      </c>
      <c r="AK429" s="5"/>
      <c r="AL429" s="2" t="s">
        <v>206</v>
      </c>
      <c r="AM429" s="4"/>
      <c r="AN429" s="4"/>
      <c r="AO429" s="7"/>
      <c r="AP429" s="4"/>
      <c r="AQ429" s="8"/>
      <c r="AR429" s="4"/>
      <c r="AS429" s="8"/>
      <c r="AT429" s="7"/>
      <c r="AU429" s="7"/>
      <c r="AV429" s="4" t="s">
        <v>206</v>
      </c>
      <c r="AW429" s="8" t="s">
        <v>206</v>
      </c>
      <c r="AX429" s="4" t="s">
        <v>206</v>
      </c>
      <c r="AY429" s="8" t="s">
        <v>206</v>
      </c>
      <c r="AZ429" s="7" t="s">
        <v>206</v>
      </c>
      <c r="BA429" s="7" t="s">
        <v>206</v>
      </c>
      <c r="BB429" s="7"/>
      <c r="BC429" s="4" t="s">
        <v>206</v>
      </c>
      <c r="BD429" s="8" t="s">
        <v>206</v>
      </c>
      <c r="BE429" s="4" t="s">
        <v>206</v>
      </c>
      <c r="BF429" s="8" t="s">
        <v>206</v>
      </c>
      <c r="BG429" s="7" t="s">
        <v>206</v>
      </c>
      <c r="BH429" s="7" t="s">
        <v>206</v>
      </c>
      <c r="BI429" s="7"/>
      <c r="BJ429" s="4">
        <v>22</v>
      </c>
      <c r="BK429" s="8">
        <v>473.76</v>
      </c>
      <c r="BL429" s="2" t="s">
        <v>3009</v>
      </c>
      <c r="BM429" s="7"/>
      <c r="BN429" s="7"/>
      <c r="BO429" s="4"/>
      <c r="BP429" s="8"/>
      <c r="BQ429" s="4"/>
      <c r="BR429" s="8"/>
      <c r="BS429" s="7"/>
      <c r="BT429" s="7"/>
      <c r="BU429" s="2" t="s">
        <v>3018</v>
      </c>
      <c r="BV429" s="2" t="s">
        <v>206</v>
      </c>
      <c r="BW429" s="2" t="s">
        <v>206</v>
      </c>
      <c r="BX429" s="2" t="s">
        <v>214</v>
      </c>
      <c r="BY429" s="2" t="s">
        <v>215</v>
      </c>
      <c r="BZ429" s="2" t="s">
        <v>203</v>
      </c>
      <c r="CA429" s="2" t="s">
        <v>3015</v>
      </c>
      <c r="CB429" s="2" t="s">
        <v>3016</v>
      </c>
      <c r="CC429" s="2" t="s">
        <v>218</v>
      </c>
      <c r="CD429" s="2" t="s">
        <v>206</v>
      </c>
      <c r="CE429" s="4"/>
      <c r="CF429" s="4"/>
      <c r="CG429" s="4"/>
      <c r="CH429" s="4">
        <v>474</v>
      </c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  <c r="FU429" s="4"/>
      <c r="FV429" s="4"/>
      <c r="FW429" s="4"/>
      <c r="FX429" s="4"/>
      <c r="FY429" s="4"/>
      <c r="FZ429" s="4"/>
      <c r="GA429" s="4"/>
      <c r="GB429" s="4"/>
      <c r="GC429" s="4"/>
      <c r="GD429" s="4"/>
      <c r="GE429" s="4"/>
      <c r="GF429" s="4"/>
    </row>
    <row r="430">
      <c r="A430" s="2" t="s">
        <v>3019</v>
      </c>
      <c r="B430" s="2" t="s">
        <v>2987</v>
      </c>
      <c r="C430" s="2" t="s">
        <v>462</v>
      </c>
      <c r="D430" s="2" t="s">
        <v>2988</v>
      </c>
      <c r="E430" s="2" t="s">
        <v>2989</v>
      </c>
      <c r="F430" s="2" t="s">
        <v>3020</v>
      </c>
      <c r="G430" s="2" t="s">
        <v>206</v>
      </c>
      <c r="H430" s="2" t="s">
        <v>206</v>
      </c>
      <c r="I430" s="2" t="s">
        <v>3021</v>
      </c>
      <c r="J430" s="2" t="s">
        <v>2992</v>
      </c>
      <c r="K430" s="2" t="s">
        <v>3022</v>
      </c>
      <c r="L430" s="3">
        <v>9</v>
      </c>
      <c r="M430" s="3">
        <v>10.5</v>
      </c>
      <c r="N430" s="3">
        <v>19.99</v>
      </c>
      <c r="O430" s="2" t="s">
        <v>203</v>
      </c>
      <c r="P430" s="2" t="s">
        <v>492</v>
      </c>
      <c r="Q430" s="2" t="s">
        <v>205</v>
      </c>
      <c r="R430" s="2" t="s">
        <v>206</v>
      </c>
      <c r="S430" s="2" t="s">
        <v>206</v>
      </c>
      <c r="T430" s="2" t="s">
        <v>206</v>
      </c>
      <c r="U430" s="2" t="s">
        <v>206</v>
      </c>
      <c r="V430" s="2" t="s">
        <v>468</v>
      </c>
      <c r="W430" s="2" t="s">
        <v>206</v>
      </c>
      <c r="X430" s="2" t="s">
        <v>206</v>
      </c>
      <c r="Y430" s="2" t="s">
        <v>3023</v>
      </c>
      <c r="Z430" s="4">
        <v>363</v>
      </c>
      <c r="AA430" s="4">
        <f>=ROUNDDOWN(19.1052631578947,0)</f>
      </c>
      <c r="AB430" s="5">
        <v>19</v>
      </c>
      <c r="AC430" s="2" t="s">
        <v>206</v>
      </c>
      <c r="AD430" s="4"/>
      <c r="AE430" s="4"/>
      <c r="AF430" s="6"/>
      <c r="AG430" s="6">
        <v>48</v>
      </c>
      <c r="AH430" s="7">
        <v>1</v>
      </c>
      <c r="AI430" s="4"/>
      <c r="AJ430" s="4">
        <f>=ROUNDDOWN({0},0)</f>
      </c>
      <c r="AK430" s="5"/>
      <c r="AL430" s="2" t="s">
        <v>206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 t="s">
        <v>206</v>
      </c>
      <c r="AW430" s="8" t="s">
        <v>206</v>
      </c>
      <c r="AX430" s="4" t="s">
        <v>206</v>
      </c>
      <c r="AY430" s="8" t="s">
        <v>206</v>
      </c>
      <c r="AZ430" s="7" t="s">
        <v>206</v>
      </c>
      <c r="BA430" s="7" t="s">
        <v>206</v>
      </c>
      <c r="BB430" s="7"/>
      <c r="BC430" s="4" t="s">
        <v>206</v>
      </c>
      <c r="BD430" s="8" t="s">
        <v>206</v>
      </c>
      <c r="BE430" s="4" t="s">
        <v>206</v>
      </c>
      <c r="BF430" s="8" t="s">
        <v>206</v>
      </c>
      <c r="BG430" s="7" t="s">
        <v>206</v>
      </c>
      <c r="BH430" s="7" t="s">
        <v>206</v>
      </c>
      <c r="BI430" s="7"/>
      <c r="BJ430" s="4">
        <v>4</v>
      </c>
      <c r="BK430" s="8">
        <v>68</v>
      </c>
      <c r="BL430" s="2" t="s">
        <v>3024</v>
      </c>
      <c r="BM430" s="7"/>
      <c r="BN430" s="7"/>
      <c r="BO430" s="4"/>
      <c r="BP430" s="8"/>
      <c r="BQ430" s="4"/>
      <c r="BR430" s="8"/>
      <c r="BS430" s="7"/>
      <c r="BT430" s="7"/>
      <c r="BU430" s="2" t="s">
        <v>3025</v>
      </c>
      <c r="BV430" s="2" t="s">
        <v>206</v>
      </c>
      <c r="BW430" s="2" t="s">
        <v>206</v>
      </c>
      <c r="BX430" s="2" t="s">
        <v>214</v>
      </c>
      <c r="BY430" s="2" t="s">
        <v>215</v>
      </c>
      <c r="BZ430" s="2" t="s">
        <v>203</v>
      </c>
      <c r="CA430" s="2" t="s">
        <v>1446</v>
      </c>
      <c r="CB430" s="2" t="s">
        <v>206</v>
      </c>
      <c r="CC430" s="2" t="s">
        <v>218</v>
      </c>
      <c r="CD430" s="2" t="s">
        <v>206</v>
      </c>
      <c r="CE430" s="4"/>
      <c r="CF430" s="4"/>
      <c r="CG430" s="4"/>
      <c r="CH430" s="4">
        <v>363</v>
      </c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  <c r="FU430" s="4"/>
      <c r="FV430" s="4"/>
      <c r="FW430" s="4"/>
      <c r="FX430" s="4"/>
      <c r="FY430" s="4"/>
      <c r="FZ430" s="4"/>
      <c r="GA430" s="4"/>
      <c r="GB430" s="4"/>
      <c r="GC430" s="4"/>
      <c r="GD430" s="4"/>
      <c r="GE430" s="4"/>
      <c r="GF430" s="4"/>
    </row>
    <row r="431">
      <c r="A431" s="2" t="s">
        <v>3026</v>
      </c>
      <c r="B431" s="2" t="s">
        <v>2987</v>
      </c>
      <c r="C431" s="2" t="s">
        <v>462</v>
      </c>
      <c r="D431" s="2" t="s">
        <v>2988</v>
      </c>
      <c r="E431" s="2" t="s">
        <v>2989</v>
      </c>
      <c r="F431" s="2" t="s">
        <v>3020</v>
      </c>
      <c r="G431" s="2" t="s">
        <v>206</v>
      </c>
      <c r="H431" s="2" t="s">
        <v>206</v>
      </c>
      <c r="I431" s="2" t="s">
        <v>3021</v>
      </c>
      <c r="J431" s="2" t="s">
        <v>2998</v>
      </c>
      <c r="K431" s="2" t="s">
        <v>3022</v>
      </c>
      <c r="L431" s="3">
        <v>9</v>
      </c>
      <c r="M431" s="3">
        <v>10.5</v>
      </c>
      <c r="N431" s="3">
        <v>19.99</v>
      </c>
      <c r="O431" s="2" t="s">
        <v>203</v>
      </c>
      <c r="P431" s="2" t="s">
        <v>492</v>
      </c>
      <c r="Q431" s="2" t="s">
        <v>205</v>
      </c>
      <c r="R431" s="2" t="s">
        <v>206</v>
      </c>
      <c r="S431" s="2" t="s">
        <v>206</v>
      </c>
      <c r="T431" s="2" t="s">
        <v>206</v>
      </c>
      <c r="U431" s="2" t="s">
        <v>206</v>
      </c>
      <c r="V431" s="2" t="s">
        <v>468</v>
      </c>
      <c r="W431" s="2" t="s">
        <v>206</v>
      </c>
      <c r="X431" s="2" t="s">
        <v>206</v>
      </c>
      <c r="Y431" s="2" t="s">
        <v>3023</v>
      </c>
      <c r="Z431" s="4">
        <v>400</v>
      </c>
      <c r="AA431" s="4">
        <f>=ROUNDDOWN(133.333333333333,0)</f>
      </c>
      <c r="AB431" s="5">
        <v>3</v>
      </c>
      <c r="AC431" s="2" t="s">
        <v>206</v>
      </c>
      <c r="AD431" s="4"/>
      <c r="AE431" s="4"/>
      <c r="AF431" s="6"/>
      <c r="AG431" s="6">
        <v>48</v>
      </c>
      <c r="AH431" s="7">
        <v>1</v>
      </c>
      <c r="AI431" s="4"/>
      <c r="AJ431" s="4">
        <f>=ROUNDDOWN({0},0)</f>
      </c>
      <c r="AK431" s="5"/>
      <c r="AL431" s="2" t="s">
        <v>206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 t="s">
        <v>206</v>
      </c>
      <c r="AW431" s="8" t="s">
        <v>206</v>
      </c>
      <c r="AX431" s="4" t="s">
        <v>206</v>
      </c>
      <c r="AY431" s="8" t="s">
        <v>206</v>
      </c>
      <c r="AZ431" s="7" t="s">
        <v>206</v>
      </c>
      <c r="BA431" s="7" t="s">
        <v>206</v>
      </c>
      <c r="BB431" s="7"/>
      <c r="BC431" s="4" t="s">
        <v>206</v>
      </c>
      <c r="BD431" s="8" t="s">
        <v>206</v>
      </c>
      <c r="BE431" s="4" t="s">
        <v>206</v>
      </c>
      <c r="BF431" s="8" t="s">
        <v>206</v>
      </c>
      <c r="BG431" s="7" t="s">
        <v>206</v>
      </c>
      <c r="BH431" s="7" t="s">
        <v>206</v>
      </c>
      <c r="BI431" s="7"/>
      <c r="BJ431" s="4">
        <v>4</v>
      </c>
      <c r="BK431" s="8">
        <v>61</v>
      </c>
      <c r="BL431" s="2" t="s">
        <v>3027</v>
      </c>
      <c r="BM431" s="7"/>
      <c r="BN431" s="7"/>
      <c r="BO431" s="4"/>
      <c r="BP431" s="8"/>
      <c r="BQ431" s="4"/>
      <c r="BR431" s="8"/>
      <c r="BS431" s="7"/>
      <c r="BT431" s="7"/>
      <c r="BU431" s="2" t="s">
        <v>3028</v>
      </c>
      <c r="BV431" s="2" t="s">
        <v>206</v>
      </c>
      <c r="BW431" s="2" t="s">
        <v>206</v>
      </c>
      <c r="BX431" s="2" t="s">
        <v>214</v>
      </c>
      <c r="BY431" s="2" t="s">
        <v>215</v>
      </c>
      <c r="BZ431" s="2" t="s">
        <v>203</v>
      </c>
      <c r="CA431" s="2" t="s">
        <v>1446</v>
      </c>
      <c r="CB431" s="2" t="s">
        <v>206</v>
      </c>
      <c r="CC431" s="2" t="s">
        <v>218</v>
      </c>
      <c r="CD431" s="2" t="s">
        <v>206</v>
      </c>
      <c r="CE431" s="4"/>
      <c r="CF431" s="4"/>
      <c r="CG431" s="4"/>
      <c r="CH431" s="4">
        <v>400</v>
      </c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  <c r="FU431" s="4"/>
      <c r="FV431" s="4"/>
      <c r="FW431" s="4"/>
      <c r="FX431" s="4"/>
      <c r="FY431" s="4"/>
      <c r="FZ431" s="4"/>
      <c r="GA431" s="4"/>
      <c r="GB431" s="4"/>
      <c r="GC431" s="4"/>
      <c r="GD431" s="4"/>
      <c r="GE431" s="4"/>
      <c r="GF431" s="4"/>
    </row>
    <row r="432">
      <c r="A432" s="2" t="s">
        <v>3029</v>
      </c>
      <c r="B432" s="2" t="s">
        <v>2987</v>
      </c>
      <c r="C432" s="2" t="s">
        <v>462</v>
      </c>
      <c r="D432" s="2" t="s">
        <v>2988</v>
      </c>
      <c r="E432" s="2" t="s">
        <v>2989</v>
      </c>
      <c r="F432" s="2" t="s">
        <v>3020</v>
      </c>
      <c r="G432" s="2" t="s">
        <v>206</v>
      </c>
      <c r="H432" s="2" t="s">
        <v>206</v>
      </c>
      <c r="I432" s="2" t="s">
        <v>3021</v>
      </c>
      <c r="J432" s="2" t="s">
        <v>2992</v>
      </c>
      <c r="K432" s="2" t="s">
        <v>3030</v>
      </c>
      <c r="L432" s="3">
        <v>9</v>
      </c>
      <c r="M432" s="3">
        <v>10.5</v>
      </c>
      <c r="N432" s="3">
        <v>19.99</v>
      </c>
      <c r="O432" s="2" t="s">
        <v>203</v>
      </c>
      <c r="P432" s="2" t="s">
        <v>492</v>
      </c>
      <c r="Q432" s="2" t="s">
        <v>205</v>
      </c>
      <c r="R432" s="2" t="s">
        <v>206</v>
      </c>
      <c r="S432" s="2" t="s">
        <v>206</v>
      </c>
      <c r="T432" s="2" t="s">
        <v>206</v>
      </c>
      <c r="U432" s="2" t="s">
        <v>206</v>
      </c>
      <c r="V432" s="2" t="s">
        <v>468</v>
      </c>
      <c r="W432" s="2" t="s">
        <v>206</v>
      </c>
      <c r="X432" s="2" t="s">
        <v>206</v>
      </c>
      <c r="Y432" s="2" t="s">
        <v>3023</v>
      </c>
      <c r="Z432" s="4">
        <v>363</v>
      </c>
      <c r="AA432" s="4">
        <f>=ROUNDDOWN(90.75,0)</f>
      </c>
      <c r="AB432" s="5">
        <v>4</v>
      </c>
      <c r="AC432" s="2" t="s">
        <v>206</v>
      </c>
      <c r="AD432" s="4"/>
      <c r="AE432" s="4"/>
      <c r="AF432" s="6"/>
      <c r="AG432" s="6">
        <v>48</v>
      </c>
      <c r="AH432" s="7">
        <v>1</v>
      </c>
      <c r="AI432" s="4"/>
      <c r="AJ432" s="4">
        <f>=ROUNDDOWN({0},0)</f>
      </c>
      <c r="AK432" s="5"/>
      <c r="AL432" s="2" t="s">
        <v>206</v>
      </c>
      <c r="AM432" s="4"/>
      <c r="AN432" s="4"/>
      <c r="AO432" s="7"/>
      <c r="AP432" s="4"/>
      <c r="AQ432" s="8"/>
      <c r="AR432" s="4"/>
      <c r="AS432" s="8"/>
      <c r="AT432" s="7"/>
      <c r="AU432" s="7"/>
      <c r="AV432" s="4" t="s">
        <v>206</v>
      </c>
      <c r="AW432" s="8" t="s">
        <v>206</v>
      </c>
      <c r="AX432" s="4" t="s">
        <v>206</v>
      </c>
      <c r="AY432" s="8" t="s">
        <v>206</v>
      </c>
      <c r="AZ432" s="7" t="s">
        <v>206</v>
      </c>
      <c r="BA432" s="7" t="s">
        <v>206</v>
      </c>
      <c r="BB432" s="7"/>
      <c r="BC432" s="4" t="s">
        <v>206</v>
      </c>
      <c r="BD432" s="8" t="s">
        <v>206</v>
      </c>
      <c r="BE432" s="4" t="s">
        <v>206</v>
      </c>
      <c r="BF432" s="8" t="s">
        <v>206</v>
      </c>
      <c r="BG432" s="7" t="s">
        <v>206</v>
      </c>
      <c r="BH432" s="7" t="s">
        <v>206</v>
      </c>
      <c r="BI432" s="7"/>
      <c r="BJ432" s="4">
        <v>31</v>
      </c>
      <c r="BK432" s="8">
        <v>517</v>
      </c>
      <c r="BL432" s="2" t="s">
        <v>3031</v>
      </c>
      <c r="BM432" s="7"/>
      <c r="BN432" s="7"/>
      <c r="BO432" s="4"/>
      <c r="BP432" s="8"/>
      <c r="BQ432" s="4"/>
      <c r="BR432" s="8"/>
      <c r="BS432" s="7"/>
      <c r="BT432" s="7"/>
      <c r="BU432" s="2" t="s">
        <v>3032</v>
      </c>
      <c r="BV432" s="2" t="s">
        <v>206</v>
      </c>
      <c r="BW432" s="2" t="s">
        <v>206</v>
      </c>
      <c r="BX432" s="2" t="s">
        <v>214</v>
      </c>
      <c r="BY432" s="2" t="s">
        <v>215</v>
      </c>
      <c r="BZ432" s="2" t="s">
        <v>203</v>
      </c>
      <c r="CA432" s="2" t="s">
        <v>3033</v>
      </c>
      <c r="CB432" s="2" t="s">
        <v>3034</v>
      </c>
      <c r="CC432" s="2" t="s">
        <v>218</v>
      </c>
      <c r="CD432" s="2" t="s">
        <v>206</v>
      </c>
      <c r="CE432" s="4"/>
      <c r="CF432" s="4"/>
      <c r="CG432" s="4"/>
      <c r="CH432" s="4">
        <v>363</v>
      </c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  <c r="FU432" s="4"/>
      <c r="FV432" s="4"/>
      <c r="FW432" s="4"/>
      <c r="FX432" s="4"/>
      <c r="FY432" s="4"/>
      <c r="FZ432" s="4"/>
      <c r="GA432" s="4"/>
      <c r="GB432" s="4"/>
      <c r="GC432" s="4"/>
      <c r="GD432" s="4"/>
      <c r="GE432" s="4"/>
      <c r="GF432" s="4"/>
    </row>
    <row r="433">
      <c r="A433" s="2" t="s">
        <v>3035</v>
      </c>
      <c r="B433" s="2" t="s">
        <v>2987</v>
      </c>
      <c r="C433" s="2" t="s">
        <v>462</v>
      </c>
      <c r="D433" s="2" t="s">
        <v>2988</v>
      </c>
      <c r="E433" s="2" t="s">
        <v>2989</v>
      </c>
      <c r="F433" s="2" t="s">
        <v>3020</v>
      </c>
      <c r="G433" s="2" t="s">
        <v>206</v>
      </c>
      <c r="H433" s="2" t="s">
        <v>206</v>
      </c>
      <c r="I433" s="2" t="s">
        <v>3021</v>
      </c>
      <c r="J433" s="2" t="s">
        <v>2998</v>
      </c>
      <c r="K433" s="2" t="s">
        <v>3030</v>
      </c>
      <c r="L433" s="3">
        <v>9</v>
      </c>
      <c r="M433" s="3">
        <v>10.5</v>
      </c>
      <c r="N433" s="3">
        <v>19.99</v>
      </c>
      <c r="O433" s="2" t="s">
        <v>203</v>
      </c>
      <c r="P433" s="2" t="s">
        <v>492</v>
      </c>
      <c r="Q433" s="2" t="s">
        <v>205</v>
      </c>
      <c r="R433" s="2" t="s">
        <v>206</v>
      </c>
      <c r="S433" s="2" t="s">
        <v>206</v>
      </c>
      <c r="T433" s="2" t="s">
        <v>206</v>
      </c>
      <c r="U433" s="2" t="s">
        <v>206</v>
      </c>
      <c r="V433" s="2" t="s">
        <v>468</v>
      </c>
      <c r="W433" s="2" t="s">
        <v>206</v>
      </c>
      <c r="X433" s="2" t="s">
        <v>206</v>
      </c>
      <c r="Y433" s="2" t="s">
        <v>3023</v>
      </c>
      <c r="Z433" s="4">
        <v>732</v>
      </c>
      <c r="AA433" s="4">
        <f>=ROUNDDOWN(244,0)</f>
      </c>
      <c r="AB433" s="5">
        <v>3</v>
      </c>
      <c r="AC433" s="2" t="s">
        <v>206</v>
      </c>
      <c r="AD433" s="4"/>
      <c r="AE433" s="4"/>
      <c r="AF433" s="6"/>
      <c r="AG433" s="6">
        <v>48</v>
      </c>
      <c r="AH433" s="7">
        <v>1</v>
      </c>
      <c r="AI433" s="4"/>
      <c r="AJ433" s="4">
        <f>=ROUNDDOWN({0},0)</f>
      </c>
      <c r="AK433" s="5"/>
      <c r="AL433" s="2" t="s">
        <v>206</v>
      </c>
      <c r="AM433" s="4"/>
      <c r="AN433" s="4"/>
      <c r="AO433" s="7"/>
      <c r="AP433" s="4"/>
      <c r="AQ433" s="8"/>
      <c r="AR433" s="4"/>
      <c r="AS433" s="8"/>
      <c r="AT433" s="7"/>
      <c r="AU433" s="7"/>
      <c r="AV433" s="4" t="s">
        <v>206</v>
      </c>
      <c r="AW433" s="8" t="s">
        <v>206</v>
      </c>
      <c r="AX433" s="4" t="s">
        <v>206</v>
      </c>
      <c r="AY433" s="8" t="s">
        <v>206</v>
      </c>
      <c r="AZ433" s="7" t="s">
        <v>206</v>
      </c>
      <c r="BA433" s="7" t="s">
        <v>206</v>
      </c>
      <c r="BB433" s="7"/>
      <c r="BC433" s="4" t="s">
        <v>206</v>
      </c>
      <c r="BD433" s="8" t="s">
        <v>206</v>
      </c>
      <c r="BE433" s="4" t="s">
        <v>206</v>
      </c>
      <c r="BF433" s="8" t="s">
        <v>206</v>
      </c>
      <c r="BG433" s="7" t="s">
        <v>206</v>
      </c>
      <c r="BH433" s="7" t="s">
        <v>206</v>
      </c>
      <c r="BI433" s="7"/>
      <c r="BJ433" s="4">
        <v>14</v>
      </c>
      <c r="BK433" s="8">
        <v>233</v>
      </c>
      <c r="BL433" s="2" t="s">
        <v>3031</v>
      </c>
      <c r="BM433" s="7"/>
      <c r="BN433" s="7"/>
      <c r="BO433" s="4"/>
      <c r="BP433" s="8"/>
      <c r="BQ433" s="4"/>
      <c r="BR433" s="8"/>
      <c r="BS433" s="7"/>
      <c r="BT433" s="7"/>
      <c r="BU433" s="2" t="s">
        <v>3036</v>
      </c>
      <c r="BV433" s="2" t="s">
        <v>206</v>
      </c>
      <c r="BW433" s="2" t="s">
        <v>206</v>
      </c>
      <c r="BX433" s="2" t="s">
        <v>214</v>
      </c>
      <c r="BY433" s="2" t="s">
        <v>215</v>
      </c>
      <c r="BZ433" s="2" t="s">
        <v>203</v>
      </c>
      <c r="CA433" s="2" t="s">
        <v>3033</v>
      </c>
      <c r="CB433" s="2" t="s">
        <v>3037</v>
      </c>
      <c r="CC433" s="2" t="s">
        <v>218</v>
      </c>
      <c r="CD433" s="2" t="s">
        <v>206</v>
      </c>
      <c r="CE433" s="4"/>
      <c r="CF433" s="4"/>
      <c r="CG433" s="4"/>
      <c r="CH433" s="4">
        <v>732</v>
      </c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  <c r="FU433" s="4"/>
      <c r="FV433" s="4"/>
      <c r="FW433" s="4"/>
      <c r="FX433" s="4"/>
      <c r="FY433" s="4"/>
      <c r="FZ433" s="4"/>
      <c r="GA433" s="4"/>
      <c r="GB433" s="4"/>
      <c r="GC433" s="4"/>
      <c r="GD433" s="4"/>
      <c r="GE433" s="4"/>
      <c r="GF433" s="4"/>
    </row>
    <row r="434">
      <c r="A434" s="2" t="s">
        <v>3038</v>
      </c>
      <c r="B434" s="2" t="s">
        <v>2987</v>
      </c>
      <c r="C434" s="2" t="s">
        <v>462</v>
      </c>
      <c r="D434" s="2" t="s">
        <v>2988</v>
      </c>
      <c r="E434" s="2" t="s">
        <v>2989</v>
      </c>
      <c r="F434" s="2" t="s">
        <v>3039</v>
      </c>
      <c r="G434" s="2" t="s">
        <v>206</v>
      </c>
      <c r="H434" s="2" t="s">
        <v>206</v>
      </c>
      <c r="I434" s="2" t="s">
        <v>3040</v>
      </c>
      <c r="J434" s="2" t="s">
        <v>3041</v>
      </c>
      <c r="K434" s="2" t="s">
        <v>3042</v>
      </c>
      <c r="L434" s="3">
        <v>15</v>
      </c>
      <c r="M434" s="3">
        <v>15.75</v>
      </c>
      <c r="N434" s="3">
        <v>29.99</v>
      </c>
      <c r="O434" s="2" t="s">
        <v>203</v>
      </c>
      <c r="P434" s="2" t="s">
        <v>492</v>
      </c>
      <c r="Q434" s="2" t="s">
        <v>205</v>
      </c>
      <c r="R434" s="2" t="s">
        <v>206</v>
      </c>
      <c r="S434" s="2" t="s">
        <v>206</v>
      </c>
      <c r="T434" s="2" t="s">
        <v>206</v>
      </c>
      <c r="U434" s="2" t="s">
        <v>206</v>
      </c>
      <c r="V434" s="2" t="s">
        <v>468</v>
      </c>
      <c r="W434" s="2" t="s">
        <v>206</v>
      </c>
      <c r="X434" s="2" t="s">
        <v>206</v>
      </c>
      <c r="Y434" s="2" t="s">
        <v>3043</v>
      </c>
      <c r="Z434" s="4">
        <v>330</v>
      </c>
      <c r="AA434" s="4">
        <f>=ROUNDDOWN(110,0)</f>
      </c>
      <c r="AB434" s="5">
        <v>3</v>
      </c>
      <c r="AC434" s="2" t="s">
        <v>206</v>
      </c>
      <c r="AD434" s="4"/>
      <c r="AE434" s="4"/>
      <c r="AF434" s="6"/>
      <c r="AG434" s="6">
        <v>48</v>
      </c>
      <c r="AH434" s="7">
        <v>1</v>
      </c>
      <c r="AI434" s="4"/>
      <c r="AJ434" s="4">
        <f>=ROUNDDOWN({0},0)</f>
      </c>
      <c r="AK434" s="5"/>
      <c r="AL434" s="2" t="s">
        <v>206</v>
      </c>
      <c r="AM434" s="4"/>
      <c r="AN434" s="4"/>
      <c r="AO434" s="7"/>
      <c r="AP434" s="4"/>
      <c r="AQ434" s="8"/>
      <c r="AR434" s="4"/>
      <c r="AS434" s="8"/>
      <c r="AT434" s="7"/>
      <c r="AU434" s="7"/>
      <c r="AV434" s="4" t="s">
        <v>206</v>
      </c>
      <c r="AW434" s="8" t="s">
        <v>206</v>
      </c>
      <c r="AX434" s="4" t="s">
        <v>206</v>
      </c>
      <c r="AY434" s="8" t="s">
        <v>206</v>
      </c>
      <c r="AZ434" s="7" t="s">
        <v>206</v>
      </c>
      <c r="BA434" s="7" t="s">
        <v>206</v>
      </c>
      <c r="BB434" s="7"/>
      <c r="BC434" s="4" t="s">
        <v>206</v>
      </c>
      <c r="BD434" s="8" t="s">
        <v>206</v>
      </c>
      <c r="BE434" s="4" t="s">
        <v>206</v>
      </c>
      <c r="BF434" s="8" t="s">
        <v>206</v>
      </c>
      <c r="BG434" s="7" t="s">
        <v>206</v>
      </c>
      <c r="BH434" s="7" t="s">
        <v>206</v>
      </c>
      <c r="BI434" s="7"/>
      <c r="BJ434" s="4">
        <v>3</v>
      </c>
      <c r="BK434" s="8">
        <v>53.8</v>
      </c>
      <c r="BL434" s="2" t="s">
        <v>3044</v>
      </c>
      <c r="BM434" s="7"/>
      <c r="BN434" s="7"/>
      <c r="BO434" s="4"/>
      <c r="BP434" s="8"/>
      <c r="BQ434" s="4"/>
      <c r="BR434" s="8"/>
      <c r="BS434" s="7"/>
      <c r="BT434" s="7"/>
      <c r="BU434" s="2" t="s">
        <v>3045</v>
      </c>
      <c r="BV434" s="2" t="s">
        <v>206</v>
      </c>
      <c r="BW434" s="2" t="s">
        <v>206</v>
      </c>
      <c r="BX434" s="2" t="s">
        <v>214</v>
      </c>
      <c r="BY434" s="2" t="s">
        <v>215</v>
      </c>
      <c r="BZ434" s="2" t="s">
        <v>203</v>
      </c>
      <c r="CA434" s="2" t="s">
        <v>3046</v>
      </c>
      <c r="CB434" s="2" t="s">
        <v>3047</v>
      </c>
      <c r="CC434" s="2" t="s">
        <v>218</v>
      </c>
      <c r="CD434" s="2" t="s">
        <v>206</v>
      </c>
      <c r="CE434" s="4"/>
      <c r="CF434" s="4"/>
      <c r="CG434" s="4"/>
      <c r="CH434" s="4">
        <v>330</v>
      </c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  <c r="FS434" s="4"/>
      <c r="FT434" s="4"/>
      <c r="FU434" s="4"/>
      <c r="FV434" s="4"/>
      <c r="FW434" s="4"/>
      <c r="FX434" s="4"/>
      <c r="FY434" s="4"/>
      <c r="FZ434" s="4"/>
      <c r="GA434" s="4"/>
      <c r="GB434" s="4"/>
      <c r="GC434" s="4"/>
      <c r="GD434" s="4"/>
      <c r="GE434" s="4"/>
      <c r="GF434" s="4"/>
    </row>
    <row r="435">
      <c r="A435" s="2" t="s">
        <v>3048</v>
      </c>
      <c r="B435" s="2" t="s">
        <v>2987</v>
      </c>
      <c r="C435" s="2" t="s">
        <v>462</v>
      </c>
      <c r="D435" s="2" t="s">
        <v>2988</v>
      </c>
      <c r="E435" s="2" t="s">
        <v>2989</v>
      </c>
      <c r="F435" s="2" t="s">
        <v>3039</v>
      </c>
      <c r="G435" s="2" t="s">
        <v>206</v>
      </c>
      <c r="H435" s="2" t="s">
        <v>206</v>
      </c>
      <c r="I435" s="2" t="s">
        <v>3040</v>
      </c>
      <c r="J435" s="2" t="s">
        <v>3049</v>
      </c>
      <c r="K435" s="2" t="s">
        <v>3042</v>
      </c>
      <c r="L435" s="3">
        <v>15</v>
      </c>
      <c r="M435" s="3">
        <v>15.75</v>
      </c>
      <c r="N435" s="3">
        <v>29.99</v>
      </c>
      <c r="O435" s="2" t="s">
        <v>203</v>
      </c>
      <c r="P435" s="2" t="s">
        <v>492</v>
      </c>
      <c r="Q435" s="2" t="s">
        <v>205</v>
      </c>
      <c r="R435" s="2" t="s">
        <v>206</v>
      </c>
      <c r="S435" s="2" t="s">
        <v>206</v>
      </c>
      <c r="T435" s="2" t="s">
        <v>206</v>
      </c>
      <c r="U435" s="2" t="s">
        <v>206</v>
      </c>
      <c r="V435" s="2" t="s">
        <v>468</v>
      </c>
      <c r="W435" s="2" t="s">
        <v>206</v>
      </c>
      <c r="X435" s="2" t="s">
        <v>206</v>
      </c>
      <c r="Y435" s="2" t="s">
        <v>3043</v>
      </c>
      <c r="Z435" s="4">
        <v>428</v>
      </c>
      <c r="AA435" s="4">
        <f>=ROUNDDOWN(285.333333333333,0)</f>
      </c>
      <c r="AB435" s="5">
        <v>1.5</v>
      </c>
      <c r="AC435" s="2" t="s">
        <v>206</v>
      </c>
      <c r="AD435" s="4"/>
      <c r="AE435" s="4"/>
      <c r="AF435" s="6"/>
      <c r="AG435" s="6">
        <v>48</v>
      </c>
      <c r="AH435" s="7">
        <v>1</v>
      </c>
      <c r="AI435" s="4"/>
      <c r="AJ435" s="4">
        <f>=ROUNDDOWN({0},0)</f>
      </c>
      <c r="AK435" s="5"/>
      <c r="AL435" s="2" t="s">
        <v>206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 t="s">
        <v>206</v>
      </c>
      <c r="AW435" s="8" t="s">
        <v>206</v>
      </c>
      <c r="AX435" s="4" t="s">
        <v>206</v>
      </c>
      <c r="AY435" s="8" t="s">
        <v>206</v>
      </c>
      <c r="AZ435" s="7" t="s">
        <v>206</v>
      </c>
      <c r="BA435" s="7" t="s">
        <v>206</v>
      </c>
      <c r="BB435" s="7"/>
      <c r="BC435" s="4" t="s">
        <v>206</v>
      </c>
      <c r="BD435" s="8" t="s">
        <v>206</v>
      </c>
      <c r="BE435" s="4" t="s">
        <v>206</v>
      </c>
      <c r="BF435" s="8" t="s">
        <v>206</v>
      </c>
      <c r="BG435" s="7" t="s">
        <v>206</v>
      </c>
      <c r="BH435" s="7" t="s">
        <v>206</v>
      </c>
      <c r="BI435" s="7"/>
      <c r="BJ435" s="4">
        <v>7</v>
      </c>
      <c r="BK435" s="8">
        <v>131.4</v>
      </c>
      <c r="BL435" s="2" t="s">
        <v>3044</v>
      </c>
      <c r="BM435" s="7"/>
      <c r="BN435" s="7"/>
      <c r="BO435" s="4"/>
      <c r="BP435" s="8"/>
      <c r="BQ435" s="4"/>
      <c r="BR435" s="8"/>
      <c r="BS435" s="7"/>
      <c r="BT435" s="7"/>
      <c r="BU435" s="2" t="s">
        <v>3050</v>
      </c>
      <c r="BV435" s="2" t="s">
        <v>206</v>
      </c>
      <c r="BW435" s="2" t="s">
        <v>206</v>
      </c>
      <c r="BX435" s="2" t="s">
        <v>214</v>
      </c>
      <c r="BY435" s="2" t="s">
        <v>215</v>
      </c>
      <c r="BZ435" s="2" t="s">
        <v>203</v>
      </c>
      <c r="CA435" s="2" t="s">
        <v>3046</v>
      </c>
      <c r="CB435" s="2" t="s">
        <v>3051</v>
      </c>
      <c r="CC435" s="2" t="s">
        <v>218</v>
      </c>
      <c r="CD435" s="2" t="s">
        <v>206</v>
      </c>
      <c r="CE435" s="4"/>
      <c r="CF435" s="4"/>
      <c r="CG435" s="4"/>
      <c r="CH435" s="4">
        <v>428</v>
      </c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  <c r="FT435" s="4"/>
      <c r="FU435" s="4"/>
      <c r="FV435" s="4"/>
      <c r="FW435" s="4"/>
      <c r="FX435" s="4"/>
      <c r="FY435" s="4"/>
      <c r="FZ435" s="4"/>
      <c r="GA435" s="4"/>
      <c r="GB435" s="4"/>
      <c r="GC435" s="4"/>
      <c r="GD435" s="4"/>
      <c r="GE435" s="4"/>
      <c r="GF435" s="4"/>
    </row>
    <row r="436">
      <c r="A436" s="2" t="s">
        <v>3052</v>
      </c>
      <c r="B436" s="2" t="s">
        <v>2987</v>
      </c>
      <c r="C436" s="2" t="s">
        <v>462</v>
      </c>
      <c r="D436" s="2" t="s">
        <v>2988</v>
      </c>
      <c r="E436" s="2" t="s">
        <v>2989</v>
      </c>
      <c r="F436" s="2" t="s">
        <v>3039</v>
      </c>
      <c r="G436" s="2" t="s">
        <v>206</v>
      </c>
      <c r="H436" s="2" t="s">
        <v>206</v>
      </c>
      <c r="I436" s="2" t="s">
        <v>3040</v>
      </c>
      <c r="J436" s="2" t="s">
        <v>3053</v>
      </c>
      <c r="K436" s="2" t="s">
        <v>3042</v>
      </c>
      <c r="L436" s="3">
        <v>15</v>
      </c>
      <c r="M436" s="3">
        <v>15.75</v>
      </c>
      <c r="N436" s="3">
        <v>29.99</v>
      </c>
      <c r="O436" s="2" t="s">
        <v>203</v>
      </c>
      <c r="P436" s="2" t="s">
        <v>492</v>
      </c>
      <c r="Q436" s="2" t="s">
        <v>205</v>
      </c>
      <c r="R436" s="2" t="s">
        <v>206</v>
      </c>
      <c r="S436" s="2" t="s">
        <v>206</v>
      </c>
      <c r="T436" s="2" t="s">
        <v>206</v>
      </c>
      <c r="U436" s="2" t="s">
        <v>206</v>
      </c>
      <c r="V436" s="2" t="s">
        <v>468</v>
      </c>
      <c r="W436" s="2" t="s">
        <v>206</v>
      </c>
      <c r="X436" s="2" t="s">
        <v>206</v>
      </c>
      <c r="Y436" s="2" t="s">
        <v>3043</v>
      </c>
      <c r="Z436" s="4">
        <v>546</v>
      </c>
      <c r="AA436" s="4">
        <f>=ROUNDDOWN(151.666666666667,0)</f>
      </c>
      <c r="AB436" s="5">
        <v>3.6</v>
      </c>
      <c r="AC436" s="2" t="s">
        <v>206</v>
      </c>
      <c r="AD436" s="4"/>
      <c r="AE436" s="4"/>
      <c r="AF436" s="6"/>
      <c r="AG436" s="6">
        <v>48</v>
      </c>
      <c r="AH436" s="7">
        <v>1</v>
      </c>
      <c r="AI436" s="4"/>
      <c r="AJ436" s="4">
        <f>=ROUNDDOWN({0},0)</f>
      </c>
      <c r="AK436" s="5"/>
      <c r="AL436" s="2" t="s">
        <v>206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 t="s">
        <v>206</v>
      </c>
      <c r="AW436" s="8" t="s">
        <v>206</v>
      </c>
      <c r="AX436" s="4" t="s">
        <v>206</v>
      </c>
      <c r="AY436" s="8" t="s">
        <v>206</v>
      </c>
      <c r="AZ436" s="7" t="s">
        <v>206</v>
      </c>
      <c r="BA436" s="7" t="s">
        <v>206</v>
      </c>
      <c r="BB436" s="7"/>
      <c r="BC436" s="4" t="s">
        <v>206</v>
      </c>
      <c r="BD436" s="8" t="s">
        <v>206</v>
      </c>
      <c r="BE436" s="4" t="s">
        <v>206</v>
      </c>
      <c r="BF436" s="8" t="s">
        <v>206</v>
      </c>
      <c r="BG436" s="7" t="s">
        <v>206</v>
      </c>
      <c r="BH436" s="7" t="s">
        <v>206</v>
      </c>
      <c r="BI436" s="7"/>
      <c r="BJ436" s="4">
        <v>14</v>
      </c>
      <c r="BK436" s="8">
        <v>262.8</v>
      </c>
      <c r="BL436" s="2" t="s">
        <v>3044</v>
      </c>
      <c r="BM436" s="7"/>
      <c r="BN436" s="7"/>
      <c r="BO436" s="4"/>
      <c r="BP436" s="8"/>
      <c r="BQ436" s="4"/>
      <c r="BR436" s="8"/>
      <c r="BS436" s="7"/>
      <c r="BT436" s="7"/>
      <c r="BU436" s="2" t="s">
        <v>3054</v>
      </c>
      <c r="BV436" s="2" t="s">
        <v>206</v>
      </c>
      <c r="BW436" s="2" t="s">
        <v>206</v>
      </c>
      <c r="BX436" s="2" t="s">
        <v>214</v>
      </c>
      <c r="BY436" s="2" t="s">
        <v>215</v>
      </c>
      <c r="BZ436" s="2" t="s">
        <v>203</v>
      </c>
      <c r="CA436" s="2" t="s">
        <v>1446</v>
      </c>
      <c r="CB436" s="2" t="s">
        <v>3055</v>
      </c>
      <c r="CC436" s="2" t="s">
        <v>218</v>
      </c>
      <c r="CD436" s="2" t="s">
        <v>206</v>
      </c>
      <c r="CE436" s="4"/>
      <c r="CF436" s="4"/>
      <c r="CG436" s="4"/>
      <c r="CH436" s="4">
        <v>546</v>
      </c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  <c r="FU436" s="4"/>
      <c r="FV436" s="4"/>
      <c r="FW436" s="4"/>
      <c r="FX436" s="4"/>
      <c r="FY436" s="4"/>
      <c r="FZ436" s="4"/>
      <c r="GA436" s="4"/>
      <c r="GB436" s="4"/>
      <c r="GC436" s="4"/>
      <c r="GD436" s="4"/>
      <c r="GE436" s="4"/>
      <c r="GF436" s="4"/>
    </row>
    <row r="437">
      <c r="A437" s="2" t="s">
        <v>3056</v>
      </c>
      <c r="B437" s="2" t="s">
        <v>2987</v>
      </c>
      <c r="C437" s="2" t="s">
        <v>462</v>
      </c>
      <c r="D437" s="2" t="s">
        <v>2988</v>
      </c>
      <c r="E437" s="2" t="s">
        <v>2989</v>
      </c>
      <c r="F437" s="2" t="s">
        <v>3039</v>
      </c>
      <c r="G437" s="2" t="s">
        <v>206</v>
      </c>
      <c r="H437" s="2" t="s">
        <v>206</v>
      </c>
      <c r="I437" s="2" t="s">
        <v>3040</v>
      </c>
      <c r="J437" s="2" t="s">
        <v>3057</v>
      </c>
      <c r="K437" s="2" t="s">
        <v>3042</v>
      </c>
      <c r="L437" s="3">
        <v>15</v>
      </c>
      <c r="M437" s="3">
        <v>15.75</v>
      </c>
      <c r="N437" s="3">
        <v>29.99</v>
      </c>
      <c r="O437" s="2" t="s">
        <v>203</v>
      </c>
      <c r="P437" s="2" t="s">
        <v>492</v>
      </c>
      <c r="Q437" s="2" t="s">
        <v>205</v>
      </c>
      <c r="R437" s="2" t="s">
        <v>206</v>
      </c>
      <c r="S437" s="2" t="s">
        <v>206</v>
      </c>
      <c r="T437" s="2" t="s">
        <v>206</v>
      </c>
      <c r="U437" s="2" t="s">
        <v>206</v>
      </c>
      <c r="V437" s="2" t="s">
        <v>468</v>
      </c>
      <c r="W437" s="2" t="s">
        <v>206</v>
      </c>
      <c r="X437" s="2" t="s">
        <v>206</v>
      </c>
      <c r="Y437" s="2" t="s">
        <v>3043</v>
      </c>
      <c r="Z437" s="4">
        <v>361</v>
      </c>
      <c r="AA437" s="4">
        <f>=ROUNDDOWN(40.1111111111111,0)</f>
      </c>
      <c r="AB437" s="5">
        <v>9</v>
      </c>
      <c r="AC437" s="2" t="s">
        <v>206</v>
      </c>
      <c r="AD437" s="4"/>
      <c r="AE437" s="4"/>
      <c r="AF437" s="6"/>
      <c r="AG437" s="6">
        <v>48</v>
      </c>
      <c r="AH437" s="7">
        <v>1</v>
      </c>
      <c r="AI437" s="4"/>
      <c r="AJ437" s="4">
        <f>=ROUNDDOWN({0},0)</f>
      </c>
      <c r="AK437" s="5"/>
      <c r="AL437" s="2" t="s">
        <v>206</v>
      </c>
      <c r="AM437" s="4"/>
      <c r="AN437" s="4"/>
      <c r="AO437" s="7"/>
      <c r="AP437" s="4"/>
      <c r="AQ437" s="8"/>
      <c r="AR437" s="4"/>
      <c r="AS437" s="8"/>
      <c r="AT437" s="7"/>
      <c r="AU437" s="7"/>
      <c r="AV437" s="4" t="s">
        <v>206</v>
      </c>
      <c r="AW437" s="8" t="s">
        <v>206</v>
      </c>
      <c r="AX437" s="4" t="s">
        <v>206</v>
      </c>
      <c r="AY437" s="8" t="s">
        <v>206</v>
      </c>
      <c r="AZ437" s="7" t="s">
        <v>206</v>
      </c>
      <c r="BA437" s="7" t="s">
        <v>206</v>
      </c>
      <c r="BB437" s="7"/>
      <c r="BC437" s="4" t="s">
        <v>206</v>
      </c>
      <c r="BD437" s="8" t="s">
        <v>206</v>
      </c>
      <c r="BE437" s="4" t="s">
        <v>206</v>
      </c>
      <c r="BF437" s="8" t="s">
        <v>206</v>
      </c>
      <c r="BG437" s="7" t="s">
        <v>206</v>
      </c>
      <c r="BH437" s="7" t="s">
        <v>206</v>
      </c>
      <c r="BI437" s="7"/>
      <c r="BJ437" s="4">
        <v>4</v>
      </c>
      <c r="BK437" s="8">
        <v>86.4</v>
      </c>
      <c r="BL437" s="2" t="s">
        <v>3044</v>
      </c>
      <c r="BM437" s="7"/>
      <c r="BN437" s="7"/>
      <c r="BO437" s="4"/>
      <c r="BP437" s="8"/>
      <c r="BQ437" s="4"/>
      <c r="BR437" s="8"/>
      <c r="BS437" s="7"/>
      <c r="BT437" s="7"/>
      <c r="BU437" s="2" t="s">
        <v>3058</v>
      </c>
      <c r="BV437" s="2" t="s">
        <v>206</v>
      </c>
      <c r="BW437" s="2" t="s">
        <v>206</v>
      </c>
      <c r="BX437" s="2" t="s">
        <v>214</v>
      </c>
      <c r="BY437" s="2" t="s">
        <v>215</v>
      </c>
      <c r="BZ437" s="2" t="s">
        <v>203</v>
      </c>
      <c r="CA437" s="2" t="s">
        <v>3046</v>
      </c>
      <c r="CB437" s="2" t="s">
        <v>206</v>
      </c>
      <c r="CC437" s="2" t="s">
        <v>218</v>
      </c>
      <c r="CD437" s="2" t="s">
        <v>206</v>
      </c>
      <c r="CE437" s="4"/>
      <c r="CF437" s="4"/>
      <c r="CG437" s="4"/>
      <c r="CH437" s="4">
        <v>361</v>
      </c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  <c r="FT437" s="4"/>
      <c r="FU437" s="4"/>
      <c r="FV437" s="4"/>
      <c r="FW437" s="4"/>
      <c r="FX437" s="4"/>
      <c r="FY437" s="4"/>
      <c r="FZ437" s="4"/>
      <c r="GA437" s="4"/>
      <c r="GB437" s="4"/>
      <c r="GC437" s="4"/>
      <c r="GD437" s="4"/>
      <c r="GE437" s="4"/>
      <c r="GF437" s="4"/>
    </row>
    <row r="438">
      <c r="A438" s="2" t="s">
        <v>3059</v>
      </c>
      <c r="B438" s="2" t="s">
        <v>2987</v>
      </c>
      <c r="C438" s="2" t="s">
        <v>462</v>
      </c>
      <c r="D438" s="2" t="s">
        <v>2988</v>
      </c>
      <c r="E438" s="2" t="s">
        <v>2989</v>
      </c>
      <c r="F438" s="2" t="s">
        <v>3039</v>
      </c>
      <c r="G438" s="2" t="s">
        <v>206</v>
      </c>
      <c r="H438" s="2" t="s">
        <v>206</v>
      </c>
      <c r="I438" s="2" t="s">
        <v>3040</v>
      </c>
      <c r="J438" s="2" t="s">
        <v>3041</v>
      </c>
      <c r="K438" s="2" t="s">
        <v>3060</v>
      </c>
      <c r="L438" s="3">
        <v>15</v>
      </c>
      <c r="M438" s="3">
        <v>15.75</v>
      </c>
      <c r="N438" s="3">
        <v>29.99</v>
      </c>
      <c r="O438" s="2" t="s">
        <v>203</v>
      </c>
      <c r="P438" s="2" t="s">
        <v>492</v>
      </c>
      <c r="Q438" s="2" t="s">
        <v>205</v>
      </c>
      <c r="R438" s="2" t="s">
        <v>206</v>
      </c>
      <c r="S438" s="2" t="s">
        <v>206</v>
      </c>
      <c r="T438" s="2" t="s">
        <v>206</v>
      </c>
      <c r="U438" s="2" t="s">
        <v>206</v>
      </c>
      <c r="V438" s="2" t="s">
        <v>468</v>
      </c>
      <c r="W438" s="2" t="s">
        <v>206</v>
      </c>
      <c r="X438" s="2" t="s">
        <v>206</v>
      </c>
      <c r="Y438" s="2" t="s">
        <v>3043</v>
      </c>
      <c r="Z438" s="4">
        <v>233</v>
      </c>
      <c r="AA438" s="4">
        <f>=ROUNDDOWN(116.5,0)</f>
      </c>
      <c r="AB438" s="5">
        <v>2</v>
      </c>
      <c r="AC438" s="2" t="s">
        <v>206</v>
      </c>
      <c r="AD438" s="4"/>
      <c r="AE438" s="4"/>
      <c r="AF438" s="6"/>
      <c r="AG438" s="6">
        <v>48</v>
      </c>
      <c r="AH438" s="7">
        <v>1</v>
      </c>
      <c r="AI438" s="4"/>
      <c r="AJ438" s="4">
        <f>=ROUNDDOWN({0},0)</f>
      </c>
      <c r="AK438" s="5"/>
      <c r="AL438" s="2" t="s">
        <v>206</v>
      </c>
      <c r="AM438" s="4"/>
      <c r="AN438" s="4"/>
      <c r="AO438" s="7"/>
      <c r="AP438" s="4"/>
      <c r="AQ438" s="8"/>
      <c r="AR438" s="4"/>
      <c r="AS438" s="8"/>
      <c r="AT438" s="7"/>
      <c r="AU438" s="7"/>
      <c r="AV438" s="4" t="s">
        <v>206</v>
      </c>
      <c r="AW438" s="8" t="s">
        <v>206</v>
      </c>
      <c r="AX438" s="4" t="s">
        <v>206</v>
      </c>
      <c r="AY438" s="8" t="s">
        <v>206</v>
      </c>
      <c r="AZ438" s="7" t="s">
        <v>206</v>
      </c>
      <c r="BA438" s="7" t="s">
        <v>206</v>
      </c>
      <c r="BB438" s="7"/>
      <c r="BC438" s="4" t="s">
        <v>206</v>
      </c>
      <c r="BD438" s="8" t="s">
        <v>206</v>
      </c>
      <c r="BE438" s="4" t="s">
        <v>206</v>
      </c>
      <c r="BF438" s="8" t="s">
        <v>206</v>
      </c>
      <c r="BG438" s="7" t="s">
        <v>206</v>
      </c>
      <c r="BH438" s="7" t="s">
        <v>206</v>
      </c>
      <c r="BI438" s="7"/>
      <c r="BJ438" s="4">
        <v>3</v>
      </c>
      <c r="BK438" s="8">
        <v>45</v>
      </c>
      <c r="BL438" s="2" t="s">
        <v>1450</v>
      </c>
      <c r="BM438" s="7"/>
      <c r="BN438" s="7"/>
      <c r="BO438" s="4"/>
      <c r="BP438" s="8"/>
      <c r="BQ438" s="4"/>
      <c r="BR438" s="8"/>
      <c r="BS438" s="7"/>
      <c r="BT438" s="7"/>
      <c r="BU438" s="2" t="s">
        <v>3061</v>
      </c>
      <c r="BV438" s="2" t="s">
        <v>206</v>
      </c>
      <c r="BW438" s="2" t="s">
        <v>206</v>
      </c>
      <c r="BX438" s="2" t="s">
        <v>214</v>
      </c>
      <c r="BY438" s="2" t="s">
        <v>215</v>
      </c>
      <c r="BZ438" s="2" t="s">
        <v>203</v>
      </c>
      <c r="CA438" s="2" t="s">
        <v>3046</v>
      </c>
      <c r="CB438" s="2" t="s">
        <v>206</v>
      </c>
      <c r="CC438" s="2" t="s">
        <v>218</v>
      </c>
      <c r="CD438" s="2" t="s">
        <v>206</v>
      </c>
      <c r="CE438" s="4"/>
      <c r="CF438" s="4"/>
      <c r="CG438" s="4"/>
      <c r="CH438" s="4">
        <v>233</v>
      </c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  <c r="FR438" s="4"/>
      <c r="FS438" s="4"/>
      <c r="FT438" s="4"/>
      <c r="FU438" s="4"/>
      <c r="FV438" s="4"/>
      <c r="FW438" s="4"/>
      <c r="FX438" s="4"/>
      <c r="FY438" s="4"/>
      <c r="FZ438" s="4"/>
      <c r="GA438" s="4"/>
      <c r="GB438" s="4"/>
      <c r="GC438" s="4"/>
      <c r="GD438" s="4"/>
      <c r="GE438" s="4"/>
      <c r="GF438" s="4"/>
    </row>
    <row r="439">
      <c r="A439" s="2" t="s">
        <v>3062</v>
      </c>
      <c r="B439" s="2" t="s">
        <v>2987</v>
      </c>
      <c r="C439" s="2" t="s">
        <v>462</v>
      </c>
      <c r="D439" s="2" t="s">
        <v>2988</v>
      </c>
      <c r="E439" s="2" t="s">
        <v>2989</v>
      </c>
      <c r="F439" s="2" t="s">
        <v>3039</v>
      </c>
      <c r="G439" s="2" t="s">
        <v>206</v>
      </c>
      <c r="H439" s="2" t="s">
        <v>206</v>
      </c>
      <c r="I439" s="2" t="s">
        <v>3040</v>
      </c>
      <c r="J439" s="2" t="s">
        <v>3049</v>
      </c>
      <c r="K439" s="2" t="s">
        <v>3060</v>
      </c>
      <c r="L439" s="3">
        <v>15</v>
      </c>
      <c r="M439" s="3">
        <v>15.75</v>
      </c>
      <c r="N439" s="3">
        <v>29.99</v>
      </c>
      <c r="O439" s="2" t="s">
        <v>203</v>
      </c>
      <c r="P439" s="2" t="s">
        <v>492</v>
      </c>
      <c r="Q439" s="2" t="s">
        <v>205</v>
      </c>
      <c r="R439" s="2" t="s">
        <v>206</v>
      </c>
      <c r="S439" s="2" t="s">
        <v>206</v>
      </c>
      <c r="T439" s="2" t="s">
        <v>206</v>
      </c>
      <c r="U439" s="2" t="s">
        <v>206</v>
      </c>
      <c r="V439" s="2" t="s">
        <v>468</v>
      </c>
      <c r="W439" s="2" t="s">
        <v>206</v>
      </c>
      <c r="X439" s="2" t="s">
        <v>206</v>
      </c>
      <c r="Y439" s="2" t="s">
        <v>3043</v>
      </c>
      <c r="Z439" s="4">
        <v>533</v>
      </c>
      <c r="AA439" s="4">
        <f>=ROUNDDOWN(133.25,0)</f>
      </c>
      <c r="AB439" s="5">
        <v>4</v>
      </c>
      <c r="AC439" s="2" t="s">
        <v>206</v>
      </c>
      <c r="AD439" s="4"/>
      <c r="AE439" s="4"/>
      <c r="AF439" s="6"/>
      <c r="AG439" s="6">
        <v>48</v>
      </c>
      <c r="AH439" s="7">
        <v>1</v>
      </c>
      <c r="AI439" s="4"/>
      <c r="AJ439" s="4">
        <f>=ROUNDDOWN({0},0)</f>
      </c>
      <c r="AK439" s="5"/>
      <c r="AL439" s="2" t="s">
        <v>206</v>
      </c>
      <c r="AM439" s="4"/>
      <c r="AN439" s="4"/>
      <c r="AO439" s="7"/>
      <c r="AP439" s="4"/>
      <c r="AQ439" s="8"/>
      <c r="AR439" s="4"/>
      <c r="AS439" s="8"/>
      <c r="AT439" s="7"/>
      <c r="AU439" s="7"/>
      <c r="AV439" s="4" t="s">
        <v>206</v>
      </c>
      <c r="AW439" s="8" t="s">
        <v>206</v>
      </c>
      <c r="AX439" s="4" t="s">
        <v>206</v>
      </c>
      <c r="AY439" s="8" t="s">
        <v>206</v>
      </c>
      <c r="AZ439" s="7" t="s">
        <v>206</v>
      </c>
      <c r="BA439" s="7" t="s">
        <v>206</v>
      </c>
      <c r="BB439" s="7"/>
      <c r="BC439" s="4" t="s">
        <v>206</v>
      </c>
      <c r="BD439" s="8" t="s">
        <v>206</v>
      </c>
      <c r="BE439" s="4" t="s">
        <v>206</v>
      </c>
      <c r="BF439" s="8" t="s">
        <v>206</v>
      </c>
      <c r="BG439" s="7" t="s">
        <v>206</v>
      </c>
      <c r="BH439" s="7" t="s">
        <v>206</v>
      </c>
      <c r="BI439" s="7"/>
      <c r="BJ439" s="4">
        <v>4</v>
      </c>
      <c r="BK439" s="8">
        <v>95.2</v>
      </c>
      <c r="BL439" s="2" t="s">
        <v>3063</v>
      </c>
      <c r="BM439" s="7"/>
      <c r="BN439" s="7"/>
      <c r="BO439" s="4"/>
      <c r="BP439" s="8"/>
      <c r="BQ439" s="4"/>
      <c r="BR439" s="8"/>
      <c r="BS439" s="7"/>
      <c r="BT439" s="7"/>
      <c r="BU439" s="2" t="s">
        <v>3064</v>
      </c>
      <c r="BV439" s="2" t="s">
        <v>206</v>
      </c>
      <c r="BW439" s="2" t="s">
        <v>206</v>
      </c>
      <c r="BX439" s="2" t="s">
        <v>214</v>
      </c>
      <c r="BY439" s="2" t="s">
        <v>215</v>
      </c>
      <c r="BZ439" s="2" t="s">
        <v>203</v>
      </c>
      <c r="CA439" s="2" t="s">
        <v>3046</v>
      </c>
      <c r="CB439" s="2" t="s">
        <v>206</v>
      </c>
      <c r="CC439" s="2" t="s">
        <v>218</v>
      </c>
      <c r="CD439" s="2" t="s">
        <v>206</v>
      </c>
      <c r="CE439" s="4"/>
      <c r="CF439" s="4"/>
      <c r="CG439" s="4"/>
      <c r="CH439" s="4">
        <v>533</v>
      </c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  <c r="FT439" s="4"/>
      <c r="FU439" s="4"/>
      <c r="FV439" s="4"/>
      <c r="FW439" s="4"/>
      <c r="FX439" s="4"/>
      <c r="FY439" s="4"/>
      <c r="FZ439" s="4"/>
      <c r="GA439" s="4"/>
      <c r="GB439" s="4"/>
      <c r="GC439" s="4"/>
      <c r="GD439" s="4"/>
      <c r="GE439" s="4"/>
      <c r="GF439" s="4"/>
    </row>
    <row r="440">
      <c r="A440" s="2" t="s">
        <v>3065</v>
      </c>
      <c r="B440" s="2" t="s">
        <v>2987</v>
      </c>
      <c r="C440" s="2" t="s">
        <v>462</v>
      </c>
      <c r="D440" s="2" t="s">
        <v>2988</v>
      </c>
      <c r="E440" s="2" t="s">
        <v>2989</v>
      </c>
      <c r="F440" s="2" t="s">
        <v>3039</v>
      </c>
      <c r="G440" s="2" t="s">
        <v>206</v>
      </c>
      <c r="H440" s="2" t="s">
        <v>206</v>
      </c>
      <c r="I440" s="2" t="s">
        <v>3040</v>
      </c>
      <c r="J440" s="2" t="s">
        <v>3053</v>
      </c>
      <c r="K440" s="2" t="s">
        <v>3060</v>
      </c>
      <c r="L440" s="3">
        <v>15</v>
      </c>
      <c r="M440" s="3">
        <v>15.75</v>
      </c>
      <c r="N440" s="3">
        <v>29.99</v>
      </c>
      <c r="O440" s="2" t="s">
        <v>203</v>
      </c>
      <c r="P440" s="2" t="s">
        <v>492</v>
      </c>
      <c r="Q440" s="2" t="s">
        <v>205</v>
      </c>
      <c r="R440" s="2" t="s">
        <v>206</v>
      </c>
      <c r="S440" s="2" t="s">
        <v>206</v>
      </c>
      <c r="T440" s="2" t="s">
        <v>206</v>
      </c>
      <c r="U440" s="2" t="s">
        <v>206</v>
      </c>
      <c r="V440" s="2" t="s">
        <v>468</v>
      </c>
      <c r="W440" s="2" t="s">
        <v>206</v>
      </c>
      <c r="X440" s="2" t="s">
        <v>206</v>
      </c>
      <c r="Y440" s="2" t="s">
        <v>3043</v>
      </c>
      <c r="Z440" s="4">
        <v>362</v>
      </c>
      <c r="AA440" s="4">
        <f>=ROUNDDOWN(45.25,0)</f>
      </c>
      <c r="AB440" s="5">
        <v>8</v>
      </c>
      <c r="AC440" s="2" t="s">
        <v>206</v>
      </c>
      <c r="AD440" s="4"/>
      <c r="AE440" s="4"/>
      <c r="AF440" s="6"/>
      <c r="AG440" s="6">
        <v>48</v>
      </c>
      <c r="AH440" s="7">
        <v>1</v>
      </c>
      <c r="AI440" s="4"/>
      <c r="AJ440" s="4">
        <f>=ROUNDDOWN({0},0)</f>
      </c>
      <c r="AK440" s="5"/>
      <c r="AL440" s="2" t="s">
        <v>206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 t="s">
        <v>206</v>
      </c>
      <c r="AW440" s="8" t="s">
        <v>206</v>
      </c>
      <c r="AX440" s="4" t="s">
        <v>206</v>
      </c>
      <c r="AY440" s="8" t="s">
        <v>206</v>
      </c>
      <c r="AZ440" s="7" t="s">
        <v>206</v>
      </c>
      <c r="BA440" s="7" t="s">
        <v>206</v>
      </c>
      <c r="BB440" s="7"/>
      <c r="BC440" s="4" t="s">
        <v>206</v>
      </c>
      <c r="BD440" s="8" t="s">
        <v>206</v>
      </c>
      <c r="BE440" s="4" t="s">
        <v>206</v>
      </c>
      <c r="BF440" s="8" t="s">
        <v>206</v>
      </c>
      <c r="BG440" s="7" t="s">
        <v>206</v>
      </c>
      <c r="BH440" s="7" t="s">
        <v>206</v>
      </c>
      <c r="BI440" s="7"/>
      <c r="BJ440" s="4">
        <v>5</v>
      </c>
      <c r="BK440" s="8">
        <v>119</v>
      </c>
      <c r="BL440" s="2" t="s">
        <v>3066</v>
      </c>
      <c r="BM440" s="7"/>
      <c r="BN440" s="7"/>
      <c r="BO440" s="4"/>
      <c r="BP440" s="8"/>
      <c r="BQ440" s="4"/>
      <c r="BR440" s="8"/>
      <c r="BS440" s="7"/>
      <c r="BT440" s="7"/>
      <c r="BU440" s="2" t="s">
        <v>3067</v>
      </c>
      <c r="BV440" s="2" t="s">
        <v>206</v>
      </c>
      <c r="BW440" s="2" t="s">
        <v>206</v>
      </c>
      <c r="BX440" s="2" t="s">
        <v>214</v>
      </c>
      <c r="BY440" s="2" t="s">
        <v>215</v>
      </c>
      <c r="BZ440" s="2" t="s">
        <v>203</v>
      </c>
      <c r="CA440" s="2" t="s">
        <v>3046</v>
      </c>
      <c r="CB440" s="2" t="s">
        <v>2487</v>
      </c>
      <c r="CC440" s="2" t="s">
        <v>218</v>
      </c>
      <c r="CD440" s="2" t="s">
        <v>206</v>
      </c>
      <c r="CE440" s="4"/>
      <c r="CF440" s="4"/>
      <c r="CG440" s="4"/>
      <c r="CH440" s="4">
        <v>362</v>
      </c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/>
      <c r="FU440" s="4"/>
      <c r="FV440" s="4"/>
      <c r="FW440" s="4"/>
      <c r="FX440" s="4"/>
      <c r="FY440" s="4"/>
      <c r="FZ440" s="4"/>
      <c r="GA440" s="4"/>
      <c r="GB440" s="4"/>
      <c r="GC440" s="4"/>
      <c r="GD440" s="4"/>
      <c r="GE440" s="4"/>
      <c r="GF440" s="4"/>
    </row>
    <row r="441">
      <c r="A441" s="2" t="s">
        <v>3068</v>
      </c>
      <c r="B441" s="2" t="s">
        <v>2987</v>
      </c>
      <c r="C441" s="2" t="s">
        <v>462</v>
      </c>
      <c r="D441" s="2" t="s">
        <v>2988</v>
      </c>
      <c r="E441" s="2" t="s">
        <v>2989</v>
      </c>
      <c r="F441" s="2" t="s">
        <v>3039</v>
      </c>
      <c r="G441" s="2" t="s">
        <v>206</v>
      </c>
      <c r="H441" s="2" t="s">
        <v>206</v>
      </c>
      <c r="I441" s="2" t="s">
        <v>3040</v>
      </c>
      <c r="J441" s="2" t="s">
        <v>574</v>
      </c>
      <c r="K441" s="2" t="s">
        <v>3060</v>
      </c>
      <c r="L441" s="3">
        <v>15</v>
      </c>
      <c r="M441" s="3">
        <v>15.75</v>
      </c>
      <c r="N441" s="3">
        <v>29.99</v>
      </c>
      <c r="O441" s="2" t="s">
        <v>203</v>
      </c>
      <c r="P441" s="2" t="s">
        <v>492</v>
      </c>
      <c r="Q441" s="2" t="s">
        <v>205</v>
      </c>
      <c r="R441" s="2" t="s">
        <v>206</v>
      </c>
      <c r="S441" s="2" t="s">
        <v>206</v>
      </c>
      <c r="T441" s="2" t="s">
        <v>206</v>
      </c>
      <c r="U441" s="2" t="s">
        <v>206</v>
      </c>
      <c r="V441" s="2" t="s">
        <v>468</v>
      </c>
      <c r="W441" s="2" t="s">
        <v>206</v>
      </c>
      <c r="X441" s="2" t="s">
        <v>206</v>
      </c>
      <c r="Y441" s="2" t="s">
        <v>3043</v>
      </c>
      <c r="Z441" s="4">
        <v>370</v>
      </c>
      <c r="AA441" s="4">
        <f>=ROUNDDOWN(46.25,0)</f>
      </c>
      <c r="AB441" s="5">
        <v>8</v>
      </c>
      <c r="AC441" s="2" t="s">
        <v>206</v>
      </c>
      <c r="AD441" s="4"/>
      <c r="AE441" s="4"/>
      <c r="AF441" s="6"/>
      <c r="AG441" s="6">
        <v>48</v>
      </c>
      <c r="AH441" s="7">
        <v>1</v>
      </c>
      <c r="AI441" s="4"/>
      <c r="AJ441" s="4">
        <f>=ROUNDDOWN({0},0)</f>
      </c>
      <c r="AK441" s="5"/>
      <c r="AL441" s="2" t="s">
        <v>206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 t="s">
        <v>206</v>
      </c>
      <c r="AW441" s="8" t="s">
        <v>206</v>
      </c>
      <c r="AX441" s="4" t="s">
        <v>206</v>
      </c>
      <c r="AY441" s="8" t="s">
        <v>206</v>
      </c>
      <c r="AZ441" s="7" t="s">
        <v>206</v>
      </c>
      <c r="BA441" s="7" t="s">
        <v>206</v>
      </c>
      <c r="BB441" s="7"/>
      <c r="BC441" s="4" t="s">
        <v>206</v>
      </c>
      <c r="BD441" s="8" t="s">
        <v>206</v>
      </c>
      <c r="BE441" s="4" t="s">
        <v>206</v>
      </c>
      <c r="BF441" s="8" t="s">
        <v>206</v>
      </c>
      <c r="BG441" s="7" t="s">
        <v>206</v>
      </c>
      <c r="BH441" s="7" t="s">
        <v>206</v>
      </c>
      <c r="BI441" s="7"/>
      <c r="BJ441" s="4">
        <v>6</v>
      </c>
      <c r="BK441" s="8">
        <v>116.4</v>
      </c>
      <c r="BL441" s="2" t="s">
        <v>3044</v>
      </c>
      <c r="BM441" s="7"/>
      <c r="BN441" s="7"/>
      <c r="BO441" s="4"/>
      <c r="BP441" s="8"/>
      <c r="BQ441" s="4"/>
      <c r="BR441" s="8"/>
      <c r="BS441" s="7"/>
      <c r="BT441" s="7"/>
      <c r="BU441" s="2" t="s">
        <v>3069</v>
      </c>
      <c r="BV441" s="2" t="s">
        <v>206</v>
      </c>
      <c r="BW441" s="2" t="s">
        <v>206</v>
      </c>
      <c r="BX441" s="2" t="s">
        <v>214</v>
      </c>
      <c r="BY441" s="2" t="s">
        <v>215</v>
      </c>
      <c r="BZ441" s="2" t="s">
        <v>203</v>
      </c>
      <c r="CA441" s="2" t="s">
        <v>3046</v>
      </c>
      <c r="CB441" s="2" t="s">
        <v>518</v>
      </c>
      <c r="CC441" s="2" t="s">
        <v>218</v>
      </c>
      <c r="CD441" s="2" t="s">
        <v>206</v>
      </c>
      <c r="CE441" s="4"/>
      <c r="CF441" s="4"/>
      <c r="CG441" s="4"/>
      <c r="CH441" s="4">
        <v>370</v>
      </c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  <c r="FT441" s="4"/>
      <c r="FU441" s="4"/>
      <c r="FV441" s="4"/>
      <c r="FW441" s="4"/>
      <c r="FX441" s="4"/>
      <c r="FY441" s="4"/>
      <c r="FZ441" s="4"/>
      <c r="GA441" s="4"/>
      <c r="GB441" s="4"/>
      <c r="GC441" s="4"/>
      <c r="GD441" s="4"/>
      <c r="GE441" s="4"/>
      <c r="GF441" s="4"/>
    </row>
    <row r="442">
      <c r="A442" s="2" t="s">
        <v>3070</v>
      </c>
      <c r="B442" s="2" t="s">
        <v>2987</v>
      </c>
      <c r="C442" s="2" t="s">
        <v>462</v>
      </c>
      <c r="D442" s="2" t="s">
        <v>2988</v>
      </c>
      <c r="E442" s="2" t="s">
        <v>2989</v>
      </c>
      <c r="F442" s="2" t="s">
        <v>3039</v>
      </c>
      <c r="G442" s="2" t="s">
        <v>206</v>
      </c>
      <c r="H442" s="2" t="s">
        <v>206</v>
      </c>
      <c r="I442" s="2" t="s">
        <v>3040</v>
      </c>
      <c r="J442" s="2" t="s">
        <v>3057</v>
      </c>
      <c r="K442" s="2" t="s">
        <v>3060</v>
      </c>
      <c r="L442" s="3">
        <v>15</v>
      </c>
      <c r="M442" s="3">
        <v>15.75</v>
      </c>
      <c r="N442" s="3">
        <v>29.99</v>
      </c>
      <c r="O442" s="2" t="s">
        <v>203</v>
      </c>
      <c r="P442" s="2" t="s">
        <v>492</v>
      </c>
      <c r="Q442" s="2" t="s">
        <v>205</v>
      </c>
      <c r="R442" s="2" t="s">
        <v>206</v>
      </c>
      <c r="S442" s="2" t="s">
        <v>206</v>
      </c>
      <c r="T442" s="2" t="s">
        <v>206</v>
      </c>
      <c r="U442" s="2" t="s">
        <v>206</v>
      </c>
      <c r="V442" s="2" t="s">
        <v>468</v>
      </c>
      <c r="W442" s="2" t="s">
        <v>206</v>
      </c>
      <c r="X442" s="2" t="s">
        <v>206</v>
      </c>
      <c r="Y442" s="2" t="s">
        <v>3043</v>
      </c>
      <c r="Z442" s="4">
        <v>99</v>
      </c>
      <c r="AA442" s="4">
        <f>=ROUNDDOWN(33,0)</f>
      </c>
      <c r="AB442" s="5">
        <v>3</v>
      </c>
      <c r="AC442" s="2" t="s">
        <v>206</v>
      </c>
      <c r="AD442" s="4"/>
      <c r="AE442" s="4"/>
      <c r="AF442" s="6"/>
      <c r="AG442" s="6">
        <v>48</v>
      </c>
      <c r="AH442" s="7">
        <v>1</v>
      </c>
      <c r="AI442" s="4"/>
      <c r="AJ442" s="4">
        <f>=ROUNDDOWN({0},0)</f>
      </c>
      <c r="AK442" s="5"/>
      <c r="AL442" s="2" t="s">
        <v>206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 t="s">
        <v>206</v>
      </c>
      <c r="AW442" s="8" t="s">
        <v>206</v>
      </c>
      <c r="AX442" s="4" t="s">
        <v>206</v>
      </c>
      <c r="AY442" s="8" t="s">
        <v>206</v>
      </c>
      <c r="AZ442" s="7" t="s">
        <v>206</v>
      </c>
      <c r="BA442" s="7" t="s">
        <v>206</v>
      </c>
      <c r="BB442" s="7"/>
      <c r="BC442" s="4" t="s">
        <v>206</v>
      </c>
      <c r="BD442" s="8" t="s">
        <v>206</v>
      </c>
      <c r="BE442" s="4" t="s">
        <v>206</v>
      </c>
      <c r="BF442" s="8" t="s">
        <v>206</v>
      </c>
      <c r="BG442" s="7" t="s">
        <v>206</v>
      </c>
      <c r="BH442" s="7" t="s">
        <v>206</v>
      </c>
      <c r="BI442" s="7"/>
      <c r="BJ442" s="4">
        <v>3</v>
      </c>
      <c r="BK442" s="8">
        <v>71.4</v>
      </c>
      <c r="BL442" s="2" t="s">
        <v>3024</v>
      </c>
      <c r="BM442" s="7"/>
      <c r="BN442" s="7"/>
      <c r="BO442" s="4"/>
      <c r="BP442" s="8"/>
      <c r="BQ442" s="4"/>
      <c r="BR442" s="8"/>
      <c r="BS442" s="7"/>
      <c r="BT442" s="7"/>
      <c r="BU442" s="2" t="s">
        <v>3071</v>
      </c>
      <c r="BV442" s="2" t="s">
        <v>206</v>
      </c>
      <c r="BW442" s="2" t="s">
        <v>206</v>
      </c>
      <c r="BX442" s="2" t="s">
        <v>214</v>
      </c>
      <c r="BY442" s="2" t="s">
        <v>215</v>
      </c>
      <c r="BZ442" s="2" t="s">
        <v>203</v>
      </c>
      <c r="CA442" s="2" t="s">
        <v>3046</v>
      </c>
      <c r="CB442" s="2" t="s">
        <v>1527</v>
      </c>
      <c r="CC442" s="2" t="s">
        <v>218</v>
      </c>
      <c r="CD442" s="2" t="s">
        <v>206</v>
      </c>
      <c r="CE442" s="4"/>
      <c r="CF442" s="4"/>
      <c r="CG442" s="4"/>
      <c r="CH442" s="4">
        <v>99</v>
      </c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  <c r="FT442" s="4"/>
      <c r="FU442" s="4"/>
      <c r="FV442" s="4"/>
      <c r="FW442" s="4"/>
      <c r="FX442" s="4"/>
      <c r="FY442" s="4"/>
      <c r="FZ442" s="4"/>
      <c r="GA442" s="4"/>
      <c r="GB442" s="4"/>
      <c r="GC442" s="4"/>
      <c r="GD442" s="4"/>
      <c r="GE442" s="4"/>
      <c r="GF442" s="4"/>
    </row>
    <row r="443">
      <c r="A443" s="2" t="s">
        <v>3072</v>
      </c>
      <c r="B443" s="2" t="s">
        <v>2987</v>
      </c>
      <c r="C443" s="2" t="s">
        <v>462</v>
      </c>
      <c r="D443" s="2" t="s">
        <v>2988</v>
      </c>
      <c r="E443" s="2" t="s">
        <v>2989</v>
      </c>
      <c r="F443" s="2" t="s">
        <v>3039</v>
      </c>
      <c r="G443" s="2" t="s">
        <v>206</v>
      </c>
      <c r="H443" s="2" t="s">
        <v>206</v>
      </c>
      <c r="I443" s="2" t="s">
        <v>3040</v>
      </c>
      <c r="J443" s="2" t="s">
        <v>3041</v>
      </c>
      <c r="K443" s="2" t="s">
        <v>3073</v>
      </c>
      <c r="L443" s="3">
        <v>15</v>
      </c>
      <c r="M443" s="3">
        <v>15.75</v>
      </c>
      <c r="N443" s="3">
        <v>29.99</v>
      </c>
      <c r="O443" s="2" t="s">
        <v>203</v>
      </c>
      <c r="P443" s="2" t="s">
        <v>492</v>
      </c>
      <c r="Q443" s="2" t="s">
        <v>205</v>
      </c>
      <c r="R443" s="2" t="s">
        <v>206</v>
      </c>
      <c r="S443" s="2" t="s">
        <v>206</v>
      </c>
      <c r="T443" s="2" t="s">
        <v>206</v>
      </c>
      <c r="U443" s="2" t="s">
        <v>206</v>
      </c>
      <c r="V443" s="2" t="s">
        <v>468</v>
      </c>
      <c r="W443" s="2" t="s">
        <v>206</v>
      </c>
      <c r="X443" s="2" t="s">
        <v>206</v>
      </c>
      <c r="Y443" s="2" t="s">
        <v>3043</v>
      </c>
      <c r="Z443" s="4">
        <v>225</v>
      </c>
      <c r="AA443" s="4">
        <f>=ROUNDDOWN(281.25,0)</f>
      </c>
      <c r="AB443" s="5">
        <v>0.8</v>
      </c>
      <c r="AC443" s="2" t="s">
        <v>206</v>
      </c>
      <c r="AD443" s="4"/>
      <c r="AE443" s="4"/>
      <c r="AF443" s="6"/>
      <c r="AG443" s="6">
        <v>48</v>
      </c>
      <c r="AH443" s="7">
        <v>1</v>
      </c>
      <c r="AI443" s="4"/>
      <c r="AJ443" s="4">
        <f>=ROUNDDOWN({0},0)</f>
      </c>
      <c r="AK443" s="5"/>
      <c r="AL443" s="2" t="s">
        <v>206</v>
      </c>
      <c r="AM443" s="4"/>
      <c r="AN443" s="4"/>
      <c r="AO443" s="7"/>
      <c r="AP443" s="4"/>
      <c r="AQ443" s="8"/>
      <c r="AR443" s="4"/>
      <c r="AS443" s="8"/>
      <c r="AT443" s="7"/>
      <c r="AU443" s="7"/>
      <c r="AV443" s="4" t="s">
        <v>206</v>
      </c>
      <c r="AW443" s="8" t="s">
        <v>206</v>
      </c>
      <c r="AX443" s="4" t="s">
        <v>206</v>
      </c>
      <c r="AY443" s="8" t="s">
        <v>206</v>
      </c>
      <c r="AZ443" s="7" t="s">
        <v>206</v>
      </c>
      <c r="BA443" s="7" t="s">
        <v>206</v>
      </c>
      <c r="BB443" s="7"/>
      <c r="BC443" s="4" t="s">
        <v>206</v>
      </c>
      <c r="BD443" s="8" t="s">
        <v>206</v>
      </c>
      <c r="BE443" s="4" t="s">
        <v>206</v>
      </c>
      <c r="BF443" s="8" t="s">
        <v>206</v>
      </c>
      <c r="BG443" s="7" t="s">
        <v>206</v>
      </c>
      <c r="BH443" s="7" t="s">
        <v>206</v>
      </c>
      <c r="BI443" s="7"/>
      <c r="BJ443" s="4">
        <v>1</v>
      </c>
      <c r="BK443" s="8">
        <v>15</v>
      </c>
      <c r="BL443" s="2" t="s">
        <v>1450</v>
      </c>
      <c r="BM443" s="7"/>
      <c r="BN443" s="7"/>
      <c r="BO443" s="4"/>
      <c r="BP443" s="8"/>
      <c r="BQ443" s="4"/>
      <c r="BR443" s="8"/>
      <c r="BS443" s="7"/>
      <c r="BT443" s="7"/>
      <c r="BU443" s="2" t="s">
        <v>3074</v>
      </c>
      <c r="BV443" s="2" t="s">
        <v>206</v>
      </c>
      <c r="BW443" s="2" t="s">
        <v>206</v>
      </c>
      <c r="BX443" s="2" t="s">
        <v>214</v>
      </c>
      <c r="BY443" s="2" t="s">
        <v>215</v>
      </c>
      <c r="BZ443" s="2" t="s">
        <v>203</v>
      </c>
      <c r="CA443" s="2" t="s">
        <v>3046</v>
      </c>
      <c r="CB443" s="2" t="s">
        <v>206</v>
      </c>
      <c r="CC443" s="2" t="s">
        <v>218</v>
      </c>
      <c r="CD443" s="2" t="s">
        <v>206</v>
      </c>
      <c r="CE443" s="4"/>
      <c r="CF443" s="4"/>
      <c r="CG443" s="4"/>
      <c r="CH443" s="4">
        <v>225</v>
      </c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  <c r="FT443" s="4"/>
      <c r="FU443" s="4"/>
      <c r="FV443" s="4"/>
      <c r="FW443" s="4"/>
      <c r="FX443" s="4"/>
      <c r="FY443" s="4"/>
      <c r="FZ443" s="4"/>
      <c r="GA443" s="4"/>
      <c r="GB443" s="4"/>
      <c r="GC443" s="4"/>
      <c r="GD443" s="4"/>
      <c r="GE443" s="4"/>
      <c r="GF443" s="4"/>
    </row>
    <row r="444">
      <c r="A444" s="2" t="s">
        <v>3075</v>
      </c>
      <c r="B444" s="2" t="s">
        <v>2987</v>
      </c>
      <c r="C444" s="2" t="s">
        <v>462</v>
      </c>
      <c r="D444" s="2" t="s">
        <v>2988</v>
      </c>
      <c r="E444" s="2" t="s">
        <v>2989</v>
      </c>
      <c r="F444" s="2" t="s">
        <v>3039</v>
      </c>
      <c r="G444" s="2" t="s">
        <v>206</v>
      </c>
      <c r="H444" s="2" t="s">
        <v>206</v>
      </c>
      <c r="I444" s="2" t="s">
        <v>3040</v>
      </c>
      <c r="J444" s="2" t="s">
        <v>3049</v>
      </c>
      <c r="K444" s="2" t="s">
        <v>3073</v>
      </c>
      <c r="L444" s="3">
        <v>15</v>
      </c>
      <c r="M444" s="3">
        <v>15.75</v>
      </c>
      <c r="N444" s="3">
        <v>29.99</v>
      </c>
      <c r="O444" s="2" t="s">
        <v>203</v>
      </c>
      <c r="P444" s="2" t="s">
        <v>492</v>
      </c>
      <c r="Q444" s="2" t="s">
        <v>205</v>
      </c>
      <c r="R444" s="2" t="s">
        <v>206</v>
      </c>
      <c r="S444" s="2" t="s">
        <v>206</v>
      </c>
      <c r="T444" s="2" t="s">
        <v>206</v>
      </c>
      <c r="U444" s="2" t="s">
        <v>206</v>
      </c>
      <c r="V444" s="2" t="s">
        <v>468</v>
      </c>
      <c r="W444" s="2" t="s">
        <v>206</v>
      </c>
      <c r="X444" s="2" t="s">
        <v>206</v>
      </c>
      <c r="Y444" s="2" t="s">
        <v>3043</v>
      </c>
      <c r="Z444" s="4">
        <v>303</v>
      </c>
      <c r="AA444" s="4">
        <f>=ROUNDDOWN(151.5,0)</f>
      </c>
      <c r="AB444" s="5">
        <v>2</v>
      </c>
      <c r="AC444" s="2" t="s">
        <v>206</v>
      </c>
      <c r="AD444" s="4"/>
      <c r="AE444" s="4"/>
      <c r="AF444" s="6"/>
      <c r="AG444" s="6">
        <v>48</v>
      </c>
      <c r="AH444" s="7">
        <v>1</v>
      </c>
      <c r="AI444" s="4"/>
      <c r="AJ444" s="4">
        <f>=ROUNDDOWN({0},0)</f>
      </c>
      <c r="AK444" s="5"/>
      <c r="AL444" s="2" t="s">
        <v>206</v>
      </c>
      <c r="AM444" s="4"/>
      <c r="AN444" s="4"/>
      <c r="AO444" s="7"/>
      <c r="AP444" s="4"/>
      <c r="AQ444" s="8"/>
      <c r="AR444" s="4"/>
      <c r="AS444" s="8"/>
      <c r="AT444" s="7"/>
      <c r="AU444" s="7"/>
      <c r="AV444" s="4" t="s">
        <v>206</v>
      </c>
      <c r="AW444" s="8" t="s">
        <v>206</v>
      </c>
      <c r="AX444" s="4" t="s">
        <v>206</v>
      </c>
      <c r="AY444" s="8" t="s">
        <v>206</v>
      </c>
      <c r="AZ444" s="7" t="s">
        <v>206</v>
      </c>
      <c r="BA444" s="7" t="s">
        <v>206</v>
      </c>
      <c r="BB444" s="7"/>
      <c r="BC444" s="4" t="s">
        <v>206</v>
      </c>
      <c r="BD444" s="8" t="s">
        <v>206</v>
      </c>
      <c r="BE444" s="4" t="s">
        <v>206</v>
      </c>
      <c r="BF444" s="8" t="s">
        <v>206</v>
      </c>
      <c r="BG444" s="7" t="s">
        <v>206</v>
      </c>
      <c r="BH444" s="7" t="s">
        <v>206</v>
      </c>
      <c r="BI444" s="7"/>
      <c r="BJ444" s="4">
        <v>3</v>
      </c>
      <c r="BK444" s="8">
        <v>62.6</v>
      </c>
      <c r="BL444" s="2" t="s">
        <v>3044</v>
      </c>
      <c r="BM444" s="7"/>
      <c r="BN444" s="7"/>
      <c r="BO444" s="4"/>
      <c r="BP444" s="8"/>
      <c r="BQ444" s="4"/>
      <c r="BR444" s="8"/>
      <c r="BS444" s="7"/>
      <c r="BT444" s="7"/>
      <c r="BU444" s="2" t="s">
        <v>3076</v>
      </c>
      <c r="BV444" s="2" t="s">
        <v>206</v>
      </c>
      <c r="BW444" s="2" t="s">
        <v>206</v>
      </c>
      <c r="BX444" s="2" t="s">
        <v>214</v>
      </c>
      <c r="BY444" s="2" t="s">
        <v>215</v>
      </c>
      <c r="BZ444" s="2" t="s">
        <v>203</v>
      </c>
      <c r="CA444" s="2" t="s">
        <v>3046</v>
      </c>
      <c r="CB444" s="2" t="s">
        <v>2589</v>
      </c>
      <c r="CC444" s="2" t="s">
        <v>218</v>
      </c>
      <c r="CD444" s="2" t="s">
        <v>206</v>
      </c>
      <c r="CE444" s="4"/>
      <c r="CF444" s="4"/>
      <c r="CG444" s="4"/>
      <c r="CH444" s="4">
        <v>303</v>
      </c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  <c r="FU444" s="4"/>
      <c r="FV444" s="4"/>
      <c r="FW444" s="4"/>
      <c r="FX444" s="4"/>
      <c r="FY444" s="4"/>
      <c r="FZ444" s="4"/>
      <c r="GA444" s="4"/>
      <c r="GB444" s="4"/>
      <c r="GC444" s="4"/>
      <c r="GD444" s="4"/>
      <c r="GE444" s="4"/>
      <c r="GF444" s="4"/>
    </row>
    <row r="445">
      <c r="A445" s="2" t="s">
        <v>3077</v>
      </c>
      <c r="B445" s="2" t="s">
        <v>2987</v>
      </c>
      <c r="C445" s="2" t="s">
        <v>462</v>
      </c>
      <c r="D445" s="2" t="s">
        <v>2988</v>
      </c>
      <c r="E445" s="2" t="s">
        <v>2989</v>
      </c>
      <c r="F445" s="2" t="s">
        <v>3039</v>
      </c>
      <c r="G445" s="2" t="s">
        <v>206</v>
      </c>
      <c r="H445" s="2" t="s">
        <v>206</v>
      </c>
      <c r="I445" s="2" t="s">
        <v>3040</v>
      </c>
      <c r="J445" s="2" t="s">
        <v>3053</v>
      </c>
      <c r="K445" s="2" t="s">
        <v>3073</v>
      </c>
      <c r="L445" s="3">
        <v>15</v>
      </c>
      <c r="M445" s="3">
        <v>15.75</v>
      </c>
      <c r="N445" s="3">
        <v>29.99</v>
      </c>
      <c r="O445" s="2" t="s">
        <v>203</v>
      </c>
      <c r="P445" s="2" t="s">
        <v>492</v>
      </c>
      <c r="Q445" s="2" t="s">
        <v>205</v>
      </c>
      <c r="R445" s="2" t="s">
        <v>206</v>
      </c>
      <c r="S445" s="2" t="s">
        <v>206</v>
      </c>
      <c r="T445" s="2" t="s">
        <v>206</v>
      </c>
      <c r="U445" s="2" t="s">
        <v>206</v>
      </c>
      <c r="V445" s="2" t="s">
        <v>468</v>
      </c>
      <c r="W445" s="2" t="s">
        <v>206</v>
      </c>
      <c r="X445" s="2" t="s">
        <v>206</v>
      </c>
      <c r="Y445" s="2" t="s">
        <v>3043</v>
      </c>
      <c r="Z445" s="4">
        <v>442</v>
      </c>
      <c r="AA445" s="4">
        <f>=ROUNDDOWN(163.703703703704,0)</f>
      </c>
      <c r="AB445" s="5">
        <v>2.7</v>
      </c>
      <c r="AC445" s="2" t="s">
        <v>206</v>
      </c>
      <c r="AD445" s="4"/>
      <c r="AE445" s="4"/>
      <c r="AF445" s="6"/>
      <c r="AG445" s="6">
        <v>48</v>
      </c>
      <c r="AH445" s="7">
        <v>1</v>
      </c>
      <c r="AI445" s="4"/>
      <c r="AJ445" s="4">
        <f>=ROUNDDOWN({0},0)</f>
      </c>
      <c r="AK445" s="5"/>
      <c r="AL445" s="2" t="s">
        <v>206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 t="s">
        <v>206</v>
      </c>
      <c r="AW445" s="8" t="s">
        <v>206</v>
      </c>
      <c r="AX445" s="4" t="s">
        <v>206</v>
      </c>
      <c r="AY445" s="8" t="s">
        <v>206</v>
      </c>
      <c r="AZ445" s="7" t="s">
        <v>206</v>
      </c>
      <c r="BA445" s="7" t="s">
        <v>206</v>
      </c>
      <c r="BB445" s="7"/>
      <c r="BC445" s="4" t="s">
        <v>206</v>
      </c>
      <c r="BD445" s="8" t="s">
        <v>206</v>
      </c>
      <c r="BE445" s="4" t="s">
        <v>206</v>
      </c>
      <c r="BF445" s="8" t="s">
        <v>206</v>
      </c>
      <c r="BG445" s="7" t="s">
        <v>206</v>
      </c>
      <c r="BH445" s="7" t="s">
        <v>206</v>
      </c>
      <c r="BI445" s="7"/>
      <c r="BJ445" s="4">
        <v>17</v>
      </c>
      <c r="BK445" s="8">
        <v>387</v>
      </c>
      <c r="BL445" s="2" t="s">
        <v>3063</v>
      </c>
      <c r="BM445" s="7"/>
      <c r="BN445" s="7"/>
      <c r="BO445" s="4"/>
      <c r="BP445" s="8"/>
      <c r="BQ445" s="4"/>
      <c r="BR445" s="8"/>
      <c r="BS445" s="7"/>
      <c r="BT445" s="7"/>
      <c r="BU445" s="2" t="s">
        <v>3078</v>
      </c>
      <c r="BV445" s="2" t="s">
        <v>206</v>
      </c>
      <c r="BW445" s="2" t="s">
        <v>206</v>
      </c>
      <c r="BX445" s="2" t="s">
        <v>214</v>
      </c>
      <c r="BY445" s="2" t="s">
        <v>215</v>
      </c>
      <c r="BZ445" s="2" t="s">
        <v>203</v>
      </c>
      <c r="CA445" s="2" t="s">
        <v>3046</v>
      </c>
      <c r="CB445" s="2" t="s">
        <v>206</v>
      </c>
      <c r="CC445" s="2" t="s">
        <v>218</v>
      </c>
      <c r="CD445" s="2" t="s">
        <v>206</v>
      </c>
      <c r="CE445" s="4"/>
      <c r="CF445" s="4"/>
      <c r="CG445" s="4"/>
      <c r="CH445" s="4">
        <v>442</v>
      </c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  <c r="FU445" s="4"/>
      <c r="FV445" s="4"/>
      <c r="FW445" s="4"/>
      <c r="FX445" s="4"/>
      <c r="FY445" s="4"/>
      <c r="FZ445" s="4"/>
      <c r="GA445" s="4"/>
      <c r="GB445" s="4"/>
      <c r="GC445" s="4"/>
      <c r="GD445" s="4"/>
      <c r="GE445" s="4"/>
      <c r="GF445" s="4"/>
    </row>
    <row r="446">
      <c r="A446" s="2" t="s">
        <v>3079</v>
      </c>
      <c r="B446" s="2" t="s">
        <v>2987</v>
      </c>
      <c r="C446" s="2" t="s">
        <v>462</v>
      </c>
      <c r="D446" s="2" t="s">
        <v>2988</v>
      </c>
      <c r="E446" s="2" t="s">
        <v>2989</v>
      </c>
      <c r="F446" s="2" t="s">
        <v>3080</v>
      </c>
      <c r="G446" s="2" t="s">
        <v>3080</v>
      </c>
      <c r="H446" s="2" t="s">
        <v>3080</v>
      </c>
      <c r="I446" s="2" t="s">
        <v>3081</v>
      </c>
      <c r="J446" s="2" t="s">
        <v>3082</v>
      </c>
      <c r="K446" s="2" t="s">
        <v>3083</v>
      </c>
      <c r="L446" s="3">
        <v>20</v>
      </c>
      <c r="M446" s="3">
        <v>21</v>
      </c>
      <c r="N446" s="3">
        <v>41.99</v>
      </c>
      <c r="O446" s="2" t="s">
        <v>203</v>
      </c>
      <c r="P446" s="2" t="s">
        <v>492</v>
      </c>
      <c r="Q446" s="2" t="s">
        <v>205</v>
      </c>
      <c r="R446" s="2" t="s">
        <v>206</v>
      </c>
      <c r="S446" s="2" t="s">
        <v>206</v>
      </c>
      <c r="T446" s="2" t="s">
        <v>206</v>
      </c>
      <c r="U446" s="2" t="s">
        <v>437</v>
      </c>
      <c r="V446" s="2" t="s">
        <v>468</v>
      </c>
      <c r="W446" s="2" t="s">
        <v>206</v>
      </c>
      <c r="X446" s="2" t="s">
        <v>206</v>
      </c>
      <c r="Y446" s="2" t="s">
        <v>1011</v>
      </c>
      <c r="Z446" s="4">
        <v>155</v>
      </c>
      <c r="AA446" s="4">
        <f>=ROUNDDOWN(155,0)</f>
      </c>
      <c r="AB446" s="5">
        <v>1</v>
      </c>
      <c r="AC446" s="2" t="s">
        <v>206</v>
      </c>
      <c r="AD446" s="4"/>
      <c r="AE446" s="4"/>
      <c r="AF446" s="6"/>
      <c r="AG446" s="6">
        <v>73</v>
      </c>
      <c r="AH446" s="7">
        <v>1</v>
      </c>
      <c r="AI446" s="4"/>
      <c r="AJ446" s="4">
        <f>=ROUNDDOWN({0},0)</f>
      </c>
      <c r="AK446" s="5"/>
      <c r="AL446" s="2" t="s">
        <v>206</v>
      </c>
      <c r="AM446" s="4"/>
      <c r="AN446" s="4"/>
      <c r="AO446" s="7"/>
      <c r="AP446" s="4"/>
      <c r="AQ446" s="8"/>
      <c r="AR446" s="4"/>
      <c r="AS446" s="8"/>
      <c r="AT446" s="7"/>
      <c r="AU446" s="7"/>
      <c r="AV446" s="4" t="s">
        <v>206</v>
      </c>
      <c r="AW446" s="8" t="s">
        <v>206</v>
      </c>
      <c r="AX446" s="4" t="s">
        <v>206</v>
      </c>
      <c r="AY446" s="8" t="s">
        <v>206</v>
      </c>
      <c r="AZ446" s="7" t="s">
        <v>206</v>
      </c>
      <c r="BA446" s="7" t="s">
        <v>206</v>
      </c>
      <c r="BB446" s="7"/>
      <c r="BC446" s="4" t="s">
        <v>206</v>
      </c>
      <c r="BD446" s="8" t="s">
        <v>206</v>
      </c>
      <c r="BE446" s="4" t="s">
        <v>206</v>
      </c>
      <c r="BF446" s="8" t="s">
        <v>206</v>
      </c>
      <c r="BG446" s="7" t="s">
        <v>206</v>
      </c>
      <c r="BH446" s="7" t="s">
        <v>206</v>
      </c>
      <c r="BI446" s="7"/>
      <c r="BJ446" s="4">
        <v>4</v>
      </c>
      <c r="BK446" s="8">
        <v>100.38</v>
      </c>
      <c r="BL446" s="2" t="s">
        <v>3084</v>
      </c>
      <c r="BM446" s="7"/>
      <c r="BN446" s="7"/>
      <c r="BO446" s="4"/>
      <c r="BP446" s="8"/>
      <c r="BQ446" s="4"/>
      <c r="BR446" s="8"/>
      <c r="BS446" s="7"/>
      <c r="BT446" s="7"/>
      <c r="BU446" s="2" t="s">
        <v>3085</v>
      </c>
      <c r="BV446" s="2" t="s">
        <v>206</v>
      </c>
      <c r="BW446" s="2" t="s">
        <v>206</v>
      </c>
      <c r="BX446" s="2" t="s">
        <v>214</v>
      </c>
      <c r="BY446" s="2" t="s">
        <v>215</v>
      </c>
      <c r="BZ446" s="2" t="s">
        <v>203</v>
      </c>
      <c r="CA446" s="2" t="s">
        <v>3033</v>
      </c>
      <c r="CB446" s="2" t="s">
        <v>206</v>
      </c>
      <c r="CC446" s="2" t="s">
        <v>218</v>
      </c>
      <c r="CD446" s="2" t="s">
        <v>206</v>
      </c>
      <c r="CE446" s="4"/>
      <c r="CF446" s="4"/>
      <c r="CG446" s="4"/>
      <c r="CH446" s="4">
        <v>155</v>
      </c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  <c r="FT446" s="4"/>
      <c r="FU446" s="4"/>
      <c r="FV446" s="4"/>
      <c r="FW446" s="4"/>
      <c r="FX446" s="4"/>
      <c r="FY446" s="4"/>
      <c r="FZ446" s="4"/>
      <c r="GA446" s="4"/>
      <c r="GB446" s="4"/>
      <c r="GC446" s="4"/>
      <c r="GD446" s="4"/>
      <c r="GE446" s="4"/>
      <c r="GF446" s="4"/>
    </row>
    <row r="447">
      <c r="A447" s="2" t="s">
        <v>3086</v>
      </c>
      <c r="B447" s="2" t="s">
        <v>2987</v>
      </c>
      <c r="C447" s="2" t="s">
        <v>462</v>
      </c>
      <c r="D447" s="2" t="s">
        <v>2988</v>
      </c>
      <c r="E447" s="2" t="s">
        <v>2989</v>
      </c>
      <c r="F447" s="2" t="s">
        <v>3080</v>
      </c>
      <c r="G447" s="2" t="s">
        <v>3080</v>
      </c>
      <c r="H447" s="2" t="s">
        <v>3080</v>
      </c>
      <c r="I447" s="2" t="s">
        <v>3087</v>
      </c>
      <c r="J447" s="2" t="s">
        <v>3088</v>
      </c>
      <c r="K447" s="2" t="s">
        <v>3083</v>
      </c>
      <c r="L447" s="3">
        <v>20</v>
      </c>
      <c r="M447" s="3">
        <v>21</v>
      </c>
      <c r="N447" s="3">
        <v>41.99</v>
      </c>
      <c r="O447" s="2" t="s">
        <v>203</v>
      </c>
      <c r="P447" s="2" t="s">
        <v>492</v>
      </c>
      <c r="Q447" s="2" t="s">
        <v>205</v>
      </c>
      <c r="R447" s="2" t="s">
        <v>206</v>
      </c>
      <c r="S447" s="2" t="s">
        <v>206</v>
      </c>
      <c r="T447" s="2" t="s">
        <v>206</v>
      </c>
      <c r="U447" s="2" t="s">
        <v>437</v>
      </c>
      <c r="V447" s="2" t="s">
        <v>468</v>
      </c>
      <c r="W447" s="2" t="s">
        <v>206</v>
      </c>
      <c r="X447" s="2" t="s">
        <v>206</v>
      </c>
      <c r="Y447" s="2" t="s">
        <v>1011</v>
      </c>
      <c r="Z447" s="4">
        <v>197</v>
      </c>
      <c r="AA447" s="4">
        <f>=ROUNDDOWN(35.8181818181818,0)</f>
      </c>
      <c r="AB447" s="5">
        <v>5.5</v>
      </c>
      <c r="AC447" s="2" t="s">
        <v>206</v>
      </c>
      <c r="AD447" s="4"/>
      <c r="AE447" s="4"/>
      <c r="AF447" s="6"/>
      <c r="AG447" s="6">
        <v>73</v>
      </c>
      <c r="AH447" s="7">
        <v>1</v>
      </c>
      <c r="AI447" s="4"/>
      <c r="AJ447" s="4">
        <f>=ROUNDDOWN({0},0)</f>
      </c>
      <c r="AK447" s="5"/>
      <c r="AL447" s="2" t="s">
        <v>206</v>
      </c>
      <c r="AM447" s="4"/>
      <c r="AN447" s="4"/>
      <c r="AO447" s="7"/>
      <c r="AP447" s="4"/>
      <c r="AQ447" s="8"/>
      <c r="AR447" s="4"/>
      <c r="AS447" s="8"/>
      <c r="AT447" s="7"/>
      <c r="AU447" s="7"/>
      <c r="AV447" s="4" t="s">
        <v>206</v>
      </c>
      <c r="AW447" s="8" t="s">
        <v>206</v>
      </c>
      <c r="AX447" s="4" t="s">
        <v>206</v>
      </c>
      <c r="AY447" s="8" t="s">
        <v>206</v>
      </c>
      <c r="AZ447" s="7" t="s">
        <v>206</v>
      </c>
      <c r="BA447" s="7" t="s">
        <v>206</v>
      </c>
      <c r="BB447" s="7"/>
      <c r="BC447" s="4" t="s">
        <v>206</v>
      </c>
      <c r="BD447" s="8" t="s">
        <v>206</v>
      </c>
      <c r="BE447" s="4" t="s">
        <v>206</v>
      </c>
      <c r="BF447" s="8" t="s">
        <v>206</v>
      </c>
      <c r="BG447" s="7" t="s">
        <v>206</v>
      </c>
      <c r="BH447" s="7" t="s">
        <v>206</v>
      </c>
      <c r="BI447" s="7"/>
      <c r="BJ447" s="4">
        <v>19</v>
      </c>
      <c r="BK447" s="8">
        <v>473.34</v>
      </c>
      <c r="BL447" s="2" t="s">
        <v>3013</v>
      </c>
      <c r="BM447" s="7"/>
      <c r="BN447" s="7"/>
      <c r="BO447" s="4"/>
      <c r="BP447" s="8"/>
      <c r="BQ447" s="4"/>
      <c r="BR447" s="8"/>
      <c r="BS447" s="7"/>
      <c r="BT447" s="7"/>
      <c r="BU447" s="2" t="s">
        <v>3089</v>
      </c>
      <c r="BV447" s="2" t="s">
        <v>206</v>
      </c>
      <c r="BW447" s="2" t="s">
        <v>206</v>
      </c>
      <c r="BX447" s="2" t="s">
        <v>214</v>
      </c>
      <c r="BY447" s="2" t="s">
        <v>215</v>
      </c>
      <c r="BZ447" s="2" t="s">
        <v>203</v>
      </c>
      <c r="CA447" s="2" t="s">
        <v>3033</v>
      </c>
      <c r="CB447" s="2" t="s">
        <v>3090</v>
      </c>
      <c r="CC447" s="2" t="s">
        <v>218</v>
      </c>
      <c r="CD447" s="2" t="s">
        <v>206</v>
      </c>
      <c r="CE447" s="4"/>
      <c r="CF447" s="4"/>
      <c r="CG447" s="4"/>
      <c r="CH447" s="4">
        <v>197</v>
      </c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  <c r="FW447" s="4"/>
      <c r="FX447" s="4"/>
      <c r="FY447" s="4"/>
      <c r="FZ447" s="4"/>
      <c r="GA447" s="4"/>
      <c r="GB447" s="4"/>
      <c r="GC447" s="4"/>
      <c r="GD447" s="4"/>
      <c r="GE447" s="4"/>
      <c r="GF447" s="4"/>
    </row>
    <row r="448">
      <c r="A448" s="2" t="s">
        <v>3091</v>
      </c>
      <c r="B448" s="2" t="s">
        <v>2987</v>
      </c>
      <c r="C448" s="2" t="s">
        <v>462</v>
      </c>
      <c r="D448" s="2" t="s">
        <v>2988</v>
      </c>
      <c r="E448" s="2" t="s">
        <v>2989</v>
      </c>
      <c r="F448" s="2" t="s">
        <v>3080</v>
      </c>
      <c r="G448" s="2" t="s">
        <v>3080</v>
      </c>
      <c r="H448" s="2" t="s">
        <v>3080</v>
      </c>
      <c r="I448" s="2" t="s">
        <v>3092</v>
      </c>
      <c r="J448" s="2" t="s">
        <v>3093</v>
      </c>
      <c r="K448" s="2" t="s">
        <v>3083</v>
      </c>
      <c r="L448" s="3">
        <v>20</v>
      </c>
      <c r="M448" s="3">
        <v>21</v>
      </c>
      <c r="N448" s="3">
        <v>41.99</v>
      </c>
      <c r="O448" s="2" t="s">
        <v>203</v>
      </c>
      <c r="P448" s="2" t="s">
        <v>492</v>
      </c>
      <c r="Q448" s="2" t="s">
        <v>205</v>
      </c>
      <c r="R448" s="2" t="s">
        <v>206</v>
      </c>
      <c r="S448" s="2" t="s">
        <v>206</v>
      </c>
      <c r="T448" s="2" t="s">
        <v>206</v>
      </c>
      <c r="U448" s="2" t="s">
        <v>437</v>
      </c>
      <c r="V448" s="2" t="s">
        <v>468</v>
      </c>
      <c r="W448" s="2" t="s">
        <v>206</v>
      </c>
      <c r="X448" s="2" t="s">
        <v>206</v>
      </c>
      <c r="Y448" s="2" t="s">
        <v>1011</v>
      </c>
      <c r="Z448" s="4">
        <v>174</v>
      </c>
      <c r="AA448" s="4">
        <f>=ROUNDDOWN(30.5263157894737,0)</f>
      </c>
      <c r="AB448" s="5">
        <v>5.7</v>
      </c>
      <c r="AC448" s="2" t="s">
        <v>206</v>
      </c>
      <c r="AD448" s="4"/>
      <c r="AE448" s="4"/>
      <c r="AF448" s="6"/>
      <c r="AG448" s="6">
        <v>73</v>
      </c>
      <c r="AH448" s="7">
        <v>1</v>
      </c>
      <c r="AI448" s="4"/>
      <c r="AJ448" s="4">
        <f>=ROUNDDOWN({0},0)</f>
      </c>
      <c r="AK448" s="5"/>
      <c r="AL448" s="2" t="s">
        <v>206</v>
      </c>
      <c r="AM448" s="4"/>
      <c r="AN448" s="4"/>
      <c r="AO448" s="7"/>
      <c r="AP448" s="4"/>
      <c r="AQ448" s="8"/>
      <c r="AR448" s="4"/>
      <c r="AS448" s="8"/>
      <c r="AT448" s="7"/>
      <c r="AU448" s="7"/>
      <c r="AV448" s="4" t="s">
        <v>206</v>
      </c>
      <c r="AW448" s="8" t="s">
        <v>206</v>
      </c>
      <c r="AX448" s="4" t="s">
        <v>206</v>
      </c>
      <c r="AY448" s="8" t="s">
        <v>206</v>
      </c>
      <c r="AZ448" s="7" t="s">
        <v>206</v>
      </c>
      <c r="BA448" s="7" t="s">
        <v>206</v>
      </c>
      <c r="BB448" s="7"/>
      <c r="BC448" s="4" t="s">
        <v>206</v>
      </c>
      <c r="BD448" s="8" t="s">
        <v>206</v>
      </c>
      <c r="BE448" s="4" t="s">
        <v>206</v>
      </c>
      <c r="BF448" s="8" t="s">
        <v>206</v>
      </c>
      <c r="BG448" s="7" t="s">
        <v>206</v>
      </c>
      <c r="BH448" s="7" t="s">
        <v>206</v>
      </c>
      <c r="BI448" s="7"/>
      <c r="BJ448" s="4">
        <v>21</v>
      </c>
      <c r="BK448" s="8">
        <v>523.11</v>
      </c>
      <c r="BL448" s="2" t="s">
        <v>3013</v>
      </c>
      <c r="BM448" s="7"/>
      <c r="BN448" s="7"/>
      <c r="BO448" s="4"/>
      <c r="BP448" s="8"/>
      <c r="BQ448" s="4"/>
      <c r="BR448" s="8"/>
      <c r="BS448" s="7"/>
      <c r="BT448" s="7"/>
      <c r="BU448" s="2" t="s">
        <v>3094</v>
      </c>
      <c r="BV448" s="2" t="s">
        <v>206</v>
      </c>
      <c r="BW448" s="2" t="s">
        <v>206</v>
      </c>
      <c r="BX448" s="2" t="s">
        <v>214</v>
      </c>
      <c r="BY448" s="2" t="s">
        <v>215</v>
      </c>
      <c r="BZ448" s="2" t="s">
        <v>203</v>
      </c>
      <c r="CA448" s="2" t="s">
        <v>3033</v>
      </c>
      <c r="CB448" s="2" t="s">
        <v>2982</v>
      </c>
      <c r="CC448" s="2" t="s">
        <v>218</v>
      </c>
      <c r="CD448" s="2" t="s">
        <v>206</v>
      </c>
      <c r="CE448" s="4"/>
      <c r="CF448" s="4"/>
      <c r="CG448" s="4"/>
      <c r="CH448" s="4">
        <v>174</v>
      </c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  <c r="FW448" s="4"/>
      <c r="FX448" s="4"/>
      <c r="FY448" s="4"/>
      <c r="FZ448" s="4"/>
      <c r="GA448" s="4"/>
      <c r="GB448" s="4"/>
      <c r="GC448" s="4"/>
      <c r="GD448" s="4"/>
      <c r="GE448" s="4"/>
      <c r="GF448" s="4"/>
    </row>
    <row r="449">
      <c r="A449" s="2" t="s">
        <v>3095</v>
      </c>
      <c r="B449" s="2" t="s">
        <v>2987</v>
      </c>
      <c r="C449" s="2" t="s">
        <v>462</v>
      </c>
      <c r="D449" s="2" t="s">
        <v>2988</v>
      </c>
      <c r="E449" s="2" t="s">
        <v>2989</v>
      </c>
      <c r="F449" s="2" t="s">
        <v>3080</v>
      </c>
      <c r="G449" s="2" t="s">
        <v>3080</v>
      </c>
      <c r="H449" s="2" t="s">
        <v>3080</v>
      </c>
      <c r="I449" s="2" t="s">
        <v>3096</v>
      </c>
      <c r="J449" s="2" t="s">
        <v>3082</v>
      </c>
      <c r="K449" s="2" t="s">
        <v>3097</v>
      </c>
      <c r="L449" s="3">
        <v>20</v>
      </c>
      <c r="M449" s="3">
        <v>21</v>
      </c>
      <c r="N449" s="3">
        <v>41.99</v>
      </c>
      <c r="O449" s="2" t="s">
        <v>203</v>
      </c>
      <c r="P449" s="2" t="s">
        <v>492</v>
      </c>
      <c r="Q449" s="2" t="s">
        <v>205</v>
      </c>
      <c r="R449" s="2" t="s">
        <v>206</v>
      </c>
      <c r="S449" s="2" t="s">
        <v>206</v>
      </c>
      <c r="T449" s="2" t="s">
        <v>206</v>
      </c>
      <c r="U449" s="2" t="s">
        <v>437</v>
      </c>
      <c r="V449" s="2" t="s">
        <v>468</v>
      </c>
      <c r="W449" s="2" t="s">
        <v>206</v>
      </c>
      <c r="X449" s="2" t="s">
        <v>206</v>
      </c>
      <c r="Y449" s="2" t="s">
        <v>3098</v>
      </c>
      <c r="Z449" s="4">
        <v>119</v>
      </c>
      <c r="AA449" s="4">
        <f>=ROUNDDOWN(85,0)</f>
      </c>
      <c r="AB449" s="5">
        <v>1.4</v>
      </c>
      <c r="AC449" s="2" t="s">
        <v>206</v>
      </c>
      <c r="AD449" s="4"/>
      <c r="AE449" s="4"/>
      <c r="AF449" s="6"/>
      <c r="AG449" s="6">
        <v>73</v>
      </c>
      <c r="AH449" s="7">
        <v>1</v>
      </c>
      <c r="AI449" s="4"/>
      <c r="AJ449" s="4">
        <f>=ROUNDDOWN({0},0)</f>
      </c>
      <c r="AK449" s="5"/>
      <c r="AL449" s="2" t="s">
        <v>206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 t="s">
        <v>206</v>
      </c>
      <c r="AW449" s="8" t="s">
        <v>206</v>
      </c>
      <c r="AX449" s="4" t="s">
        <v>206</v>
      </c>
      <c r="AY449" s="8" t="s">
        <v>206</v>
      </c>
      <c r="AZ449" s="7" t="s">
        <v>206</v>
      </c>
      <c r="BA449" s="7" t="s">
        <v>206</v>
      </c>
      <c r="BB449" s="7"/>
      <c r="BC449" s="4" t="s">
        <v>206</v>
      </c>
      <c r="BD449" s="8" t="s">
        <v>206</v>
      </c>
      <c r="BE449" s="4" t="s">
        <v>206</v>
      </c>
      <c r="BF449" s="8" t="s">
        <v>206</v>
      </c>
      <c r="BG449" s="7" t="s">
        <v>206</v>
      </c>
      <c r="BH449" s="7" t="s">
        <v>206</v>
      </c>
      <c r="BI449" s="7"/>
      <c r="BJ449" s="4">
        <v>5</v>
      </c>
      <c r="BK449" s="8">
        <v>125.79</v>
      </c>
      <c r="BL449" s="2" t="s">
        <v>2993</v>
      </c>
      <c r="BM449" s="7"/>
      <c r="BN449" s="7"/>
      <c r="BO449" s="4"/>
      <c r="BP449" s="8"/>
      <c r="BQ449" s="4"/>
      <c r="BR449" s="8"/>
      <c r="BS449" s="7"/>
      <c r="BT449" s="7"/>
      <c r="BU449" s="2" t="s">
        <v>3099</v>
      </c>
      <c r="BV449" s="2" t="s">
        <v>206</v>
      </c>
      <c r="BW449" s="2" t="s">
        <v>206</v>
      </c>
      <c r="BX449" s="2" t="s">
        <v>214</v>
      </c>
      <c r="BY449" s="2" t="s">
        <v>215</v>
      </c>
      <c r="BZ449" s="2" t="s">
        <v>203</v>
      </c>
      <c r="CA449" s="2" t="s">
        <v>3033</v>
      </c>
      <c r="CB449" s="2" t="s">
        <v>206</v>
      </c>
      <c r="CC449" s="2" t="s">
        <v>218</v>
      </c>
      <c r="CD449" s="2" t="s">
        <v>206</v>
      </c>
      <c r="CE449" s="4"/>
      <c r="CF449" s="4"/>
      <c r="CG449" s="4"/>
      <c r="CH449" s="4">
        <v>119</v>
      </c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  <c r="FV449" s="4"/>
      <c r="FW449" s="4"/>
      <c r="FX449" s="4"/>
      <c r="FY449" s="4"/>
      <c r="FZ449" s="4"/>
      <c r="GA449" s="4"/>
      <c r="GB449" s="4"/>
      <c r="GC449" s="4"/>
      <c r="GD449" s="4"/>
      <c r="GE449" s="4"/>
      <c r="GF449" s="4"/>
    </row>
    <row r="450">
      <c r="A450" s="2" t="s">
        <v>3100</v>
      </c>
      <c r="B450" s="2" t="s">
        <v>2987</v>
      </c>
      <c r="C450" s="2" t="s">
        <v>462</v>
      </c>
      <c r="D450" s="2" t="s">
        <v>2988</v>
      </c>
      <c r="E450" s="2" t="s">
        <v>2989</v>
      </c>
      <c r="F450" s="2" t="s">
        <v>3080</v>
      </c>
      <c r="G450" s="2" t="s">
        <v>3080</v>
      </c>
      <c r="H450" s="2" t="s">
        <v>3080</v>
      </c>
      <c r="I450" s="2" t="s">
        <v>3096</v>
      </c>
      <c r="J450" s="2" t="s">
        <v>3088</v>
      </c>
      <c r="K450" s="2" t="s">
        <v>3097</v>
      </c>
      <c r="L450" s="3">
        <v>20</v>
      </c>
      <c r="M450" s="3">
        <v>21</v>
      </c>
      <c r="N450" s="3">
        <v>41.99</v>
      </c>
      <c r="O450" s="2" t="s">
        <v>203</v>
      </c>
      <c r="P450" s="2" t="s">
        <v>492</v>
      </c>
      <c r="Q450" s="2" t="s">
        <v>205</v>
      </c>
      <c r="R450" s="2" t="s">
        <v>206</v>
      </c>
      <c r="S450" s="2" t="s">
        <v>206</v>
      </c>
      <c r="T450" s="2" t="s">
        <v>206</v>
      </c>
      <c r="U450" s="2" t="s">
        <v>437</v>
      </c>
      <c r="V450" s="2" t="s">
        <v>468</v>
      </c>
      <c r="W450" s="2" t="s">
        <v>206</v>
      </c>
      <c r="X450" s="2" t="s">
        <v>206</v>
      </c>
      <c r="Y450" s="2" t="s">
        <v>3098</v>
      </c>
      <c r="Z450" s="4">
        <v>297</v>
      </c>
      <c r="AA450" s="4">
        <f>=ROUNDDOWN(80.2702702702703,0)</f>
      </c>
      <c r="AB450" s="5">
        <v>3.7</v>
      </c>
      <c r="AC450" s="2" t="s">
        <v>206</v>
      </c>
      <c r="AD450" s="4"/>
      <c r="AE450" s="4"/>
      <c r="AF450" s="6"/>
      <c r="AG450" s="6">
        <v>73</v>
      </c>
      <c r="AH450" s="7">
        <v>1</v>
      </c>
      <c r="AI450" s="4"/>
      <c r="AJ450" s="4">
        <f>=ROUNDDOWN({0},0)</f>
      </c>
      <c r="AK450" s="5"/>
      <c r="AL450" s="2" t="s">
        <v>206</v>
      </c>
      <c r="AM450" s="4"/>
      <c r="AN450" s="4"/>
      <c r="AO450" s="7"/>
      <c r="AP450" s="4"/>
      <c r="AQ450" s="8"/>
      <c r="AR450" s="4"/>
      <c r="AS450" s="8"/>
      <c r="AT450" s="7"/>
      <c r="AU450" s="7"/>
      <c r="AV450" s="4" t="s">
        <v>206</v>
      </c>
      <c r="AW450" s="8" t="s">
        <v>206</v>
      </c>
      <c r="AX450" s="4" t="s">
        <v>206</v>
      </c>
      <c r="AY450" s="8" t="s">
        <v>206</v>
      </c>
      <c r="AZ450" s="7" t="s">
        <v>206</v>
      </c>
      <c r="BA450" s="7" t="s">
        <v>206</v>
      </c>
      <c r="BB450" s="7"/>
      <c r="BC450" s="4" t="s">
        <v>206</v>
      </c>
      <c r="BD450" s="8" t="s">
        <v>206</v>
      </c>
      <c r="BE450" s="4" t="s">
        <v>206</v>
      </c>
      <c r="BF450" s="8" t="s">
        <v>206</v>
      </c>
      <c r="BG450" s="7" t="s">
        <v>206</v>
      </c>
      <c r="BH450" s="7" t="s">
        <v>206</v>
      </c>
      <c r="BI450" s="7"/>
      <c r="BJ450" s="4">
        <v>17</v>
      </c>
      <c r="BK450" s="8">
        <v>427.14</v>
      </c>
      <c r="BL450" s="2" t="s">
        <v>2993</v>
      </c>
      <c r="BM450" s="7"/>
      <c r="BN450" s="7"/>
      <c r="BO450" s="4"/>
      <c r="BP450" s="8"/>
      <c r="BQ450" s="4"/>
      <c r="BR450" s="8"/>
      <c r="BS450" s="7"/>
      <c r="BT450" s="7"/>
      <c r="BU450" s="2" t="s">
        <v>3101</v>
      </c>
      <c r="BV450" s="2" t="s">
        <v>206</v>
      </c>
      <c r="BW450" s="2" t="s">
        <v>206</v>
      </c>
      <c r="BX450" s="2" t="s">
        <v>214</v>
      </c>
      <c r="BY450" s="2" t="s">
        <v>215</v>
      </c>
      <c r="BZ450" s="2" t="s">
        <v>203</v>
      </c>
      <c r="CA450" s="2" t="s">
        <v>3033</v>
      </c>
      <c r="CB450" s="2" t="s">
        <v>3102</v>
      </c>
      <c r="CC450" s="2" t="s">
        <v>218</v>
      </c>
      <c r="CD450" s="2" t="s">
        <v>206</v>
      </c>
      <c r="CE450" s="4"/>
      <c r="CF450" s="4"/>
      <c r="CG450" s="4"/>
      <c r="CH450" s="4">
        <v>297</v>
      </c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  <c r="FV450" s="4"/>
      <c r="FW450" s="4"/>
      <c r="FX450" s="4"/>
      <c r="FY450" s="4"/>
      <c r="FZ450" s="4"/>
      <c r="GA450" s="4"/>
      <c r="GB450" s="4"/>
      <c r="GC450" s="4"/>
      <c r="GD450" s="4"/>
      <c r="GE450" s="4"/>
      <c r="GF450" s="4"/>
    </row>
    <row r="451">
      <c r="A451" s="2" t="s">
        <v>3103</v>
      </c>
      <c r="B451" s="2" t="s">
        <v>2987</v>
      </c>
      <c r="C451" s="2" t="s">
        <v>462</v>
      </c>
      <c r="D451" s="2" t="s">
        <v>2988</v>
      </c>
      <c r="E451" s="2" t="s">
        <v>2989</v>
      </c>
      <c r="F451" s="2" t="s">
        <v>3080</v>
      </c>
      <c r="G451" s="2" t="s">
        <v>3080</v>
      </c>
      <c r="H451" s="2" t="s">
        <v>3080</v>
      </c>
      <c r="I451" s="2" t="s">
        <v>3096</v>
      </c>
      <c r="J451" s="2" t="s">
        <v>3093</v>
      </c>
      <c r="K451" s="2" t="s">
        <v>3097</v>
      </c>
      <c r="L451" s="3">
        <v>20</v>
      </c>
      <c r="M451" s="3">
        <v>21</v>
      </c>
      <c r="N451" s="3">
        <v>41.99</v>
      </c>
      <c r="O451" s="2" t="s">
        <v>203</v>
      </c>
      <c r="P451" s="2" t="s">
        <v>492</v>
      </c>
      <c r="Q451" s="2" t="s">
        <v>205</v>
      </c>
      <c r="R451" s="2" t="s">
        <v>206</v>
      </c>
      <c r="S451" s="2" t="s">
        <v>206</v>
      </c>
      <c r="T451" s="2" t="s">
        <v>206</v>
      </c>
      <c r="U451" s="2" t="s">
        <v>437</v>
      </c>
      <c r="V451" s="2" t="s">
        <v>468</v>
      </c>
      <c r="W451" s="2" t="s">
        <v>206</v>
      </c>
      <c r="X451" s="2" t="s">
        <v>206</v>
      </c>
      <c r="Y451" s="2" t="s">
        <v>3098</v>
      </c>
      <c r="Z451" s="4">
        <v>293</v>
      </c>
      <c r="AA451" s="4">
        <f>=ROUNDDOWN(79.1891891891892,0)</f>
      </c>
      <c r="AB451" s="5">
        <v>3.7</v>
      </c>
      <c r="AC451" s="2" t="s">
        <v>206</v>
      </c>
      <c r="AD451" s="4"/>
      <c r="AE451" s="4"/>
      <c r="AF451" s="6"/>
      <c r="AG451" s="6">
        <v>73</v>
      </c>
      <c r="AH451" s="7">
        <v>1</v>
      </c>
      <c r="AI451" s="4"/>
      <c r="AJ451" s="4">
        <f>=ROUNDDOWN({0},0)</f>
      </c>
      <c r="AK451" s="5"/>
      <c r="AL451" s="2" t="s">
        <v>206</v>
      </c>
      <c r="AM451" s="4"/>
      <c r="AN451" s="4"/>
      <c r="AO451" s="7"/>
      <c r="AP451" s="4"/>
      <c r="AQ451" s="8"/>
      <c r="AR451" s="4"/>
      <c r="AS451" s="8"/>
      <c r="AT451" s="7"/>
      <c r="AU451" s="7"/>
      <c r="AV451" s="4" t="s">
        <v>206</v>
      </c>
      <c r="AW451" s="8" t="s">
        <v>206</v>
      </c>
      <c r="AX451" s="4" t="s">
        <v>206</v>
      </c>
      <c r="AY451" s="8" t="s">
        <v>206</v>
      </c>
      <c r="AZ451" s="7" t="s">
        <v>206</v>
      </c>
      <c r="BA451" s="7" t="s">
        <v>206</v>
      </c>
      <c r="BB451" s="7"/>
      <c r="BC451" s="4" t="s">
        <v>206</v>
      </c>
      <c r="BD451" s="8" t="s">
        <v>206</v>
      </c>
      <c r="BE451" s="4" t="s">
        <v>206</v>
      </c>
      <c r="BF451" s="8" t="s">
        <v>206</v>
      </c>
      <c r="BG451" s="7" t="s">
        <v>206</v>
      </c>
      <c r="BH451" s="7" t="s">
        <v>206</v>
      </c>
      <c r="BI451" s="7"/>
      <c r="BJ451" s="4">
        <v>13</v>
      </c>
      <c r="BK451" s="8">
        <v>326.76</v>
      </c>
      <c r="BL451" s="2" t="s">
        <v>2993</v>
      </c>
      <c r="BM451" s="7"/>
      <c r="BN451" s="7"/>
      <c r="BO451" s="4"/>
      <c r="BP451" s="8"/>
      <c r="BQ451" s="4"/>
      <c r="BR451" s="8"/>
      <c r="BS451" s="7"/>
      <c r="BT451" s="7"/>
      <c r="BU451" s="2" t="s">
        <v>3104</v>
      </c>
      <c r="BV451" s="2" t="s">
        <v>206</v>
      </c>
      <c r="BW451" s="2" t="s">
        <v>206</v>
      </c>
      <c r="BX451" s="2" t="s">
        <v>214</v>
      </c>
      <c r="BY451" s="2" t="s">
        <v>215</v>
      </c>
      <c r="BZ451" s="2" t="s">
        <v>203</v>
      </c>
      <c r="CA451" s="2" t="s">
        <v>3033</v>
      </c>
      <c r="CB451" s="2" t="s">
        <v>3105</v>
      </c>
      <c r="CC451" s="2" t="s">
        <v>218</v>
      </c>
      <c r="CD451" s="2" t="s">
        <v>206</v>
      </c>
      <c r="CE451" s="4"/>
      <c r="CF451" s="4"/>
      <c r="CG451" s="4"/>
      <c r="CH451" s="4">
        <v>293</v>
      </c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  <c r="FU451" s="4"/>
      <c r="FV451" s="4"/>
      <c r="FW451" s="4"/>
      <c r="FX451" s="4"/>
      <c r="FY451" s="4"/>
      <c r="FZ451" s="4"/>
      <c r="GA451" s="4"/>
      <c r="GB451" s="4"/>
      <c r="GC451" s="4"/>
      <c r="GD451" s="4"/>
      <c r="GE451" s="4"/>
      <c r="GF451" s="4"/>
    </row>
    <row r="452">
      <c r="A452" s="2" t="s">
        <v>3106</v>
      </c>
      <c r="B452" s="2" t="s">
        <v>2987</v>
      </c>
      <c r="C452" s="2" t="s">
        <v>462</v>
      </c>
      <c r="D452" s="2" t="s">
        <v>2988</v>
      </c>
      <c r="E452" s="2" t="s">
        <v>2989</v>
      </c>
      <c r="F452" s="2" t="s">
        <v>3080</v>
      </c>
      <c r="G452" s="2" t="s">
        <v>3080</v>
      </c>
      <c r="H452" s="2" t="s">
        <v>3080</v>
      </c>
      <c r="I452" s="2" t="s">
        <v>3096</v>
      </c>
      <c r="J452" s="2" t="s">
        <v>3082</v>
      </c>
      <c r="K452" s="2" t="s">
        <v>3107</v>
      </c>
      <c r="L452" s="3">
        <v>20</v>
      </c>
      <c r="M452" s="3">
        <v>21</v>
      </c>
      <c r="N452" s="3">
        <v>41.99</v>
      </c>
      <c r="O452" s="2" t="s">
        <v>203</v>
      </c>
      <c r="P452" s="2" t="s">
        <v>492</v>
      </c>
      <c r="Q452" s="2" t="s">
        <v>205</v>
      </c>
      <c r="R452" s="2" t="s">
        <v>206</v>
      </c>
      <c r="S452" s="2" t="s">
        <v>206</v>
      </c>
      <c r="T452" s="2" t="s">
        <v>206</v>
      </c>
      <c r="U452" s="2" t="s">
        <v>437</v>
      </c>
      <c r="V452" s="2" t="s">
        <v>468</v>
      </c>
      <c r="W452" s="2" t="s">
        <v>206</v>
      </c>
      <c r="X452" s="2" t="s">
        <v>206</v>
      </c>
      <c r="Y452" s="2" t="s">
        <v>3098</v>
      </c>
      <c r="Z452" s="4">
        <v>67</v>
      </c>
      <c r="AA452" s="4">
        <f>=ROUNDDOWN(60.9090909090909,0)</f>
      </c>
      <c r="AB452" s="5">
        <v>1.1</v>
      </c>
      <c r="AC452" s="2" t="s">
        <v>206</v>
      </c>
      <c r="AD452" s="4"/>
      <c r="AE452" s="4"/>
      <c r="AF452" s="6"/>
      <c r="AG452" s="6">
        <v>73</v>
      </c>
      <c r="AH452" s="7">
        <v>1</v>
      </c>
      <c r="AI452" s="4"/>
      <c r="AJ452" s="4">
        <f>=ROUNDDOWN({0},0)</f>
      </c>
      <c r="AK452" s="5"/>
      <c r="AL452" s="2" t="s">
        <v>206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 t="s">
        <v>206</v>
      </c>
      <c r="AW452" s="8" t="s">
        <v>206</v>
      </c>
      <c r="AX452" s="4" t="s">
        <v>206</v>
      </c>
      <c r="AY452" s="8" t="s">
        <v>206</v>
      </c>
      <c r="AZ452" s="7" t="s">
        <v>206</v>
      </c>
      <c r="BA452" s="7" t="s">
        <v>206</v>
      </c>
      <c r="BB452" s="7"/>
      <c r="BC452" s="4" t="s">
        <v>206</v>
      </c>
      <c r="BD452" s="8" t="s">
        <v>206</v>
      </c>
      <c r="BE452" s="4" t="s">
        <v>206</v>
      </c>
      <c r="BF452" s="8" t="s">
        <v>206</v>
      </c>
      <c r="BG452" s="7" t="s">
        <v>206</v>
      </c>
      <c r="BH452" s="7" t="s">
        <v>206</v>
      </c>
      <c r="BI452" s="7"/>
      <c r="BJ452" s="4">
        <v>3</v>
      </c>
      <c r="BK452" s="8">
        <v>75.6</v>
      </c>
      <c r="BL452" s="2" t="s">
        <v>3044</v>
      </c>
      <c r="BM452" s="7"/>
      <c r="BN452" s="7"/>
      <c r="BO452" s="4"/>
      <c r="BP452" s="8"/>
      <c r="BQ452" s="4"/>
      <c r="BR452" s="8"/>
      <c r="BS452" s="7"/>
      <c r="BT452" s="7"/>
      <c r="BU452" s="2" t="s">
        <v>3108</v>
      </c>
      <c r="BV452" s="2" t="s">
        <v>206</v>
      </c>
      <c r="BW452" s="2" t="s">
        <v>206</v>
      </c>
      <c r="BX452" s="2" t="s">
        <v>214</v>
      </c>
      <c r="BY452" s="2" t="s">
        <v>215</v>
      </c>
      <c r="BZ452" s="2" t="s">
        <v>203</v>
      </c>
      <c r="CA452" s="2" t="s">
        <v>3033</v>
      </c>
      <c r="CB452" s="2" t="s">
        <v>206</v>
      </c>
      <c r="CC452" s="2" t="s">
        <v>218</v>
      </c>
      <c r="CD452" s="2" t="s">
        <v>206</v>
      </c>
      <c r="CE452" s="4"/>
      <c r="CF452" s="4"/>
      <c r="CG452" s="4"/>
      <c r="CH452" s="4">
        <v>67</v>
      </c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  <c r="FV452" s="4"/>
      <c r="FW452" s="4"/>
      <c r="FX452" s="4"/>
      <c r="FY452" s="4"/>
      <c r="FZ452" s="4"/>
      <c r="GA452" s="4"/>
      <c r="GB452" s="4"/>
      <c r="GC452" s="4"/>
      <c r="GD452" s="4"/>
      <c r="GE452" s="4"/>
      <c r="GF452" s="4"/>
    </row>
    <row r="453">
      <c r="A453" s="2" t="s">
        <v>3109</v>
      </c>
      <c r="B453" s="2" t="s">
        <v>2987</v>
      </c>
      <c r="C453" s="2" t="s">
        <v>462</v>
      </c>
      <c r="D453" s="2" t="s">
        <v>2988</v>
      </c>
      <c r="E453" s="2" t="s">
        <v>2989</v>
      </c>
      <c r="F453" s="2" t="s">
        <v>3080</v>
      </c>
      <c r="G453" s="2" t="s">
        <v>3080</v>
      </c>
      <c r="H453" s="2" t="s">
        <v>3080</v>
      </c>
      <c r="I453" s="2" t="s">
        <v>3096</v>
      </c>
      <c r="J453" s="2" t="s">
        <v>3088</v>
      </c>
      <c r="K453" s="2" t="s">
        <v>3107</v>
      </c>
      <c r="L453" s="3">
        <v>20</v>
      </c>
      <c r="M453" s="3">
        <v>21</v>
      </c>
      <c r="N453" s="3">
        <v>41.99</v>
      </c>
      <c r="O453" s="2" t="s">
        <v>203</v>
      </c>
      <c r="P453" s="2" t="s">
        <v>492</v>
      </c>
      <c r="Q453" s="2" t="s">
        <v>205</v>
      </c>
      <c r="R453" s="2" t="s">
        <v>206</v>
      </c>
      <c r="S453" s="2" t="s">
        <v>206</v>
      </c>
      <c r="T453" s="2" t="s">
        <v>206</v>
      </c>
      <c r="U453" s="2" t="s">
        <v>437</v>
      </c>
      <c r="V453" s="2" t="s">
        <v>468</v>
      </c>
      <c r="W453" s="2" t="s">
        <v>206</v>
      </c>
      <c r="X453" s="2" t="s">
        <v>206</v>
      </c>
      <c r="Y453" s="2" t="s">
        <v>3098</v>
      </c>
      <c r="Z453" s="4">
        <v>256</v>
      </c>
      <c r="AA453" s="4">
        <f>=ROUNDDOWN(73.1428571428571,0)</f>
      </c>
      <c r="AB453" s="5">
        <v>3.5</v>
      </c>
      <c r="AC453" s="2" t="s">
        <v>206</v>
      </c>
      <c r="AD453" s="4"/>
      <c r="AE453" s="4"/>
      <c r="AF453" s="6"/>
      <c r="AG453" s="6">
        <v>73</v>
      </c>
      <c r="AH453" s="7">
        <v>1</v>
      </c>
      <c r="AI453" s="4"/>
      <c r="AJ453" s="4">
        <f>=ROUNDDOWN({0},0)</f>
      </c>
      <c r="AK453" s="5"/>
      <c r="AL453" s="2" t="s">
        <v>206</v>
      </c>
      <c r="AM453" s="4"/>
      <c r="AN453" s="4"/>
      <c r="AO453" s="7"/>
      <c r="AP453" s="4"/>
      <c r="AQ453" s="8"/>
      <c r="AR453" s="4"/>
      <c r="AS453" s="8"/>
      <c r="AT453" s="7"/>
      <c r="AU453" s="7"/>
      <c r="AV453" s="4" t="s">
        <v>206</v>
      </c>
      <c r="AW453" s="8" t="s">
        <v>206</v>
      </c>
      <c r="AX453" s="4" t="s">
        <v>206</v>
      </c>
      <c r="AY453" s="8" t="s">
        <v>206</v>
      </c>
      <c r="AZ453" s="7" t="s">
        <v>206</v>
      </c>
      <c r="BA453" s="7" t="s">
        <v>206</v>
      </c>
      <c r="BB453" s="7"/>
      <c r="BC453" s="4" t="s">
        <v>206</v>
      </c>
      <c r="BD453" s="8" t="s">
        <v>206</v>
      </c>
      <c r="BE453" s="4" t="s">
        <v>206</v>
      </c>
      <c r="BF453" s="8" t="s">
        <v>206</v>
      </c>
      <c r="BG453" s="7" t="s">
        <v>206</v>
      </c>
      <c r="BH453" s="7" t="s">
        <v>206</v>
      </c>
      <c r="BI453" s="7"/>
      <c r="BJ453" s="4">
        <v>12</v>
      </c>
      <c r="BK453" s="8">
        <v>302.4</v>
      </c>
      <c r="BL453" s="2" t="s">
        <v>3044</v>
      </c>
      <c r="BM453" s="7"/>
      <c r="BN453" s="7"/>
      <c r="BO453" s="4"/>
      <c r="BP453" s="8"/>
      <c r="BQ453" s="4"/>
      <c r="BR453" s="8"/>
      <c r="BS453" s="7"/>
      <c r="BT453" s="7"/>
      <c r="BU453" s="2" t="s">
        <v>3110</v>
      </c>
      <c r="BV453" s="2" t="s">
        <v>206</v>
      </c>
      <c r="BW453" s="2" t="s">
        <v>206</v>
      </c>
      <c r="BX453" s="2" t="s">
        <v>214</v>
      </c>
      <c r="BY453" s="2" t="s">
        <v>215</v>
      </c>
      <c r="BZ453" s="2" t="s">
        <v>203</v>
      </c>
      <c r="CA453" s="2" t="s">
        <v>3033</v>
      </c>
      <c r="CB453" s="2" t="s">
        <v>1536</v>
      </c>
      <c r="CC453" s="2" t="s">
        <v>218</v>
      </c>
      <c r="CD453" s="2" t="s">
        <v>206</v>
      </c>
      <c r="CE453" s="4"/>
      <c r="CF453" s="4"/>
      <c r="CG453" s="4"/>
      <c r="CH453" s="4">
        <v>256</v>
      </c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  <c r="FU453" s="4"/>
      <c r="FV453" s="4"/>
      <c r="FW453" s="4"/>
      <c r="FX453" s="4"/>
      <c r="FY453" s="4"/>
      <c r="FZ453" s="4"/>
      <c r="GA453" s="4"/>
      <c r="GB453" s="4"/>
      <c r="GC453" s="4"/>
      <c r="GD453" s="4"/>
      <c r="GE453" s="4"/>
      <c r="GF453" s="4"/>
    </row>
    <row r="454">
      <c r="A454" s="2" t="s">
        <v>3111</v>
      </c>
      <c r="B454" s="2" t="s">
        <v>2987</v>
      </c>
      <c r="C454" s="2" t="s">
        <v>462</v>
      </c>
      <c r="D454" s="2" t="s">
        <v>2988</v>
      </c>
      <c r="E454" s="2" t="s">
        <v>2989</v>
      </c>
      <c r="F454" s="2" t="s">
        <v>3080</v>
      </c>
      <c r="G454" s="2" t="s">
        <v>3080</v>
      </c>
      <c r="H454" s="2" t="s">
        <v>3080</v>
      </c>
      <c r="I454" s="2" t="s">
        <v>3096</v>
      </c>
      <c r="J454" s="2" t="s">
        <v>3093</v>
      </c>
      <c r="K454" s="2" t="s">
        <v>3107</v>
      </c>
      <c r="L454" s="3">
        <v>20</v>
      </c>
      <c r="M454" s="3">
        <v>21</v>
      </c>
      <c r="N454" s="3">
        <v>41.99</v>
      </c>
      <c r="O454" s="2" t="s">
        <v>203</v>
      </c>
      <c r="P454" s="2" t="s">
        <v>492</v>
      </c>
      <c r="Q454" s="2" t="s">
        <v>205</v>
      </c>
      <c r="R454" s="2" t="s">
        <v>206</v>
      </c>
      <c r="S454" s="2" t="s">
        <v>206</v>
      </c>
      <c r="T454" s="2" t="s">
        <v>206</v>
      </c>
      <c r="U454" s="2" t="s">
        <v>437</v>
      </c>
      <c r="V454" s="2" t="s">
        <v>468</v>
      </c>
      <c r="W454" s="2" t="s">
        <v>206</v>
      </c>
      <c r="X454" s="2" t="s">
        <v>206</v>
      </c>
      <c r="Y454" s="2" t="s">
        <v>3098</v>
      </c>
      <c r="Z454" s="4">
        <v>225</v>
      </c>
      <c r="AA454" s="4">
        <f>=ROUNDDOWN(72.5806451612903,0)</f>
      </c>
      <c r="AB454" s="5">
        <v>3.1</v>
      </c>
      <c r="AC454" s="2" t="s">
        <v>206</v>
      </c>
      <c r="AD454" s="4"/>
      <c r="AE454" s="4"/>
      <c r="AF454" s="6"/>
      <c r="AG454" s="6">
        <v>73</v>
      </c>
      <c r="AH454" s="7">
        <v>1</v>
      </c>
      <c r="AI454" s="4"/>
      <c r="AJ454" s="4">
        <f>=ROUNDDOWN({0},0)</f>
      </c>
      <c r="AK454" s="5"/>
      <c r="AL454" s="2" t="s">
        <v>206</v>
      </c>
      <c r="AM454" s="4"/>
      <c r="AN454" s="4"/>
      <c r="AO454" s="7"/>
      <c r="AP454" s="4"/>
      <c r="AQ454" s="8"/>
      <c r="AR454" s="4"/>
      <c r="AS454" s="8"/>
      <c r="AT454" s="7"/>
      <c r="AU454" s="7"/>
      <c r="AV454" s="4" t="s">
        <v>206</v>
      </c>
      <c r="AW454" s="8" t="s">
        <v>206</v>
      </c>
      <c r="AX454" s="4" t="s">
        <v>206</v>
      </c>
      <c r="AY454" s="8" t="s">
        <v>206</v>
      </c>
      <c r="AZ454" s="7" t="s">
        <v>206</v>
      </c>
      <c r="BA454" s="7" t="s">
        <v>206</v>
      </c>
      <c r="BB454" s="7"/>
      <c r="BC454" s="4" t="s">
        <v>206</v>
      </c>
      <c r="BD454" s="8" t="s">
        <v>206</v>
      </c>
      <c r="BE454" s="4" t="s">
        <v>206</v>
      </c>
      <c r="BF454" s="8" t="s">
        <v>206</v>
      </c>
      <c r="BG454" s="7" t="s">
        <v>206</v>
      </c>
      <c r="BH454" s="7" t="s">
        <v>206</v>
      </c>
      <c r="BI454" s="7"/>
      <c r="BJ454" s="4">
        <v>15</v>
      </c>
      <c r="BK454" s="8">
        <v>377.37</v>
      </c>
      <c r="BL454" s="2" t="s">
        <v>2993</v>
      </c>
      <c r="BM454" s="7"/>
      <c r="BN454" s="7"/>
      <c r="BO454" s="4"/>
      <c r="BP454" s="8"/>
      <c r="BQ454" s="4"/>
      <c r="BR454" s="8"/>
      <c r="BS454" s="7"/>
      <c r="BT454" s="7"/>
      <c r="BU454" s="2" t="s">
        <v>3112</v>
      </c>
      <c r="BV454" s="2" t="s">
        <v>206</v>
      </c>
      <c r="BW454" s="2" t="s">
        <v>206</v>
      </c>
      <c r="BX454" s="2" t="s">
        <v>214</v>
      </c>
      <c r="BY454" s="2" t="s">
        <v>215</v>
      </c>
      <c r="BZ454" s="2" t="s">
        <v>203</v>
      </c>
      <c r="CA454" s="2" t="s">
        <v>3033</v>
      </c>
      <c r="CB454" s="2" t="s">
        <v>3113</v>
      </c>
      <c r="CC454" s="2" t="s">
        <v>218</v>
      </c>
      <c r="CD454" s="2" t="s">
        <v>206</v>
      </c>
      <c r="CE454" s="4"/>
      <c r="CF454" s="4"/>
      <c r="CG454" s="4"/>
      <c r="CH454" s="4">
        <v>225</v>
      </c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  <c r="FW454" s="4"/>
      <c r="FX454" s="4"/>
      <c r="FY454" s="4"/>
      <c r="FZ454" s="4"/>
      <c r="GA454" s="4"/>
      <c r="GB454" s="4"/>
      <c r="GC454" s="4"/>
      <c r="GD454" s="4"/>
      <c r="GE454" s="4"/>
      <c r="GF454" s="4"/>
    </row>
    <row r="455">
      <c r="A455" s="2" t="s">
        <v>3114</v>
      </c>
      <c r="B455" s="2" t="s">
        <v>2987</v>
      </c>
      <c r="C455" s="2" t="s">
        <v>462</v>
      </c>
      <c r="D455" s="2" t="s">
        <v>2988</v>
      </c>
      <c r="E455" s="2" t="s">
        <v>2989</v>
      </c>
      <c r="F455" s="2" t="s">
        <v>3080</v>
      </c>
      <c r="G455" s="2" t="s">
        <v>3080</v>
      </c>
      <c r="H455" s="2" t="s">
        <v>3080</v>
      </c>
      <c r="I455" s="2" t="s">
        <v>3096</v>
      </c>
      <c r="J455" s="2" t="s">
        <v>3082</v>
      </c>
      <c r="K455" s="2" t="s">
        <v>3115</v>
      </c>
      <c r="L455" s="3">
        <v>20</v>
      </c>
      <c r="M455" s="3">
        <v>21</v>
      </c>
      <c r="N455" s="3">
        <v>41.99</v>
      </c>
      <c r="O455" s="2" t="s">
        <v>203</v>
      </c>
      <c r="P455" s="2" t="s">
        <v>492</v>
      </c>
      <c r="Q455" s="2" t="s">
        <v>205</v>
      </c>
      <c r="R455" s="2" t="s">
        <v>206</v>
      </c>
      <c r="S455" s="2" t="s">
        <v>206</v>
      </c>
      <c r="T455" s="2" t="s">
        <v>206</v>
      </c>
      <c r="U455" s="2" t="s">
        <v>437</v>
      </c>
      <c r="V455" s="2" t="s">
        <v>468</v>
      </c>
      <c r="W455" s="2" t="s">
        <v>206</v>
      </c>
      <c r="X455" s="2" t="s">
        <v>206</v>
      </c>
      <c r="Y455" s="2" t="s">
        <v>3098</v>
      </c>
      <c r="Z455" s="4">
        <v>154</v>
      </c>
      <c r="AA455" s="4">
        <f>=ROUNDDOWN(102.666666666667,0)</f>
      </c>
      <c r="AB455" s="5">
        <v>1.5</v>
      </c>
      <c r="AC455" s="2" t="s">
        <v>206</v>
      </c>
      <c r="AD455" s="4"/>
      <c r="AE455" s="4"/>
      <c r="AF455" s="6"/>
      <c r="AG455" s="6">
        <v>73</v>
      </c>
      <c r="AH455" s="7">
        <v>1</v>
      </c>
      <c r="AI455" s="4"/>
      <c r="AJ455" s="4">
        <f>=ROUNDDOWN({0},0)</f>
      </c>
      <c r="AK455" s="5"/>
      <c r="AL455" s="2" t="s">
        <v>206</v>
      </c>
      <c r="AM455" s="4"/>
      <c r="AN455" s="4"/>
      <c r="AO455" s="7"/>
      <c r="AP455" s="4"/>
      <c r="AQ455" s="8"/>
      <c r="AR455" s="4"/>
      <c r="AS455" s="8"/>
      <c r="AT455" s="7"/>
      <c r="AU455" s="7"/>
      <c r="AV455" s="4" t="s">
        <v>206</v>
      </c>
      <c r="AW455" s="8" t="s">
        <v>206</v>
      </c>
      <c r="AX455" s="4" t="s">
        <v>206</v>
      </c>
      <c r="AY455" s="8" t="s">
        <v>206</v>
      </c>
      <c r="AZ455" s="7" t="s">
        <v>206</v>
      </c>
      <c r="BA455" s="7" t="s">
        <v>206</v>
      </c>
      <c r="BB455" s="7"/>
      <c r="BC455" s="4" t="s">
        <v>206</v>
      </c>
      <c r="BD455" s="8" t="s">
        <v>206</v>
      </c>
      <c r="BE455" s="4" t="s">
        <v>206</v>
      </c>
      <c r="BF455" s="8" t="s">
        <v>206</v>
      </c>
      <c r="BG455" s="7" t="s">
        <v>206</v>
      </c>
      <c r="BH455" s="7" t="s">
        <v>206</v>
      </c>
      <c r="BI455" s="7"/>
      <c r="BJ455" s="4">
        <v>2</v>
      </c>
      <c r="BK455" s="8">
        <v>50.4</v>
      </c>
      <c r="BL455" s="2" t="s">
        <v>3024</v>
      </c>
      <c r="BM455" s="7"/>
      <c r="BN455" s="7"/>
      <c r="BO455" s="4"/>
      <c r="BP455" s="8"/>
      <c r="BQ455" s="4"/>
      <c r="BR455" s="8"/>
      <c r="BS455" s="7"/>
      <c r="BT455" s="7"/>
      <c r="BU455" s="2" t="s">
        <v>3116</v>
      </c>
      <c r="BV455" s="2" t="s">
        <v>206</v>
      </c>
      <c r="BW455" s="2" t="s">
        <v>206</v>
      </c>
      <c r="BX455" s="2" t="s">
        <v>214</v>
      </c>
      <c r="BY455" s="2" t="s">
        <v>215</v>
      </c>
      <c r="BZ455" s="2" t="s">
        <v>203</v>
      </c>
      <c r="CA455" s="2" t="s">
        <v>3033</v>
      </c>
      <c r="CB455" s="2" t="s">
        <v>206</v>
      </c>
      <c r="CC455" s="2" t="s">
        <v>218</v>
      </c>
      <c r="CD455" s="2" t="s">
        <v>206</v>
      </c>
      <c r="CE455" s="4"/>
      <c r="CF455" s="4"/>
      <c r="CG455" s="4"/>
      <c r="CH455" s="4">
        <v>154</v>
      </c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  <c r="FW455" s="4"/>
      <c r="FX455" s="4"/>
      <c r="FY455" s="4"/>
      <c r="FZ455" s="4"/>
      <c r="GA455" s="4"/>
      <c r="GB455" s="4"/>
      <c r="GC455" s="4"/>
      <c r="GD455" s="4"/>
      <c r="GE455" s="4"/>
      <c r="GF455" s="4"/>
    </row>
    <row r="456">
      <c r="A456" s="2" t="s">
        <v>3117</v>
      </c>
      <c r="B456" s="2" t="s">
        <v>2987</v>
      </c>
      <c r="C456" s="2" t="s">
        <v>462</v>
      </c>
      <c r="D456" s="2" t="s">
        <v>2988</v>
      </c>
      <c r="E456" s="2" t="s">
        <v>2989</v>
      </c>
      <c r="F456" s="2" t="s">
        <v>3080</v>
      </c>
      <c r="G456" s="2" t="s">
        <v>3080</v>
      </c>
      <c r="H456" s="2" t="s">
        <v>3080</v>
      </c>
      <c r="I456" s="2" t="s">
        <v>3096</v>
      </c>
      <c r="J456" s="2" t="s">
        <v>3088</v>
      </c>
      <c r="K456" s="2" t="s">
        <v>3115</v>
      </c>
      <c r="L456" s="3">
        <v>20</v>
      </c>
      <c r="M456" s="3">
        <v>21</v>
      </c>
      <c r="N456" s="3">
        <v>41.99</v>
      </c>
      <c r="O456" s="2" t="s">
        <v>203</v>
      </c>
      <c r="P456" s="2" t="s">
        <v>492</v>
      </c>
      <c r="Q456" s="2" t="s">
        <v>205</v>
      </c>
      <c r="R456" s="2" t="s">
        <v>206</v>
      </c>
      <c r="S456" s="2" t="s">
        <v>206</v>
      </c>
      <c r="T456" s="2" t="s">
        <v>206</v>
      </c>
      <c r="U456" s="2" t="s">
        <v>437</v>
      </c>
      <c r="V456" s="2" t="s">
        <v>468</v>
      </c>
      <c r="W456" s="2" t="s">
        <v>206</v>
      </c>
      <c r="X456" s="2" t="s">
        <v>206</v>
      </c>
      <c r="Y456" s="2" t="s">
        <v>3098</v>
      </c>
      <c r="Z456" s="4">
        <v>509</v>
      </c>
      <c r="AA456" s="4">
        <f>=ROUNDDOWN(87.7586206896552,0)</f>
      </c>
      <c r="AB456" s="5">
        <v>5.8</v>
      </c>
      <c r="AC456" s="2" t="s">
        <v>206</v>
      </c>
      <c r="AD456" s="4"/>
      <c r="AE456" s="4"/>
      <c r="AF456" s="6"/>
      <c r="AG456" s="6">
        <v>73</v>
      </c>
      <c r="AH456" s="7">
        <v>1</v>
      </c>
      <c r="AI456" s="4"/>
      <c r="AJ456" s="4">
        <f>=ROUNDDOWN({0},0)</f>
      </c>
      <c r="AK456" s="5"/>
      <c r="AL456" s="2" t="s">
        <v>206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 t="s">
        <v>206</v>
      </c>
      <c r="AW456" s="8" t="s">
        <v>206</v>
      </c>
      <c r="AX456" s="4" t="s">
        <v>206</v>
      </c>
      <c r="AY456" s="8" t="s">
        <v>206</v>
      </c>
      <c r="AZ456" s="7" t="s">
        <v>206</v>
      </c>
      <c r="BA456" s="7" t="s">
        <v>206</v>
      </c>
      <c r="BB456" s="7"/>
      <c r="BC456" s="4" t="s">
        <v>206</v>
      </c>
      <c r="BD456" s="8" t="s">
        <v>206</v>
      </c>
      <c r="BE456" s="4" t="s">
        <v>206</v>
      </c>
      <c r="BF456" s="8" t="s">
        <v>206</v>
      </c>
      <c r="BG456" s="7" t="s">
        <v>206</v>
      </c>
      <c r="BH456" s="7" t="s">
        <v>206</v>
      </c>
      <c r="BI456" s="7"/>
      <c r="BJ456" s="4">
        <v>17</v>
      </c>
      <c r="BK456" s="8">
        <v>426.72</v>
      </c>
      <c r="BL456" s="2" t="s">
        <v>2993</v>
      </c>
      <c r="BM456" s="7"/>
      <c r="BN456" s="7"/>
      <c r="BO456" s="4"/>
      <c r="BP456" s="8"/>
      <c r="BQ456" s="4"/>
      <c r="BR456" s="8"/>
      <c r="BS456" s="7"/>
      <c r="BT456" s="7"/>
      <c r="BU456" s="2" t="s">
        <v>3118</v>
      </c>
      <c r="BV456" s="2" t="s">
        <v>206</v>
      </c>
      <c r="BW456" s="2" t="s">
        <v>206</v>
      </c>
      <c r="BX456" s="2" t="s">
        <v>214</v>
      </c>
      <c r="BY456" s="2" t="s">
        <v>215</v>
      </c>
      <c r="BZ456" s="2" t="s">
        <v>203</v>
      </c>
      <c r="CA456" s="2" t="s">
        <v>3033</v>
      </c>
      <c r="CB456" s="2" t="s">
        <v>206</v>
      </c>
      <c r="CC456" s="2" t="s">
        <v>218</v>
      </c>
      <c r="CD456" s="2" t="s">
        <v>206</v>
      </c>
      <c r="CE456" s="4"/>
      <c r="CF456" s="4"/>
      <c r="CG456" s="4"/>
      <c r="CH456" s="4">
        <v>509</v>
      </c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  <c r="FW456" s="4"/>
      <c r="FX456" s="4"/>
      <c r="FY456" s="4"/>
      <c r="FZ456" s="4"/>
      <c r="GA456" s="4"/>
      <c r="GB456" s="4"/>
      <c r="GC456" s="4"/>
      <c r="GD456" s="4"/>
      <c r="GE456" s="4"/>
      <c r="GF456" s="4"/>
    </row>
    <row r="457">
      <c r="A457" s="2" t="s">
        <v>3119</v>
      </c>
      <c r="B457" s="2" t="s">
        <v>2987</v>
      </c>
      <c r="C457" s="2" t="s">
        <v>462</v>
      </c>
      <c r="D457" s="2" t="s">
        <v>2988</v>
      </c>
      <c r="E457" s="2" t="s">
        <v>2989</v>
      </c>
      <c r="F457" s="2" t="s">
        <v>3080</v>
      </c>
      <c r="G457" s="2" t="s">
        <v>3080</v>
      </c>
      <c r="H457" s="2" t="s">
        <v>3080</v>
      </c>
      <c r="I457" s="2" t="s">
        <v>3096</v>
      </c>
      <c r="J457" s="2" t="s">
        <v>3093</v>
      </c>
      <c r="K457" s="2" t="s">
        <v>3115</v>
      </c>
      <c r="L457" s="3">
        <v>20</v>
      </c>
      <c r="M457" s="3">
        <v>21</v>
      </c>
      <c r="N457" s="3">
        <v>41.99</v>
      </c>
      <c r="O457" s="2" t="s">
        <v>203</v>
      </c>
      <c r="P457" s="2" t="s">
        <v>492</v>
      </c>
      <c r="Q457" s="2" t="s">
        <v>205</v>
      </c>
      <c r="R457" s="2" t="s">
        <v>206</v>
      </c>
      <c r="S457" s="2" t="s">
        <v>206</v>
      </c>
      <c r="T457" s="2" t="s">
        <v>206</v>
      </c>
      <c r="U457" s="2" t="s">
        <v>437</v>
      </c>
      <c r="V457" s="2" t="s">
        <v>468</v>
      </c>
      <c r="W457" s="2" t="s">
        <v>206</v>
      </c>
      <c r="X457" s="2" t="s">
        <v>206</v>
      </c>
      <c r="Y457" s="2" t="s">
        <v>3098</v>
      </c>
      <c r="Z457" s="4">
        <v>387</v>
      </c>
      <c r="AA457" s="4">
        <f>=ROUNDDOWN(60.46875,0)</f>
      </c>
      <c r="AB457" s="5">
        <v>6.4</v>
      </c>
      <c r="AC457" s="2" t="s">
        <v>206</v>
      </c>
      <c r="AD457" s="4"/>
      <c r="AE457" s="4"/>
      <c r="AF457" s="6"/>
      <c r="AG457" s="6">
        <v>73</v>
      </c>
      <c r="AH457" s="7">
        <v>1</v>
      </c>
      <c r="AI457" s="4"/>
      <c r="AJ457" s="4">
        <f>=ROUNDDOWN({0},0)</f>
      </c>
      <c r="AK457" s="5"/>
      <c r="AL457" s="2" t="s">
        <v>206</v>
      </c>
      <c r="AM457" s="4"/>
      <c r="AN457" s="4"/>
      <c r="AO457" s="7"/>
      <c r="AP457" s="4"/>
      <c r="AQ457" s="8"/>
      <c r="AR457" s="4"/>
      <c r="AS457" s="8"/>
      <c r="AT457" s="7"/>
      <c r="AU457" s="7"/>
      <c r="AV457" s="4" t="s">
        <v>206</v>
      </c>
      <c r="AW457" s="8" t="s">
        <v>206</v>
      </c>
      <c r="AX457" s="4" t="s">
        <v>206</v>
      </c>
      <c r="AY457" s="8" t="s">
        <v>206</v>
      </c>
      <c r="AZ457" s="7" t="s">
        <v>206</v>
      </c>
      <c r="BA457" s="7" t="s">
        <v>206</v>
      </c>
      <c r="BB457" s="7"/>
      <c r="BC457" s="4" t="s">
        <v>206</v>
      </c>
      <c r="BD457" s="8" t="s">
        <v>206</v>
      </c>
      <c r="BE457" s="4" t="s">
        <v>206</v>
      </c>
      <c r="BF457" s="8" t="s">
        <v>206</v>
      </c>
      <c r="BG457" s="7" t="s">
        <v>206</v>
      </c>
      <c r="BH457" s="7" t="s">
        <v>206</v>
      </c>
      <c r="BI457" s="7"/>
      <c r="BJ457" s="4">
        <v>34</v>
      </c>
      <c r="BK457" s="8">
        <v>849.24</v>
      </c>
      <c r="BL457" s="2" t="s">
        <v>2999</v>
      </c>
      <c r="BM457" s="7"/>
      <c r="BN457" s="7"/>
      <c r="BO457" s="4"/>
      <c r="BP457" s="8"/>
      <c r="BQ457" s="4"/>
      <c r="BR457" s="8"/>
      <c r="BS457" s="7"/>
      <c r="BT457" s="7"/>
      <c r="BU457" s="2" t="s">
        <v>3120</v>
      </c>
      <c r="BV457" s="2" t="s">
        <v>206</v>
      </c>
      <c r="BW457" s="2" t="s">
        <v>206</v>
      </c>
      <c r="BX457" s="2" t="s">
        <v>214</v>
      </c>
      <c r="BY457" s="2" t="s">
        <v>215</v>
      </c>
      <c r="BZ457" s="2" t="s">
        <v>203</v>
      </c>
      <c r="CA457" s="2" t="s">
        <v>3033</v>
      </c>
      <c r="CB457" s="2" t="s">
        <v>3102</v>
      </c>
      <c r="CC457" s="2" t="s">
        <v>218</v>
      </c>
      <c r="CD457" s="2" t="s">
        <v>206</v>
      </c>
      <c r="CE457" s="4"/>
      <c r="CF457" s="4"/>
      <c r="CG457" s="4"/>
      <c r="CH457" s="4">
        <v>387</v>
      </c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  <c r="FW457" s="4"/>
      <c r="FX457" s="4"/>
      <c r="FY457" s="4"/>
      <c r="FZ457" s="4"/>
      <c r="GA457" s="4"/>
      <c r="GB457" s="4"/>
      <c r="GC457" s="4"/>
      <c r="GD457" s="4"/>
      <c r="GE457" s="4"/>
      <c r="GF457" s="4"/>
    </row>
    <row r="458">
      <c r="A458" s="2" t="s">
        <v>3121</v>
      </c>
      <c r="B458" s="2" t="s">
        <v>2987</v>
      </c>
      <c r="C458" s="2" t="s">
        <v>462</v>
      </c>
      <c r="D458" s="2" t="s">
        <v>2988</v>
      </c>
      <c r="E458" s="2" t="s">
        <v>2989</v>
      </c>
      <c r="F458" s="2" t="s">
        <v>3080</v>
      </c>
      <c r="G458" s="2" t="s">
        <v>3080</v>
      </c>
      <c r="H458" s="2" t="s">
        <v>3080</v>
      </c>
      <c r="I458" s="2" t="s">
        <v>3096</v>
      </c>
      <c r="J458" s="2" t="s">
        <v>3082</v>
      </c>
      <c r="K458" s="2" t="s">
        <v>3122</v>
      </c>
      <c r="L458" s="3">
        <v>20</v>
      </c>
      <c r="M458" s="3">
        <v>21</v>
      </c>
      <c r="N458" s="3">
        <v>41.99</v>
      </c>
      <c r="O458" s="2" t="s">
        <v>203</v>
      </c>
      <c r="P458" s="2" t="s">
        <v>492</v>
      </c>
      <c r="Q458" s="2" t="s">
        <v>205</v>
      </c>
      <c r="R458" s="2" t="s">
        <v>206</v>
      </c>
      <c r="S458" s="2" t="s">
        <v>206</v>
      </c>
      <c r="T458" s="2" t="s">
        <v>206</v>
      </c>
      <c r="U458" s="2" t="s">
        <v>437</v>
      </c>
      <c r="V458" s="2" t="s">
        <v>468</v>
      </c>
      <c r="W458" s="2" t="s">
        <v>206</v>
      </c>
      <c r="X458" s="2" t="s">
        <v>206</v>
      </c>
      <c r="Y458" s="2" t="s">
        <v>3098</v>
      </c>
      <c r="Z458" s="4">
        <v>99</v>
      </c>
      <c r="AA458" s="4">
        <f>=ROUNDDOWN(99,0)</f>
      </c>
      <c r="AB458" s="5">
        <v>1</v>
      </c>
      <c r="AC458" s="2" t="s">
        <v>206</v>
      </c>
      <c r="AD458" s="4"/>
      <c r="AE458" s="4"/>
      <c r="AF458" s="6"/>
      <c r="AG458" s="6">
        <v>73</v>
      </c>
      <c r="AH458" s="7">
        <v>1</v>
      </c>
      <c r="AI458" s="4"/>
      <c r="AJ458" s="4">
        <f>=ROUNDDOWN({0},0)</f>
      </c>
      <c r="AK458" s="5"/>
      <c r="AL458" s="2" t="s">
        <v>206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 t="s">
        <v>206</v>
      </c>
      <c r="AW458" s="8" t="s">
        <v>206</v>
      </c>
      <c r="AX458" s="4" t="s">
        <v>206</v>
      </c>
      <c r="AY458" s="8" t="s">
        <v>206</v>
      </c>
      <c r="AZ458" s="7" t="s">
        <v>206</v>
      </c>
      <c r="BA458" s="7" t="s">
        <v>206</v>
      </c>
      <c r="BB458" s="7"/>
      <c r="BC458" s="4" t="s">
        <v>206</v>
      </c>
      <c r="BD458" s="8" t="s">
        <v>206</v>
      </c>
      <c r="BE458" s="4" t="s">
        <v>206</v>
      </c>
      <c r="BF458" s="8" t="s">
        <v>206</v>
      </c>
      <c r="BG458" s="7" t="s">
        <v>206</v>
      </c>
      <c r="BH458" s="7" t="s">
        <v>206</v>
      </c>
      <c r="BI458" s="7"/>
      <c r="BJ458" s="4">
        <v>1</v>
      </c>
      <c r="BK458" s="8">
        <v>25.2</v>
      </c>
      <c r="BL458" s="2" t="s">
        <v>3024</v>
      </c>
      <c r="BM458" s="7"/>
      <c r="BN458" s="7"/>
      <c r="BO458" s="4"/>
      <c r="BP458" s="8"/>
      <c r="BQ458" s="4"/>
      <c r="BR458" s="8"/>
      <c r="BS458" s="7"/>
      <c r="BT458" s="7"/>
      <c r="BU458" s="2" t="s">
        <v>3123</v>
      </c>
      <c r="BV458" s="2" t="s">
        <v>206</v>
      </c>
      <c r="BW458" s="2" t="s">
        <v>206</v>
      </c>
      <c r="BX458" s="2" t="s">
        <v>214</v>
      </c>
      <c r="BY458" s="2" t="s">
        <v>215</v>
      </c>
      <c r="BZ458" s="2" t="s">
        <v>203</v>
      </c>
      <c r="CA458" s="2" t="s">
        <v>3033</v>
      </c>
      <c r="CB458" s="2" t="s">
        <v>206</v>
      </c>
      <c r="CC458" s="2" t="s">
        <v>218</v>
      </c>
      <c r="CD458" s="2" t="s">
        <v>206</v>
      </c>
      <c r="CE458" s="4"/>
      <c r="CF458" s="4"/>
      <c r="CG458" s="4"/>
      <c r="CH458" s="4">
        <v>99</v>
      </c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  <c r="FW458" s="4"/>
      <c r="FX458" s="4"/>
      <c r="FY458" s="4"/>
      <c r="FZ458" s="4"/>
      <c r="GA458" s="4"/>
      <c r="GB458" s="4"/>
      <c r="GC458" s="4"/>
      <c r="GD458" s="4"/>
      <c r="GE458" s="4"/>
      <c r="GF458" s="4"/>
    </row>
    <row r="459">
      <c r="A459" s="2" t="s">
        <v>3124</v>
      </c>
      <c r="B459" s="2" t="s">
        <v>2987</v>
      </c>
      <c r="C459" s="2" t="s">
        <v>462</v>
      </c>
      <c r="D459" s="2" t="s">
        <v>2988</v>
      </c>
      <c r="E459" s="2" t="s">
        <v>2989</v>
      </c>
      <c r="F459" s="2" t="s">
        <v>3080</v>
      </c>
      <c r="G459" s="2" t="s">
        <v>3080</v>
      </c>
      <c r="H459" s="2" t="s">
        <v>3080</v>
      </c>
      <c r="I459" s="2" t="s">
        <v>3096</v>
      </c>
      <c r="J459" s="2" t="s">
        <v>3088</v>
      </c>
      <c r="K459" s="2" t="s">
        <v>3122</v>
      </c>
      <c r="L459" s="3">
        <v>20</v>
      </c>
      <c r="M459" s="3">
        <v>21</v>
      </c>
      <c r="N459" s="3">
        <v>41.99</v>
      </c>
      <c r="O459" s="2" t="s">
        <v>203</v>
      </c>
      <c r="P459" s="2" t="s">
        <v>492</v>
      </c>
      <c r="Q459" s="2" t="s">
        <v>205</v>
      </c>
      <c r="R459" s="2" t="s">
        <v>206</v>
      </c>
      <c r="S459" s="2" t="s">
        <v>206</v>
      </c>
      <c r="T459" s="2" t="s">
        <v>206</v>
      </c>
      <c r="U459" s="2" t="s">
        <v>437</v>
      </c>
      <c r="V459" s="2" t="s">
        <v>468</v>
      </c>
      <c r="W459" s="2" t="s">
        <v>206</v>
      </c>
      <c r="X459" s="2" t="s">
        <v>206</v>
      </c>
      <c r="Y459" s="2" t="s">
        <v>3098</v>
      </c>
      <c r="Z459" s="4">
        <v>315</v>
      </c>
      <c r="AA459" s="4">
        <f>=ROUNDDOWN(63,0)</f>
      </c>
      <c r="AB459" s="5">
        <v>5</v>
      </c>
      <c r="AC459" s="2" t="s">
        <v>206</v>
      </c>
      <c r="AD459" s="4"/>
      <c r="AE459" s="4"/>
      <c r="AF459" s="6"/>
      <c r="AG459" s="6">
        <v>73</v>
      </c>
      <c r="AH459" s="7">
        <v>1</v>
      </c>
      <c r="AI459" s="4"/>
      <c r="AJ459" s="4">
        <f>=ROUNDDOWN({0},0)</f>
      </c>
      <c r="AK459" s="5"/>
      <c r="AL459" s="2" t="s">
        <v>206</v>
      </c>
      <c r="AM459" s="4"/>
      <c r="AN459" s="4"/>
      <c r="AO459" s="7"/>
      <c r="AP459" s="4"/>
      <c r="AQ459" s="8"/>
      <c r="AR459" s="4"/>
      <c r="AS459" s="8"/>
      <c r="AT459" s="7"/>
      <c r="AU459" s="7"/>
      <c r="AV459" s="4" t="s">
        <v>206</v>
      </c>
      <c r="AW459" s="8" t="s">
        <v>206</v>
      </c>
      <c r="AX459" s="4" t="s">
        <v>206</v>
      </c>
      <c r="AY459" s="8" t="s">
        <v>206</v>
      </c>
      <c r="AZ459" s="7" t="s">
        <v>206</v>
      </c>
      <c r="BA459" s="7" t="s">
        <v>206</v>
      </c>
      <c r="BB459" s="7"/>
      <c r="BC459" s="4" t="s">
        <v>206</v>
      </c>
      <c r="BD459" s="8" t="s">
        <v>206</v>
      </c>
      <c r="BE459" s="4" t="s">
        <v>206</v>
      </c>
      <c r="BF459" s="8" t="s">
        <v>206</v>
      </c>
      <c r="BG459" s="7" t="s">
        <v>206</v>
      </c>
      <c r="BH459" s="7" t="s">
        <v>206</v>
      </c>
      <c r="BI459" s="7"/>
      <c r="BJ459" s="4">
        <v>11</v>
      </c>
      <c r="BK459" s="8">
        <v>259.98</v>
      </c>
      <c r="BL459" s="2" t="s">
        <v>2999</v>
      </c>
      <c r="BM459" s="7"/>
      <c r="BN459" s="7"/>
      <c r="BO459" s="4"/>
      <c r="BP459" s="8"/>
      <c r="BQ459" s="4"/>
      <c r="BR459" s="8"/>
      <c r="BS459" s="7"/>
      <c r="BT459" s="7"/>
      <c r="BU459" s="2" t="s">
        <v>3125</v>
      </c>
      <c r="BV459" s="2" t="s">
        <v>206</v>
      </c>
      <c r="BW459" s="2" t="s">
        <v>206</v>
      </c>
      <c r="BX459" s="2" t="s">
        <v>214</v>
      </c>
      <c r="BY459" s="2" t="s">
        <v>215</v>
      </c>
      <c r="BZ459" s="2" t="s">
        <v>203</v>
      </c>
      <c r="CA459" s="2" t="s">
        <v>3033</v>
      </c>
      <c r="CB459" s="2" t="s">
        <v>3126</v>
      </c>
      <c r="CC459" s="2" t="s">
        <v>218</v>
      </c>
      <c r="CD459" s="2" t="s">
        <v>206</v>
      </c>
      <c r="CE459" s="4"/>
      <c r="CF459" s="4"/>
      <c r="CG459" s="4"/>
      <c r="CH459" s="4">
        <v>315</v>
      </c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  <c r="FW459" s="4"/>
      <c r="FX459" s="4"/>
      <c r="FY459" s="4"/>
      <c r="FZ459" s="4"/>
      <c r="GA459" s="4"/>
      <c r="GB459" s="4"/>
      <c r="GC459" s="4"/>
      <c r="GD459" s="4"/>
      <c r="GE459" s="4"/>
      <c r="GF459" s="4"/>
    </row>
    <row r="460">
      <c r="A460" s="2" t="s">
        <v>3127</v>
      </c>
      <c r="B460" s="2" t="s">
        <v>2987</v>
      </c>
      <c r="C460" s="2" t="s">
        <v>462</v>
      </c>
      <c r="D460" s="2" t="s">
        <v>2988</v>
      </c>
      <c r="E460" s="2" t="s">
        <v>2989</v>
      </c>
      <c r="F460" s="2" t="s">
        <v>3080</v>
      </c>
      <c r="G460" s="2" t="s">
        <v>3080</v>
      </c>
      <c r="H460" s="2" t="s">
        <v>3080</v>
      </c>
      <c r="I460" s="2" t="s">
        <v>3096</v>
      </c>
      <c r="J460" s="2" t="s">
        <v>3093</v>
      </c>
      <c r="K460" s="2" t="s">
        <v>3122</v>
      </c>
      <c r="L460" s="3">
        <v>20</v>
      </c>
      <c r="M460" s="3">
        <v>21</v>
      </c>
      <c r="N460" s="3">
        <v>41.99</v>
      </c>
      <c r="O460" s="2" t="s">
        <v>203</v>
      </c>
      <c r="P460" s="2" t="s">
        <v>492</v>
      </c>
      <c r="Q460" s="2" t="s">
        <v>205</v>
      </c>
      <c r="R460" s="2" t="s">
        <v>206</v>
      </c>
      <c r="S460" s="2" t="s">
        <v>206</v>
      </c>
      <c r="T460" s="2" t="s">
        <v>206</v>
      </c>
      <c r="U460" s="2" t="s">
        <v>437</v>
      </c>
      <c r="V460" s="2" t="s">
        <v>468</v>
      </c>
      <c r="W460" s="2" t="s">
        <v>206</v>
      </c>
      <c r="X460" s="2" t="s">
        <v>206</v>
      </c>
      <c r="Y460" s="2" t="s">
        <v>3098</v>
      </c>
      <c r="Z460" s="4">
        <v>281</v>
      </c>
      <c r="AA460" s="4">
        <f>=ROUNDDOWN(78.0555555555556,0)</f>
      </c>
      <c r="AB460" s="5">
        <v>3.6</v>
      </c>
      <c r="AC460" s="2" t="s">
        <v>206</v>
      </c>
      <c r="AD460" s="4"/>
      <c r="AE460" s="4"/>
      <c r="AF460" s="6"/>
      <c r="AG460" s="6">
        <v>73</v>
      </c>
      <c r="AH460" s="7">
        <v>1</v>
      </c>
      <c r="AI460" s="4"/>
      <c r="AJ460" s="4">
        <f>=ROUNDDOWN({0},0)</f>
      </c>
      <c r="AK460" s="5"/>
      <c r="AL460" s="2" t="s">
        <v>206</v>
      </c>
      <c r="AM460" s="4"/>
      <c r="AN460" s="4"/>
      <c r="AO460" s="7"/>
      <c r="AP460" s="4"/>
      <c r="AQ460" s="8"/>
      <c r="AR460" s="4"/>
      <c r="AS460" s="8"/>
      <c r="AT460" s="7"/>
      <c r="AU460" s="7"/>
      <c r="AV460" s="4" t="s">
        <v>206</v>
      </c>
      <c r="AW460" s="8" t="s">
        <v>206</v>
      </c>
      <c r="AX460" s="4" t="s">
        <v>206</v>
      </c>
      <c r="AY460" s="8" t="s">
        <v>206</v>
      </c>
      <c r="AZ460" s="7" t="s">
        <v>206</v>
      </c>
      <c r="BA460" s="7" t="s">
        <v>206</v>
      </c>
      <c r="BB460" s="7"/>
      <c r="BC460" s="4" t="s">
        <v>206</v>
      </c>
      <c r="BD460" s="8" t="s">
        <v>206</v>
      </c>
      <c r="BE460" s="4" t="s">
        <v>206</v>
      </c>
      <c r="BF460" s="8" t="s">
        <v>206</v>
      </c>
      <c r="BG460" s="7" t="s">
        <v>206</v>
      </c>
      <c r="BH460" s="7" t="s">
        <v>206</v>
      </c>
      <c r="BI460" s="7"/>
      <c r="BJ460" s="4">
        <v>18</v>
      </c>
      <c r="BK460" s="8">
        <v>447.72</v>
      </c>
      <c r="BL460" s="2" t="s">
        <v>2999</v>
      </c>
      <c r="BM460" s="7"/>
      <c r="BN460" s="7"/>
      <c r="BO460" s="4"/>
      <c r="BP460" s="8"/>
      <c r="BQ460" s="4"/>
      <c r="BR460" s="8"/>
      <c r="BS460" s="7"/>
      <c r="BT460" s="7"/>
      <c r="BU460" s="2" t="s">
        <v>3128</v>
      </c>
      <c r="BV460" s="2" t="s">
        <v>206</v>
      </c>
      <c r="BW460" s="2" t="s">
        <v>206</v>
      </c>
      <c r="BX460" s="2" t="s">
        <v>214</v>
      </c>
      <c r="BY460" s="2" t="s">
        <v>215</v>
      </c>
      <c r="BZ460" s="2" t="s">
        <v>203</v>
      </c>
      <c r="CA460" s="2" t="s">
        <v>3033</v>
      </c>
      <c r="CB460" s="2" t="s">
        <v>3129</v>
      </c>
      <c r="CC460" s="2" t="s">
        <v>218</v>
      </c>
      <c r="CD460" s="2" t="s">
        <v>206</v>
      </c>
      <c r="CE460" s="4"/>
      <c r="CF460" s="4"/>
      <c r="CG460" s="4"/>
      <c r="CH460" s="4">
        <v>281</v>
      </c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  <c r="FW460" s="4"/>
      <c r="FX460" s="4"/>
      <c r="FY460" s="4"/>
      <c r="FZ460" s="4"/>
      <c r="GA460" s="4"/>
      <c r="GB460" s="4"/>
      <c r="GC460" s="4"/>
      <c r="GD460" s="4"/>
      <c r="GE460" s="4"/>
      <c r="GF460" s="4"/>
    </row>
    <row r="461">
      <c r="A461" s="2" t="s">
        <v>3130</v>
      </c>
      <c r="B461" s="2" t="s">
        <v>2987</v>
      </c>
      <c r="C461" s="2" t="s">
        <v>462</v>
      </c>
      <c r="D461" s="2" t="s">
        <v>2988</v>
      </c>
      <c r="E461" s="2" t="s">
        <v>2989</v>
      </c>
      <c r="F461" s="2" t="s">
        <v>3080</v>
      </c>
      <c r="G461" s="2" t="s">
        <v>3080</v>
      </c>
      <c r="H461" s="2" t="s">
        <v>3080</v>
      </c>
      <c r="I461" s="2" t="s">
        <v>3096</v>
      </c>
      <c r="J461" s="2" t="s">
        <v>3082</v>
      </c>
      <c r="K461" s="2" t="s">
        <v>3131</v>
      </c>
      <c r="L461" s="3">
        <v>20</v>
      </c>
      <c r="M461" s="3">
        <v>21</v>
      </c>
      <c r="N461" s="3">
        <v>41.99</v>
      </c>
      <c r="O461" s="2" t="s">
        <v>203</v>
      </c>
      <c r="P461" s="2" t="s">
        <v>492</v>
      </c>
      <c r="Q461" s="2" t="s">
        <v>205</v>
      </c>
      <c r="R461" s="2" t="s">
        <v>206</v>
      </c>
      <c r="S461" s="2" t="s">
        <v>206</v>
      </c>
      <c r="T461" s="2" t="s">
        <v>206</v>
      </c>
      <c r="U461" s="2" t="s">
        <v>437</v>
      </c>
      <c r="V461" s="2" t="s">
        <v>468</v>
      </c>
      <c r="W461" s="2" t="s">
        <v>206</v>
      </c>
      <c r="X461" s="2" t="s">
        <v>206</v>
      </c>
      <c r="Y461" s="2" t="s">
        <v>3098</v>
      </c>
      <c r="Z461" s="4">
        <v>174</v>
      </c>
      <c r="AA461" s="4">
        <f>=ROUNDDOWN(174,0)</f>
      </c>
      <c r="AB461" s="5">
        <v>1</v>
      </c>
      <c r="AC461" s="2" t="s">
        <v>206</v>
      </c>
      <c r="AD461" s="4"/>
      <c r="AE461" s="4"/>
      <c r="AF461" s="6"/>
      <c r="AG461" s="6">
        <v>73</v>
      </c>
      <c r="AH461" s="7">
        <v>1</v>
      </c>
      <c r="AI461" s="4"/>
      <c r="AJ461" s="4">
        <f>=ROUNDDOWN({0},0)</f>
      </c>
      <c r="AK461" s="5"/>
      <c r="AL461" s="2" t="s">
        <v>206</v>
      </c>
      <c r="AM461" s="4"/>
      <c r="AN461" s="4"/>
      <c r="AO461" s="7"/>
      <c r="AP461" s="4"/>
      <c r="AQ461" s="8"/>
      <c r="AR461" s="4"/>
      <c r="AS461" s="8"/>
      <c r="AT461" s="7"/>
      <c r="AU461" s="7"/>
      <c r="AV461" s="4" t="s">
        <v>206</v>
      </c>
      <c r="AW461" s="8" t="s">
        <v>206</v>
      </c>
      <c r="AX461" s="4" t="s">
        <v>206</v>
      </c>
      <c r="AY461" s="8" t="s">
        <v>206</v>
      </c>
      <c r="AZ461" s="7" t="s">
        <v>206</v>
      </c>
      <c r="BA461" s="7" t="s">
        <v>206</v>
      </c>
      <c r="BB461" s="7"/>
      <c r="BC461" s="4" t="s">
        <v>206</v>
      </c>
      <c r="BD461" s="8" t="s">
        <v>206</v>
      </c>
      <c r="BE461" s="4" t="s">
        <v>206</v>
      </c>
      <c r="BF461" s="8" t="s">
        <v>206</v>
      </c>
      <c r="BG461" s="7" t="s">
        <v>206</v>
      </c>
      <c r="BH461" s="7" t="s">
        <v>206</v>
      </c>
      <c r="BI461" s="7"/>
      <c r="BJ461" s="4">
        <v>1</v>
      </c>
      <c r="BK461" s="8">
        <v>25.2</v>
      </c>
      <c r="BL461" s="2" t="s">
        <v>3024</v>
      </c>
      <c r="BM461" s="7"/>
      <c r="BN461" s="7"/>
      <c r="BO461" s="4"/>
      <c r="BP461" s="8"/>
      <c r="BQ461" s="4"/>
      <c r="BR461" s="8"/>
      <c r="BS461" s="7"/>
      <c r="BT461" s="7"/>
      <c r="BU461" s="2" t="s">
        <v>3132</v>
      </c>
      <c r="BV461" s="2" t="s">
        <v>206</v>
      </c>
      <c r="BW461" s="2" t="s">
        <v>206</v>
      </c>
      <c r="BX461" s="2" t="s">
        <v>214</v>
      </c>
      <c r="BY461" s="2" t="s">
        <v>215</v>
      </c>
      <c r="BZ461" s="2" t="s">
        <v>203</v>
      </c>
      <c r="CA461" s="2" t="s">
        <v>3033</v>
      </c>
      <c r="CB461" s="2" t="s">
        <v>3133</v>
      </c>
      <c r="CC461" s="2" t="s">
        <v>218</v>
      </c>
      <c r="CD461" s="2" t="s">
        <v>206</v>
      </c>
      <c r="CE461" s="4"/>
      <c r="CF461" s="4"/>
      <c r="CG461" s="4"/>
      <c r="CH461" s="4">
        <v>174</v>
      </c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  <c r="FS461" s="4"/>
      <c r="FT461" s="4"/>
      <c r="FU461" s="4"/>
      <c r="FV461" s="4"/>
      <c r="FW461" s="4"/>
      <c r="FX461" s="4"/>
      <c r="FY461" s="4"/>
      <c r="FZ461" s="4"/>
      <c r="GA461" s="4"/>
      <c r="GB461" s="4"/>
      <c r="GC461" s="4"/>
      <c r="GD461" s="4"/>
      <c r="GE461" s="4"/>
      <c r="GF461" s="4"/>
    </row>
    <row r="462">
      <c r="A462" s="2" t="s">
        <v>3134</v>
      </c>
      <c r="B462" s="2" t="s">
        <v>2987</v>
      </c>
      <c r="C462" s="2" t="s">
        <v>462</v>
      </c>
      <c r="D462" s="2" t="s">
        <v>2988</v>
      </c>
      <c r="E462" s="2" t="s">
        <v>2989</v>
      </c>
      <c r="F462" s="2" t="s">
        <v>3080</v>
      </c>
      <c r="G462" s="2" t="s">
        <v>3080</v>
      </c>
      <c r="H462" s="2" t="s">
        <v>3080</v>
      </c>
      <c r="I462" s="2" t="s">
        <v>3096</v>
      </c>
      <c r="J462" s="2" t="s">
        <v>3088</v>
      </c>
      <c r="K462" s="2" t="s">
        <v>3131</v>
      </c>
      <c r="L462" s="3">
        <v>20</v>
      </c>
      <c r="M462" s="3">
        <v>21</v>
      </c>
      <c r="N462" s="3">
        <v>41.99</v>
      </c>
      <c r="O462" s="2" t="s">
        <v>203</v>
      </c>
      <c r="P462" s="2" t="s">
        <v>492</v>
      </c>
      <c r="Q462" s="2" t="s">
        <v>205</v>
      </c>
      <c r="R462" s="2" t="s">
        <v>206</v>
      </c>
      <c r="S462" s="2" t="s">
        <v>206</v>
      </c>
      <c r="T462" s="2" t="s">
        <v>206</v>
      </c>
      <c r="U462" s="2" t="s">
        <v>437</v>
      </c>
      <c r="V462" s="2" t="s">
        <v>468</v>
      </c>
      <c r="W462" s="2" t="s">
        <v>206</v>
      </c>
      <c r="X462" s="2" t="s">
        <v>206</v>
      </c>
      <c r="Y462" s="2" t="s">
        <v>3098</v>
      </c>
      <c r="Z462" s="4">
        <v>248</v>
      </c>
      <c r="AA462" s="4">
        <f>=ROUNDDOWN(124,0)</f>
      </c>
      <c r="AB462" s="5">
        <v>2</v>
      </c>
      <c r="AC462" s="2" t="s">
        <v>206</v>
      </c>
      <c r="AD462" s="4"/>
      <c r="AE462" s="4"/>
      <c r="AF462" s="6"/>
      <c r="AG462" s="6">
        <v>73</v>
      </c>
      <c r="AH462" s="7">
        <v>1</v>
      </c>
      <c r="AI462" s="4"/>
      <c r="AJ462" s="4">
        <f>=ROUNDDOWN({0},0)</f>
      </c>
      <c r="AK462" s="5"/>
      <c r="AL462" s="2" t="s">
        <v>206</v>
      </c>
      <c r="AM462" s="4"/>
      <c r="AN462" s="4"/>
      <c r="AO462" s="7"/>
      <c r="AP462" s="4"/>
      <c r="AQ462" s="8"/>
      <c r="AR462" s="4"/>
      <c r="AS462" s="8"/>
      <c r="AT462" s="7"/>
      <c r="AU462" s="7"/>
      <c r="AV462" s="4" t="s">
        <v>206</v>
      </c>
      <c r="AW462" s="8" t="s">
        <v>206</v>
      </c>
      <c r="AX462" s="4" t="s">
        <v>206</v>
      </c>
      <c r="AY462" s="8" t="s">
        <v>206</v>
      </c>
      <c r="AZ462" s="7" t="s">
        <v>206</v>
      </c>
      <c r="BA462" s="7" t="s">
        <v>206</v>
      </c>
      <c r="BB462" s="7"/>
      <c r="BC462" s="4" t="s">
        <v>206</v>
      </c>
      <c r="BD462" s="8" t="s">
        <v>206</v>
      </c>
      <c r="BE462" s="4" t="s">
        <v>206</v>
      </c>
      <c r="BF462" s="8" t="s">
        <v>206</v>
      </c>
      <c r="BG462" s="7" t="s">
        <v>206</v>
      </c>
      <c r="BH462" s="7" t="s">
        <v>206</v>
      </c>
      <c r="BI462" s="7"/>
      <c r="BJ462" s="4">
        <v>9</v>
      </c>
      <c r="BK462" s="8">
        <v>218.19</v>
      </c>
      <c r="BL462" s="2" t="s">
        <v>3135</v>
      </c>
      <c r="BM462" s="7"/>
      <c r="BN462" s="7"/>
      <c r="BO462" s="4"/>
      <c r="BP462" s="8"/>
      <c r="BQ462" s="4"/>
      <c r="BR462" s="8"/>
      <c r="BS462" s="7"/>
      <c r="BT462" s="7"/>
      <c r="BU462" s="2" t="s">
        <v>3136</v>
      </c>
      <c r="BV462" s="2" t="s">
        <v>206</v>
      </c>
      <c r="BW462" s="2" t="s">
        <v>206</v>
      </c>
      <c r="BX462" s="2" t="s">
        <v>214</v>
      </c>
      <c r="BY462" s="2" t="s">
        <v>215</v>
      </c>
      <c r="BZ462" s="2" t="s">
        <v>203</v>
      </c>
      <c r="CA462" s="2" t="s">
        <v>3033</v>
      </c>
      <c r="CB462" s="2" t="s">
        <v>2253</v>
      </c>
      <c r="CC462" s="2" t="s">
        <v>218</v>
      </c>
      <c r="CD462" s="2" t="s">
        <v>206</v>
      </c>
      <c r="CE462" s="4"/>
      <c r="CF462" s="4"/>
      <c r="CG462" s="4"/>
      <c r="CH462" s="4">
        <v>248</v>
      </c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  <c r="FU462" s="4"/>
      <c r="FV462" s="4"/>
      <c r="FW462" s="4"/>
      <c r="FX462" s="4"/>
      <c r="FY462" s="4"/>
      <c r="FZ462" s="4"/>
      <c r="GA462" s="4"/>
      <c r="GB462" s="4"/>
      <c r="GC462" s="4"/>
      <c r="GD462" s="4"/>
      <c r="GE462" s="4"/>
      <c r="GF462" s="4"/>
    </row>
    <row r="463">
      <c r="A463" s="2" t="s">
        <v>3137</v>
      </c>
      <c r="B463" s="2" t="s">
        <v>2987</v>
      </c>
      <c r="C463" s="2" t="s">
        <v>462</v>
      </c>
      <c r="D463" s="2" t="s">
        <v>2988</v>
      </c>
      <c r="E463" s="2" t="s">
        <v>2989</v>
      </c>
      <c r="F463" s="2" t="s">
        <v>3080</v>
      </c>
      <c r="G463" s="2" t="s">
        <v>3080</v>
      </c>
      <c r="H463" s="2" t="s">
        <v>3080</v>
      </c>
      <c r="I463" s="2" t="s">
        <v>3096</v>
      </c>
      <c r="J463" s="2" t="s">
        <v>3093</v>
      </c>
      <c r="K463" s="2" t="s">
        <v>3131</v>
      </c>
      <c r="L463" s="3">
        <v>20</v>
      </c>
      <c r="M463" s="3">
        <v>21</v>
      </c>
      <c r="N463" s="3">
        <v>41.99</v>
      </c>
      <c r="O463" s="2" t="s">
        <v>203</v>
      </c>
      <c r="P463" s="2" t="s">
        <v>492</v>
      </c>
      <c r="Q463" s="2" t="s">
        <v>205</v>
      </c>
      <c r="R463" s="2" t="s">
        <v>206</v>
      </c>
      <c r="S463" s="2" t="s">
        <v>206</v>
      </c>
      <c r="T463" s="2" t="s">
        <v>206</v>
      </c>
      <c r="U463" s="2" t="s">
        <v>437</v>
      </c>
      <c r="V463" s="2" t="s">
        <v>468</v>
      </c>
      <c r="W463" s="2" t="s">
        <v>206</v>
      </c>
      <c r="X463" s="2" t="s">
        <v>206</v>
      </c>
      <c r="Y463" s="2" t="s">
        <v>3098</v>
      </c>
      <c r="Z463" s="4">
        <v>105</v>
      </c>
      <c r="AA463" s="4">
        <f>=ROUNDDOWN(35,0)</f>
      </c>
      <c r="AB463" s="5">
        <v>3</v>
      </c>
      <c r="AC463" s="2" t="s">
        <v>206</v>
      </c>
      <c r="AD463" s="4"/>
      <c r="AE463" s="4"/>
      <c r="AF463" s="6"/>
      <c r="AG463" s="6">
        <v>73</v>
      </c>
      <c r="AH463" s="7">
        <v>1</v>
      </c>
      <c r="AI463" s="4"/>
      <c r="AJ463" s="4">
        <f>=ROUNDDOWN({0},0)</f>
      </c>
      <c r="AK463" s="5"/>
      <c r="AL463" s="2" t="s">
        <v>206</v>
      </c>
      <c r="AM463" s="4"/>
      <c r="AN463" s="4"/>
      <c r="AO463" s="7"/>
      <c r="AP463" s="4"/>
      <c r="AQ463" s="8"/>
      <c r="AR463" s="4"/>
      <c r="AS463" s="8"/>
      <c r="AT463" s="7"/>
      <c r="AU463" s="7"/>
      <c r="AV463" s="4" t="s">
        <v>206</v>
      </c>
      <c r="AW463" s="8" t="s">
        <v>206</v>
      </c>
      <c r="AX463" s="4" t="s">
        <v>206</v>
      </c>
      <c r="AY463" s="8" t="s">
        <v>206</v>
      </c>
      <c r="AZ463" s="7" t="s">
        <v>206</v>
      </c>
      <c r="BA463" s="7" t="s">
        <v>206</v>
      </c>
      <c r="BB463" s="7"/>
      <c r="BC463" s="4" t="s">
        <v>206</v>
      </c>
      <c r="BD463" s="8" t="s">
        <v>206</v>
      </c>
      <c r="BE463" s="4" t="s">
        <v>206</v>
      </c>
      <c r="BF463" s="8" t="s">
        <v>206</v>
      </c>
      <c r="BG463" s="7" t="s">
        <v>206</v>
      </c>
      <c r="BH463" s="7" t="s">
        <v>206</v>
      </c>
      <c r="BI463" s="7"/>
      <c r="BJ463" s="4">
        <v>13</v>
      </c>
      <c r="BK463" s="8">
        <v>326.55</v>
      </c>
      <c r="BL463" s="2" t="s">
        <v>2993</v>
      </c>
      <c r="BM463" s="7"/>
      <c r="BN463" s="7"/>
      <c r="BO463" s="4"/>
      <c r="BP463" s="8"/>
      <c r="BQ463" s="4"/>
      <c r="BR463" s="8"/>
      <c r="BS463" s="7"/>
      <c r="BT463" s="7"/>
      <c r="BU463" s="2" t="s">
        <v>3138</v>
      </c>
      <c r="BV463" s="2" t="s">
        <v>206</v>
      </c>
      <c r="BW463" s="2" t="s">
        <v>206</v>
      </c>
      <c r="BX463" s="2" t="s">
        <v>214</v>
      </c>
      <c r="BY463" s="2" t="s">
        <v>215</v>
      </c>
      <c r="BZ463" s="2" t="s">
        <v>203</v>
      </c>
      <c r="CA463" s="2" t="s">
        <v>3033</v>
      </c>
      <c r="CB463" s="2" t="s">
        <v>3139</v>
      </c>
      <c r="CC463" s="2" t="s">
        <v>218</v>
      </c>
      <c r="CD463" s="2" t="s">
        <v>206</v>
      </c>
      <c r="CE463" s="4"/>
      <c r="CF463" s="4"/>
      <c r="CG463" s="4"/>
      <c r="CH463" s="4">
        <v>105</v>
      </c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  <c r="FT463" s="4"/>
      <c r="FU463" s="4"/>
      <c r="FV463" s="4"/>
      <c r="FW463" s="4"/>
      <c r="FX463" s="4"/>
      <c r="FY463" s="4"/>
      <c r="FZ463" s="4"/>
      <c r="GA463" s="4"/>
      <c r="GB463" s="4"/>
      <c r="GC463" s="4"/>
      <c r="GD463" s="4"/>
      <c r="GE463" s="4"/>
      <c r="GF463" s="4"/>
    </row>
    <row r="464">
      <c r="A464" s="2" t="s">
        <v>3140</v>
      </c>
      <c r="B464" s="2" t="s">
        <v>613</v>
      </c>
      <c r="C464" s="2" t="s">
        <v>287</v>
      </c>
      <c r="D464" s="2" t="s">
        <v>628</v>
      </c>
      <c r="E464" s="2" t="s">
        <v>929</v>
      </c>
      <c r="F464" s="2" t="s">
        <v>3141</v>
      </c>
      <c r="G464" s="2" t="s">
        <v>3142</v>
      </c>
      <c r="H464" s="2" t="s">
        <v>3143</v>
      </c>
      <c r="I464" s="2" t="s">
        <v>3144</v>
      </c>
      <c r="J464" s="2" t="s">
        <v>631</v>
      </c>
      <c r="K464" s="2" t="s">
        <v>336</v>
      </c>
      <c r="L464" s="3">
        <v>14.1</v>
      </c>
      <c r="M464" s="3">
        <v>14.8</v>
      </c>
      <c r="N464" s="3">
        <v>29.99</v>
      </c>
      <c r="O464" s="2" t="s">
        <v>203</v>
      </c>
      <c r="P464" s="2" t="s">
        <v>204</v>
      </c>
      <c r="Q464" s="2" t="s">
        <v>205</v>
      </c>
      <c r="R464" s="2" t="s">
        <v>206</v>
      </c>
      <c r="S464" s="2" t="s">
        <v>3145</v>
      </c>
      <c r="T464" s="2" t="s">
        <v>206</v>
      </c>
      <c r="U464" s="2" t="s">
        <v>206</v>
      </c>
      <c r="V464" s="2" t="s">
        <v>809</v>
      </c>
      <c r="W464" s="2" t="s">
        <v>539</v>
      </c>
      <c r="X464" s="2" t="s">
        <v>929</v>
      </c>
      <c r="Y464" s="2" t="s">
        <v>211</v>
      </c>
      <c r="Z464" s="4">
        <v>265</v>
      </c>
      <c r="AA464" s="4">
        <f>=ROUNDDOWN(37.8571428571429,0)</f>
      </c>
      <c r="AB464" s="5">
        <v>7</v>
      </c>
      <c r="AC464" s="2" t="s">
        <v>206</v>
      </c>
      <c r="AD464" s="4"/>
      <c r="AE464" s="4"/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206</v>
      </c>
      <c r="AM464" s="4"/>
      <c r="AN464" s="4"/>
      <c r="AO464" s="7"/>
      <c r="AP464" s="4"/>
      <c r="AQ464" s="8"/>
      <c r="AR464" s="4"/>
      <c r="AS464" s="8"/>
      <c r="AT464" s="7"/>
      <c r="AU464" s="7"/>
      <c r="AV464" s="4" t="s">
        <v>206</v>
      </c>
      <c r="AW464" s="8" t="s">
        <v>206</v>
      </c>
      <c r="AX464" s="4" t="s">
        <v>206</v>
      </c>
      <c r="AY464" s="8" t="s">
        <v>206</v>
      </c>
      <c r="AZ464" s="7" t="s">
        <v>206</v>
      </c>
      <c r="BA464" s="7" t="s">
        <v>206</v>
      </c>
      <c r="BB464" s="7"/>
      <c r="BC464" s="4" t="s">
        <v>206</v>
      </c>
      <c r="BD464" s="8" t="s">
        <v>206</v>
      </c>
      <c r="BE464" s="4" t="s">
        <v>206</v>
      </c>
      <c r="BF464" s="8" t="s">
        <v>206</v>
      </c>
      <c r="BG464" s="7" t="s">
        <v>206</v>
      </c>
      <c r="BH464" s="7" t="s">
        <v>206</v>
      </c>
      <c r="BI464" s="7"/>
      <c r="BJ464" s="4">
        <v>20</v>
      </c>
      <c r="BK464" s="8">
        <v>259.91</v>
      </c>
      <c r="BL464" s="2" t="s">
        <v>3146</v>
      </c>
      <c r="BM464" s="7"/>
      <c r="BN464" s="7"/>
      <c r="BO464" s="4"/>
      <c r="BP464" s="8"/>
      <c r="BQ464" s="4"/>
      <c r="BR464" s="8"/>
      <c r="BS464" s="7"/>
      <c r="BT464" s="7"/>
      <c r="BU464" s="2" t="s">
        <v>3147</v>
      </c>
      <c r="BV464" s="2" t="s">
        <v>206</v>
      </c>
      <c r="BW464" s="2" t="s">
        <v>206</v>
      </c>
      <c r="BX464" s="2" t="s">
        <v>214</v>
      </c>
      <c r="BY464" s="2" t="s">
        <v>215</v>
      </c>
      <c r="BZ464" s="2" t="s">
        <v>203</v>
      </c>
      <c r="CA464" s="2" t="s">
        <v>216</v>
      </c>
      <c r="CB464" s="2" t="s">
        <v>382</v>
      </c>
      <c r="CC464" s="2" t="s">
        <v>218</v>
      </c>
      <c r="CD464" s="2" t="s">
        <v>206</v>
      </c>
      <c r="CE464" s="4">
        <v>265</v>
      </c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  <c r="FU464" s="4"/>
      <c r="FV464" s="4"/>
      <c r="FW464" s="4"/>
      <c r="FX464" s="4"/>
      <c r="FY464" s="4"/>
      <c r="FZ464" s="4"/>
      <c r="GA464" s="4"/>
      <c r="GB464" s="4"/>
      <c r="GC464" s="4"/>
      <c r="GD464" s="4"/>
      <c r="GE464" s="4"/>
      <c r="GF464" s="4"/>
    </row>
    <row r="465">
      <c r="A465" s="2" t="s">
        <v>3148</v>
      </c>
      <c r="B465" s="2" t="s">
        <v>613</v>
      </c>
      <c r="C465" s="2" t="s">
        <v>287</v>
      </c>
      <c r="D465" s="2" t="s">
        <v>628</v>
      </c>
      <c r="E465" s="2" t="s">
        <v>3149</v>
      </c>
      <c r="F465" s="2" t="s">
        <v>3141</v>
      </c>
      <c r="G465" s="2" t="s">
        <v>3142</v>
      </c>
      <c r="H465" s="2" t="s">
        <v>3143</v>
      </c>
      <c r="I465" s="2" t="s">
        <v>3150</v>
      </c>
      <c r="J465" s="2" t="s">
        <v>3151</v>
      </c>
      <c r="K465" s="2" t="s">
        <v>336</v>
      </c>
      <c r="L465" s="3">
        <v>16.1</v>
      </c>
      <c r="M465" s="3">
        <v>16.9</v>
      </c>
      <c r="N465" s="3">
        <v>34.99</v>
      </c>
      <c r="O465" s="2" t="s">
        <v>203</v>
      </c>
      <c r="P465" s="2" t="s">
        <v>204</v>
      </c>
      <c r="Q465" s="2" t="s">
        <v>205</v>
      </c>
      <c r="R465" s="2" t="s">
        <v>206</v>
      </c>
      <c r="S465" s="2" t="s">
        <v>3145</v>
      </c>
      <c r="T465" s="2" t="s">
        <v>206</v>
      </c>
      <c r="U465" s="2" t="s">
        <v>206</v>
      </c>
      <c r="V465" s="2" t="s">
        <v>809</v>
      </c>
      <c r="W465" s="2" t="s">
        <v>539</v>
      </c>
      <c r="X465" s="2" t="s">
        <v>206</v>
      </c>
      <c r="Y465" s="2" t="s">
        <v>3152</v>
      </c>
      <c r="Z465" s="4">
        <v>125</v>
      </c>
      <c r="AA465" s="4">
        <f>=ROUNDDOWN(25,0)</f>
      </c>
      <c r="AB465" s="5">
        <v>5</v>
      </c>
      <c r="AC465" s="2" t="s">
        <v>108</v>
      </c>
      <c r="AD465" s="4">
        <v>60</v>
      </c>
      <c r="AE465" s="4">
        <v>60</v>
      </c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206</v>
      </c>
      <c r="AM465" s="4"/>
      <c r="AN465" s="4"/>
      <c r="AO465" s="7"/>
      <c r="AP465" s="4"/>
      <c r="AQ465" s="8"/>
      <c r="AR465" s="4"/>
      <c r="AS465" s="8"/>
      <c r="AT465" s="7"/>
      <c r="AU465" s="7"/>
      <c r="AV465" s="4" t="s">
        <v>206</v>
      </c>
      <c r="AW465" s="8" t="s">
        <v>206</v>
      </c>
      <c r="AX465" s="4" t="s">
        <v>206</v>
      </c>
      <c r="AY465" s="8" t="s">
        <v>206</v>
      </c>
      <c r="AZ465" s="7" t="s">
        <v>206</v>
      </c>
      <c r="BA465" s="7" t="s">
        <v>206</v>
      </c>
      <c r="BB465" s="7"/>
      <c r="BC465" s="4" t="s">
        <v>206</v>
      </c>
      <c r="BD465" s="8" t="s">
        <v>206</v>
      </c>
      <c r="BE465" s="4" t="s">
        <v>206</v>
      </c>
      <c r="BF465" s="8" t="s">
        <v>206</v>
      </c>
      <c r="BG465" s="7" t="s">
        <v>206</v>
      </c>
      <c r="BH465" s="7" t="s">
        <v>206</v>
      </c>
      <c r="BI465" s="7"/>
      <c r="BJ465" s="4">
        <v>3</v>
      </c>
      <c r="BK465" s="8">
        <v>50.41</v>
      </c>
      <c r="BL465" s="2" t="s">
        <v>3153</v>
      </c>
      <c r="BM465" s="7"/>
      <c r="BN465" s="7"/>
      <c r="BO465" s="4"/>
      <c r="BP465" s="8"/>
      <c r="BQ465" s="4"/>
      <c r="BR465" s="8"/>
      <c r="BS465" s="7"/>
      <c r="BT465" s="7"/>
      <c r="BU465" s="2" t="s">
        <v>3154</v>
      </c>
      <c r="BV465" s="2" t="s">
        <v>206</v>
      </c>
      <c r="BW465" s="2" t="s">
        <v>206</v>
      </c>
      <c r="BX465" s="2" t="s">
        <v>214</v>
      </c>
      <c r="BY465" s="2" t="s">
        <v>215</v>
      </c>
      <c r="BZ465" s="2" t="s">
        <v>203</v>
      </c>
      <c r="CA465" s="2" t="s">
        <v>2479</v>
      </c>
      <c r="CB465" s="2" t="s">
        <v>3155</v>
      </c>
      <c r="CC465" s="2" t="s">
        <v>218</v>
      </c>
      <c r="CD465" s="2" t="s">
        <v>206</v>
      </c>
      <c r="CE465" s="4">
        <v>125</v>
      </c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>
        <v>60</v>
      </c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  <c r="FU465" s="4"/>
      <c r="FV465" s="4"/>
      <c r="FW465" s="4"/>
      <c r="FX465" s="4"/>
      <c r="FY465" s="4"/>
      <c r="FZ465" s="4"/>
      <c r="GA465" s="4"/>
      <c r="GB465" s="4"/>
      <c r="GC465" s="4"/>
      <c r="GD465" s="4"/>
      <c r="GE465" s="4"/>
      <c r="GF465" s="4"/>
    </row>
    <row r="466">
      <c r="A466" s="2" t="s">
        <v>3156</v>
      </c>
      <c r="B466" s="2" t="s">
        <v>613</v>
      </c>
      <c r="C466" s="2" t="s">
        <v>287</v>
      </c>
      <c r="D466" s="2" t="s">
        <v>614</v>
      </c>
      <c r="E466" s="2" t="s">
        <v>615</v>
      </c>
      <c r="F466" s="2" t="s">
        <v>3141</v>
      </c>
      <c r="G466" s="2" t="s">
        <v>3142</v>
      </c>
      <c r="H466" s="2" t="s">
        <v>3143</v>
      </c>
      <c r="I466" s="2" t="s">
        <v>3157</v>
      </c>
      <c r="J466" s="2" t="s">
        <v>3158</v>
      </c>
      <c r="K466" s="2" t="s">
        <v>336</v>
      </c>
      <c r="L466" s="3">
        <v>12.42</v>
      </c>
      <c r="M466" s="3">
        <v>13.04</v>
      </c>
      <c r="N466" s="3">
        <v>26.99</v>
      </c>
      <c r="O466" s="2" t="s">
        <v>203</v>
      </c>
      <c r="P466" s="2" t="s">
        <v>204</v>
      </c>
      <c r="Q466" s="2" t="s">
        <v>205</v>
      </c>
      <c r="R466" s="2" t="s">
        <v>206</v>
      </c>
      <c r="S466" s="2" t="s">
        <v>3145</v>
      </c>
      <c r="T466" s="2" t="s">
        <v>206</v>
      </c>
      <c r="U466" s="2" t="s">
        <v>206</v>
      </c>
      <c r="V466" s="2" t="s">
        <v>809</v>
      </c>
      <c r="W466" s="2" t="s">
        <v>539</v>
      </c>
      <c r="X466" s="2" t="s">
        <v>206</v>
      </c>
      <c r="Y466" s="2" t="s">
        <v>3152</v>
      </c>
      <c r="Z466" s="4">
        <v>28</v>
      </c>
      <c r="AA466" s="4">
        <f>=ROUNDDOWN(1.86666666666667,0)</f>
      </c>
      <c r="AB466" s="5">
        <v>15</v>
      </c>
      <c r="AC466" s="2" t="s">
        <v>108</v>
      </c>
      <c r="AD466" s="4">
        <v>440</v>
      </c>
      <c r="AE466" s="4">
        <v>440</v>
      </c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206</v>
      </c>
      <c r="AM466" s="4"/>
      <c r="AN466" s="4"/>
      <c r="AO466" s="7"/>
      <c r="AP466" s="4"/>
      <c r="AQ466" s="8"/>
      <c r="AR466" s="4"/>
      <c r="AS466" s="8"/>
      <c r="AT466" s="7"/>
      <c r="AU466" s="7"/>
      <c r="AV466" s="4" t="s">
        <v>206</v>
      </c>
      <c r="AW466" s="8" t="s">
        <v>206</v>
      </c>
      <c r="AX466" s="4" t="s">
        <v>206</v>
      </c>
      <c r="AY466" s="8" t="s">
        <v>206</v>
      </c>
      <c r="AZ466" s="7" t="s">
        <v>206</v>
      </c>
      <c r="BA466" s="7" t="s">
        <v>206</v>
      </c>
      <c r="BB466" s="7"/>
      <c r="BC466" s="4" t="s">
        <v>206</v>
      </c>
      <c r="BD466" s="8" t="s">
        <v>206</v>
      </c>
      <c r="BE466" s="4" t="s">
        <v>206</v>
      </c>
      <c r="BF466" s="8" t="s">
        <v>206</v>
      </c>
      <c r="BG466" s="7" t="s">
        <v>206</v>
      </c>
      <c r="BH466" s="7" t="s">
        <v>206</v>
      </c>
      <c r="BI466" s="7"/>
      <c r="BJ466" s="4">
        <v>78</v>
      </c>
      <c r="BK466" s="8">
        <v>1049.8</v>
      </c>
      <c r="BL466" s="2" t="s">
        <v>1917</v>
      </c>
      <c r="BM466" s="7"/>
      <c r="BN466" s="7"/>
      <c r="BO466" s="4"/>
      <c r="BP466" s="8"/>
      <c r="BQ466" s="4"/>
      <c r="BR466" s="8"/>
      <c r="BS466" s="7"/>
      <c r="BT466" s="7"/>
      <c r="BU466" s="2" t="s">
        <v>3159</v>
      </c>
      <c r="BV466" s="2" t="s">
        <v>206</v>
      </c>
      <c r="BW466" s="2" t="s">
        <v>206</v>
      </c>
      <c r="BX466" s="2" t="s">
        <v>214</v>
      </c>
      <c r="BY466" s="2" t="s">
        <v>215</v>
      </c>
      <c r="BZ466" s="2" t="s">
        <v>203</v>
      </c>
      <c r="CA466" s="2" t="s">
        <v>2479</v>
      </c>
      <c r="CB466" s="2" t="s">
        <v>866</v>
      </c>
      <c r="CC466" s="2" t="s">
        <v>218</v>
      </c>
      <c r="CD466" s="2" t="s">
        <v>206</v>
      </c>
      <c r="CE466" s="4">
        <v>28</v>
      </c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>
        <v>440</v>
      </c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  <c r="FS466" s="4"/>
      <c r="FT466" s="4"/>
      <c r="FU466" s="4"/>
      <c r="FV466" s="4"/>
      <c r="FW466" s="4"/>
      <c r="FX466" s="4"/>
      <c r="FY466" s="4"/>
      <c r="FZ466" s="4"/>
      <c r="GA466" s="4"/>
      <c r="GB466" s="4"/>
      <c r="GC466" s="4"/>
      <c r="GD466" s="4"/>
      <c r="GE466" s="4"/>
      <c r="GF466" s="4"/>
    </row>
    <row r="467">
      <c r="A467" s="2" t="s">
        <v>3160</v>
      </c>
      <c r="B467" s="2" t="s">
        <v>613</v>
      </c>
      <c r="C467" s="2" t="s">
        <v>287</v>
      </c>
      <c r="D467" s="2" t="s">
        <v>628</v>
      </c>
      <c r="E467" s="2" t="s">
        <v>929</v>
      </c>
      <c r="F467" s="2" t="s">
        <v>3141</v>
      </c>
      <c r="G467" s="2" t="s">
        <v>3142</v>
      </c>
      <c r="H467" s="2" t="s">
        <v>3143</v>
      </c>
      <c r="I467" s="2" t="s">
        <v>3144</v>
      </c>
      <c r="J467" s="2" t="s">
        <v>731</v>
      </c>
      <c r="K467" s="2" t="s">
        <v>353</v>
      </c>
      <c r="L467" s="3">
        <v>16.45</v>
      </c>
      <c r="M467" s="3">
        <v>17.27</v>
      </c>
      <c r="N467" s="3">
        <v>34.99</v>
      </c>
      <c r="O467" s="2" t="s">
        <v>203</v>
      </c>
      <c r="P467" s="2" t="s">
        <v>204</v>
      </c>
      <c r="Q467" s="2" t="s">
        <v>205</v>
      </c>
      <c r="R467" s="2" t="s">
        <v>206</v>
      </c>
      <c r="S467" s="2" t="s">
        <v>3161</v>
      </c>
      <c r="T467" s="2" t="s">
        <v>206</v>
      </c>
      <c r="U467" s="2" t="s">
        <v>206</v>
      </c>
      <c r="V467" s="2" t="s">
        <v>809</v>
      </c>
      <c r="W467" s="2" t="s">
        <v>539</v>
      </c>
      <c r="X467" s="2" t="s">
        <v>929</v>
      </c>
      <c r="Y467" s="2" t="s">
        <v>211</v>
      </c>
      <c r="Z467" s="4">
        <v>159</v>
      </c>
      <c r="AA467" s="4">
        <f>=ROUNDDOWN(31.8,0)</f>
      </c>
      <c r="AB467" s="5">
        <v>5</v>
      </c>
      <c r="AC467" s="2" t="s">
        <v>206</v>
      </c>
      <c r="AD467" s="4"/>
      <c r="AE467" s="4"/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206</v>
      </c>
      <c r="AM467" s="4"/>
      <c r="AN467" s="4"/>
      <c r="AO467" s="7"/>
      <c r="AP467" s="4"/>
      <c r="AQ467" s="8"/>
      <c r="AR467" s="4"/>
      <c r="AS467" s="8"/>
      <c r="AT467" s="7"/>
      <c r="AU467" s="7"/>
      <c r="AV467" s="4" t="s">
        <v>206</v>
      </c>
      <c r="AW467" s="8" t="s">
        <v>206</v>
      </c>
      <c r="AX467" s="4" t="s">
        <v>206</v>
      </c>
      <c r="AY467" s="8" t="s">
        <v>206</v>
      </c>
      <c r="AZ467" s="7" t="s">
        <v>206</v>
      </c>
      <c r="BA467" s="7" t="s">
        <v>206</v>
      </c>
      <c r="BB467" s="7"/>
      <c r="BC467" s="4" t="s">
        <v>206</v>
      </c>
      <c r="BD467" s="8" t="s">
        <v>206</v>
      </c>
      <c r="BE467" s="4" t="s">
        <v>206</v>
      </c>
      <c r="BF467" s="8" t="s">
        <v>206</v>
      </c>
      <c r="BG467" s="7" t="s">
        <v>206</v>
      </c>
      <c r="BH467" s="7" t="s">
        <v>206</v>
      </c>
      <c r="BI467" s="7"/>
      <c r="BJ467" s="4">
        <v>4</v>
      </c>
      <c r="BK467" s="8">
        <v>60.92</v>
      </c>
      <c r="BL467" s="2" t="s">
        <v>3162</v>
      </c>
      <c r="BM467" s="7"/>
      <c r="BN467" s="7"/>
      <c r="BO467" s="4"/>
      <c r="BP467" s="8"/>
      <c r="BQ467" s="4"/>
      <c r="BR467" s="8"/>
      <c r="BS467" s="7"/>
      <c r="BT467" s="7"/>
      <c r="BU467" s="2" t="s">
        <v>3163</v>
      </c>
      <c r="BV467" s="2" t="s">
        <v>206</v>
      </c>
      <c r="BW467" s="2" t="s">
        <v>206</v>
      </c>
      <c r="BX467" s="2" t="s">
        <v>214</v>
      </c>
      <c r="BY467" s="2" t="s">
        <v>215</v>
      </c>
      <c r="BZ467" s="2" t="s">
        <v>203</v>
      </c>
      <c r="CA467" s="2" t="s">
        <v>216</v>
      </c>
      <c r="CB467" s="2" t="s">
        <v>3164</v>
      </c>
      <c r="CC467" s="2" t="s">
        <v>218</v>
      </c>
      <c r="CD467" s="2" t="s">
        <v>206</v>
      </c>
      <c r="CE467" s="4">
        <v>159</v>
      </c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  <c r="FS467" s="4"/>
      <c r="FT467" s="4"/>
      <c r="FU467" s="4"/>
      <c r="FV467" s="4"/>
      <c r="FW467" s="4"/>
      <c r="FX467" s="4"/>
      <c r="FY467" s="4"/>
      <c r="FZ467" s="4"/>
      <c r="GA467" s="4"/>
      <c r="GB467" s="4"/>
      <c r="GC467" s="4"/>
      <c r="GD467" s="4"/>
      <c r="GE467" s="4"/>
      <c r="GF467" s="4"/>
    </row>
    <row r="468">
      <c r="A468" s="2" t="s">
        <v>3165</v>
      </c>
      <c r="B468" s="2" t="s">
        <v>613</v>
      </c>
      <c r="C468" s="2" t="s">
        <v>287</v>
      </c>
      <c r="D468" s="2" t="s">
        <v>628</v>
      </c>
      <c r="E468" s="2" t="s">
        <v>3149</v>
      </c>
      <c r="F468" s="2" t="s">
        <v>3141</v>
      </c>
      <c r="G468" s="2" t="s">
        <v>3142</v>
      </c>
      <c r="H468" s="2" t="s">
        <v>3143</v>
      </c>
      <c r="I468" s="2" t="s">
        <v>3150</v>
      </c>
      <c r="J468" s="2" t="s">
        <v>3151</v>
      </c>
      <c r="K468" s="2" t="s">
        <v>353</v>
      </c>
      <c r="L468" s="3">
        <v>16.1</v>
      </c>
      <c r="M468" s="3">
        <v>16.9</v>
      </c>
      <c r="N468" s="3">
        <v>34.99</v>
      </c>
      <c r="O468" s="2" t="s">
        <v>203</v>
      </c>
      <c r="P468" s="2" t="s">
        <v>204</v>
      </c>
      <c r="Q468" s="2" t="s">
        <v>205</v>
      </c>
      <c r="R468" s="2" t="s">
        <v>206</v>
      </c>
      <c r="S468" s="2" t="s">
        <v>3161</v>
      </c>
      <c r="T468" s="2" t="s">
        <v>206</v>
      </c>
      <c r="U468" s="2" t="s">
        <v>206</v>
      </c>
      <c r="V468" s="2" t="s">
        <v>809</v>
      </c>
      <c r="W468" s="2" t="s">
        <v>539</v>
      </c>
      <c r="X468" s="2" t="s">
        <v>206</v>
      </c>
      <c r="Y468" s="2" t="s">
        <v>3152</v>
      </c>
      <c r="Z468" s="4">
        <v>130</v>
      </c>
      <c r="AA468" s="4">
        <f>=ROUNDDOWN(10.8333333333333,0)</f>
      </c>
      <c r="AB468" s="5">
        <v>12</v>
      </c>
      <c r="AC468" s="2" t="s">
        <v>150</v>
      </c>
      <c r="AD468" s="4">
        <v>100</v>
      </c>
      <c r="AE468" s="4">
        <v>240</v>
      </c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206</v>
      </c>
      <c r="AM468" s="4"/>
      <c r="AN468" s="4"/>
      <c r="AO468" s="7"/>
      <c r="AP468" s="4"/>
      <c r="AQ468" s="8"/>
      <c r="AR468" s="4"/>
      <c r="AS468" s="8"/>
      <c r="AT468" s="7"/>
      <c r="AU468" s="7"/>
      <c r="AV468" s="4" t="s">
        <v>206</v>
      </c>
      <c r="AW468" s="8" t="s">
        <v>206</v>
      </c>
      <c r="AX468" s="4" t="s">
        <v>206</v>
      </c>
      <c r="AY468" s="8" t="s">
        <v>206</v>
      </c>
      <c r="AZ468" s="7" t="s">
        <v>206</v>
      </c>
      <c r="BA468" s="7" t="s">
        <v>206</v>
      </c>
      <c r="BB468" s="7"/>
      <c r="BC468" s="4" t="s">
        <v>206</v>
      </c>
      <c r="BD468" s="8" t="s">
        <v>206</v>
      </c>
      <c r="BE468" s="4" t="s">
        <v>206</v>
      </c>
      <c r="BF468" s="8" t="s">
        <v>206</v>
      </c>
      <c r="BG468" s="7" t="s">
        <v>206</v>
      </c>
      <c r="BH468" s="7" t="s">
        <v>206</v>
      </c>
      <c r="BI468" s="7"/>
      <c r="BJ468" s="4">
        <v>109</v>
      </c>
      <c r="BK468" s="8">
        <v>1990.51</v>
      </c>
      <c r="BL468" s="2" t="s">
        <v>3166</v>
      </c>
      <c r="BM468" s="7"/>
      <c r="BN468" s="7"/>
      <c r="BO468" s="4"/>
      <c r="BP468" s="8"/>
      <c r="BQ468" s="4"/>
      <c r="BR468" s="8"/>
      <c r="BS468" s="7"/>
      <c r="BT468" s="7"/>
      <c r="BU468" s="2" t="s">
        <v>3167</v>
      </c>
      <c r="BV468" s="2" t="s">
        <v>206</v>
      </c>
      <c r="BW468" s="2" t="s">
        <v>206</v>
      </c>
      <c r="BX468" s="2" t="s">
        <v>214</v>
      </c>
      <c r="BY468" s="2" t="s">
        <v>215</v>
      </c>
      <c r="BZ468" s="2" t="s">
        <v>203</v>
      </c>
      <c r="CA468" s="2" t="s">
        <v>2479</v>
      </c>
      <c r="CB468" s="2" t="s">
        <v>3168</v>
      </c>
      <c r="CC468" s="2" t="s">
        <v>218</v>
      </c>
      <c r="CD468" s="2" t="s">
        <v>206</v>
      </c>
      <c r="CE468" s="4">
        <v>130</v>
      </c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>
        <v>100</v>
      </c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/>
      <c r="FI468" s="4"/>
      <c r="FJ468" s="4"/>
      <c r="FK468" s="4"/>
      <c r="FL468" s="4"/>
      <c r="FM468" s="4"/>
      <c r="FN468" s="4"/>
      <c r="FO468" s="4"/>
      <c r="FP468" s="4"/>
      <c r="FQ468" s="4"/>
      <c r="FR468" s="4">
        <v>140</v>
      </c>
      <c r="FS468" s="4"/>
      <c r="FT468" s="4"/>
      <c r="FU468" s="4"/>
      <c r="FV468" s="4"/>
      <c r="FW468" s="4"/>
      <c r="FX468" s="4"/>
      <c r="FY468" s="4"/>
      <c r="FZ468" s="4"/>
      <c r="GA468" s="4"/>
      <c r="GB468" s="4"/>
      <c r="GC468" s="4"/>
      <c r="GD468" s="4"/>
      <c r="GE468" s="4"/>
      <c r="GF468" s="4"/>
    </row>
    <row r="469">
      <c r="A469" s="2" t="s">
        <v>3169</v>
      </c>
      <c r="B469" s="2" t="s">
        <v>613</v>
      </c>
      <c r="C469" s="2" t="s">
        <v>287</v>
      </c>
      <c r="D469" s="2" t="s">
        <v>614</v>
      </c>
      <c r="E469" s="2" t="s">
        <v>615</v>
      </c>
      <c r="F469" s="2" t="s">
        <v>3141</v>
      </c>
      <c r="G469" s="2" t="s">
        <v>3142</v>
      </c>
      <c r="H469" s="2" t="s">
        <v>3143</v>
      </c>
      <c r="I469" s="2" t="s">
        <v>3157</v>
      </c>
      <c r="J469" s="2" t="s">
        <v>3158</v>
      </c>
      <c r="K469" s="2" t="s">
        <v>353</v>
      </c>
      <c r="L469" s="3">
        <v>12.42</v>
      </c>
      <c r="M469" s="3">
        <v>13.04</v>
      </c>
      <c r="N469" s="3">
        <v>26.99</v>
      </c>
      <c r="O469" s="2" t="s">
        <v>203</v>
      </c>
      <c r="P469" s="2" t="s">
        <v>204</v>
      </c>
      <c r="Q469" s="2" t="s">
        <v>205</v>
      </c>
      <c r="R469" s="2" t="s">
        <v>206</v>
      </c>
      <c r="S469" s="2" t="s">
        <v>3161</v>
      </c>
      <c r="T469" s="2" t="s">
        <v>206</v>
      </c>
      <c r="U469" s="2" t="s">
        <v>206</v>
      </c>
      <c r="V469" s="2" t="s">
        <v>809</v>
      </c>
      <c r="W469" s="2" t="s">
        <v>539</v>
      </c>
      <c r="X469" s="2" t="s">
        <v>206</v>
      </c>
      <c r="Y469" s="2" t="s">
        <v>3152</v>
      </c>
      <c r="Z469" s="4">
        <v>380</v>
      </c>
      <c r="AA469" s="4">
        <f>=ROUNDDOWN(31.6666666666667,0)</f>
      </c>
      <c r="AB469" s="5">
        <v>12</v>
      </c>
      <c r="AC469" s="2" t="s">
        <v>969</v>
      </c>
      <c r="AD469" s="4">
        <v>152</v>
      </c>
      <c r="AE469" s="4">
        <v>152</v>
      </c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206</v>
      </c>
      <c r="AM469" s="4"/>
      <c r="AN469" s="4"/>
      <c r="AO469" s="7"/>
      <c r="AP469" s="4"/>
      <c r="AQ469" s="8"/>
      <c r="AR469" s="4"/>
      <c r="AS469" s="8"/>
      <c r="AT469" s="7"/>
      <c r="AU469" s="7"/>
      <c r="AV469" s="4" t="s">
        <v>206</v>
      </c>
      <c r="AW469" s="8" t="s">
        <v>206</v>
      </c>
      <c r="AX469" s="4" t="s">
        <v>206</v>
      </c>
      <c r="AY469" s="8" t="s">
        <v>206</v>
      </c>
      <c r="AZ469" s="7" t="s">
        <v>206</v>
      </c>
      <c r="BA469" s="7" t="s">
        <v>206</v>
      </c>
      <c r="BB469" s="7"/>
      <c r="BC469" s="4" t="s">
        <v>206</v>
      </c>
      <c r="BD469" s="8" t="s">
        <v>206</v>
      </c>
      <c r="BE469" s="4" t="s">
        <v>206</v>
      </c>
      <c r="BF469" s="8" t="s">
        <v>206</v>
      </c>
      <c r="BG469" s="7" t="s">
        <v>206</v>
      </c>
      <c r="BH469" s="7" t="s">
        <v>206</v>
      </c>
      <c r="BI469" s="7"/>
      <c r="BJ469" s="4">
        <v>46</v>
      </c>
      <c r="BK469" s="8">
        <v>608.29</v>
      </c>
      <c r="BL469" s="2" t="s">
        <v>3170</v>
      </c>
      <c r="BM469" s="7"/>
      <c r="BN469" s="7"/>
      <c r="BO469" s="4"/>
      <c r="BP469" s="8"/>
      <c r="BQ469" s="4"/>
      <c r="BR469" s="8"/>
      <c r="BS469" s="7"/>
      <c r="BT469" s="7"/>
      <c r="BU469" s="2" t="s">
        <v>3171</v>
      </c>
      <c r="BV469" s="2" t="s">
        <v>206</v>
      </c>
      <c r="BW469" s="2" t="s">
        <v>206</v>
      </c>
      <c r="BX469" s="2" t="s">
        <v>214</v>
      </c>
      <c r="BY469" s="2" t="s">
        <v>215</v>
      </c>
      <c r="BZ469" s="2" t="s">
        <v>203</v>
      </c>
      <c r="CA469" s="2" t="s">
        <v>2479</v>
      </c>
      <c r="CB469" s="2" t="s">
        <v>2942</v>
      </c>
      <c r="CC469" s="2" t="s">
        <v>218</v>
      </c>
      <c r="CD469" s="2" t="s">
        <v>206</v>
      </c>
      <c r="CE469" s="4">
        <v>380</v>
      </c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/>
      <c r="FI469" s="4"/>
      <c r="FJ469" s="4"/>
      <c r="FK469" s="4"/>
      <c r="FL469" s="4"/>
      <c r="FM469" s="4"/>
      <c r="FN469" s="4"/>
      <c r="FO469" s="4"/>
      <c r="FP469" s="4"/>
      <c r="FQ469" s="4"/>
      <c r="FR469" s="4">
        <v>152</v>
      </c>
      <c r="FS469" s="4"/>
      <c r="FT469" s="4"/>
      <c r="FU469" s="4"/>
      <c r="FV469" s="4"/>
      <c r="FW469" s="4"/>
      <c r="FX469" s="4"/>
      <c r="FY469" s="4"/>
      <c r="FZ469" s="4"/>
      <c r="GA469" s="4"/>
      <c r="GB469" s="4"/>
      <c r="GC469" s="4"/>
      <c r="GD469" s="4"/>
      <c r="GE469" s="4"/>
      <c r="GF469" s="4"/>
    </row>
    <row r="470">
      <c r="A470" s="2" t="s">
        <v>3172</v>
      </c>
      <c r="B470" s="2" t="s">
        <v>613</v>
      </c>
      <c r="C470" s="2" t="s">
        <v>287</v>
      </c>
      <c r="D470" s="2" t="s">
        <v>628</v>
      </c>
      <c r="E470" s="2" t="s">
        <v>3149</v>
      </c>
      <c r="F470" s="2" t="s">
        <v>3141</v>
      </c>
      <c r="G470" s="2" t="s">
        <v>3142</v>
      </c>
      <c r="H470" s="2" t="s">
        <v>3143</v>
      </c>
      <c r="I470" s="2" t="s">
        <v>3150</v>
      </c>
      <c r="J470" s="2" t="s">
        <v>3173</v>
      </c>
      <c r="K470" s="2" t="s">
        <v>353</v>
      </c>
      <c r="L470" s="3">
        <v>21.15</v>
      </c>
      <c r="M470" s="3">
        <v>22.21</v>
      </c>
      <c r="N470" s="3">
        <v>44.99</v>
      </c>
      <c r="O470" s="2" t="s">
        <v>203</v>
      </c>
      <c r="P470" s="2" t="s">
        <v>204</v>
      </c>
      <c r="Q470" s="2" t="s">
        <v>205</v>
      </c>
      <c r="R470" s="2" t="s">
        <v>206</v>
      </c>
      <c r="S470" s="2" t="s">
        <v>3161</v>
      </c>
      <c r="T470" s="2" t="s">
        <v>206</v>
      </c>
      <c r="U470" s="2" t="s">
        <v>206</v>
      </c>
      <c r="V470" s="2" t="s">
        <v>809</v>
      </c>
      <c r="W470" s="2" t="s">
        <v>539</v>
      </c>
      <c r="X470" s="2" t="s">
        <v>206</v>
      </c>
      <c r="Y470" s="2" t="s">
        <v>3152</v>
      </c>
      <c r="Z470" s="4">
        <v>104</v>
      </c>
      <c r="AA470" s="4">
        <f>=ROUNDDOWN(13,0)</f>
      </c>
      <c r="AB470" s="5">
        <v>8</v>
      </c>
      <c r="AC470" s="2" t="s">
        <v>150</v>
      </c>
      <c r="AD470" s="4">
        <v>32</v>
      </c>
      <c r="AE470" s="4">
        <v>124</v>
      </c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206</v>
      </c>
      <c r="AM470" s="4"/>
      <c r="AN470" s="4"/>
      <c r="AO470" s="7"/>
      <c r="AP470" s="4"/>
      <c r="AQ470" s="8"/>
      <c r="AR470" s="4"/>
      <c r="AS470" s="8"/>
      <c r="AT470" s="7"/>
      <c r="AU470" s="7"/>
      <c r="AV470" s="4" t="s">
        <v>206</v>
      </c>
      <c r="AW470" s="8" t="s">
        <v>206</v>
      </c>
      <c r="AX470" s="4" t="s">
        <v>206</v>
      </c>
      <c r="AY470" s="8" t="s">
        <v>206</v>
      </c>
      <c r="AZ470" s="7" t="s">
        <v>206</v>
      </c>
      <c r="BA470" s="7" t="s">
        <v>206</v>
      </c>
      <c r="BB470" s="7"/>
      <c r="BC470" s="4" t="s">
        <v>206</v>
      </c>
      <c r="BD470" s="8" t="s">
        <v>206</v>
      </c>
      <c r="BE470" s="4" t="s">
        <v>206</v>
      </c>
      <c r="BF470" s="8" t="s">
        <v>206</v>
      </c>
      <c r="BG470" s="7" t="s">
        <v>206</v>
      </c>
      <c r="BH470" s="7" t="s">
        <v>206</v>
      </c>
      <c r="BI470" s="7"/>
      <c r="BJ470" s="4">
        <v>49</v>
      </c>
      <c r="BK470" s="8">
        <v>1126.35</v>
      </c>
      <c r="BL470" s="2" t="s">
        <v>2719</v>
      </c>
      <c r="BM470" s="7"/>
      <c r="BN470" s="7"/>
      <c r="BO470" s="4"/>
      <c r="BP470" s="8"/>
      <c r="BQ470" s="4"/>
      <c r="BR470" s="8"/>
      <c r="BS470" s="7"/>
      <c r="BT470" s="7"/>
      <c r="BU470" s="2" t="s">
        <v>3174</v>
      </c>
      <c r="BV470" s="2" t="s">
        <v>206</v>
      </c>
      <c r="BW470" s="2" t="s">
        <v>206</v>
      </c>
      <c r="BX470" s="2" t="s">
        <v>214</v>
      </c>
      <c r="BY470" s="2" t="s">
        <v>215</v>
      </c>
      <c r="BZ470" s="2" t="s">
        <v>203</v>
      </c>
      <c r="CA470" s="2" t="s">
        <v>2479</v>
      </c>
      <c r="CB470" s="2" t="s">
        <v>654</v>
      </c>
      <c r="CC470" s="2" t="s">
        <v>218</v>
      </c>
      <c r="CD470" s="2" t="s">
        <v>206</v>
      </c>
      <c r="CE470" s="4">
        <v>104</v>
      </c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>
        <v>32</v>
      </c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>
        <v>92</v>
      </c>
      <c r="FS470" s="4"/>
      <c r="FT470" s="4"/>
      <c r="FU470" s="4"/>
      <c r="FV470" s="4"/>
      <c r="FW470" s="4"/>
      <c r="FX470" s="4"/>
      <c r="FY470" s="4"/>
      <c r="FZ470" s="4"/>
      <c r="GA470" s="4"/>
      <c r="GB470" s="4"/>
      <c r="GC470" s="4"/>
      <c r="GD470" s="4"/>
      <c r="GE470" s="4"/>
      <c r="GF470" s="4"/>
    </row>
    <row r="471">
      <c r="A471" s="2" t="s">
        <v>3175</v>
      </c>
      <c r="B471" s="2" t="s">
        <v>613</v>
      </c>
      <c r="C471" s="2" t="s">
        <v>287</v>
      </c>
      <c r="D471" s="2" t="s">
        <v>628</v>
      </c>
      <c r="E471" s="2" t="s">
        <v>929</v>
      </c>
      <c r="F471" s="2" t="s">
        <v>3141</v>
      </c>
      <c r="G471" s="2" t="s">
        <v>3142</v>
      </c>
      <c r="H471" s="2" t="s">
        <v>3143</v>
      </c>
      <c r="I471" s="2" t="s">
        <v>3144</v>
      </c>
      <c r="J471" s="2" t="s">
        <v>631</v>
      </c>
      <c r="K471" s="2" t="s">
        <v>202</v>
      </c>
      <c r="L471" s="3">
        <v>14.1</v>
      </c>
      <c r="M471" s="3">
        <v>14.8</v>
      </c>
      <c r="N471" s="3">
        <v>29.99</v>
      </c>
      <c r="O471" s="2" t="s">
        <v>203</v>
      </c>
      <c r="P471" s="2" t="s">
        <v>204</v>
      </c>
      <c r="Q471" s="2" t="s">
        <v>205</v>
      </c>
      <c r="R471" s="2" t="s">
        <v>206</v>
      </c>
      <c r="S471" s="2" t="s">
        <v>3176</v>
      </c>
      <c r="T471" s="2" t="s">
        <v>206</v>
      </c>
      <c r="U471" s="2" t="s">
        <v>206</v>
      </c>
      <c r="V471" s="2" t="s">
        <v>809</v>
      </c>
      <c r="W471" s="2" t="s">
        <v>539</v>
      </c>
      <c r="X471" s="2" t="s">
        <v>929</v>
      </c>
      <c r="Y471" s="2" t="s">
        <v>211</v>
      </c>
      <c r="Z471" s="4">
        <v>120</v>
      </c>
      <c r="AA471" s="4">
        <f>=ROUNDDOWN(7.5,0)</f>
      </c>
      <c r="AB471" s="5">
        <v>16</v>
      </c>
      <c r="AC471" s="2" t="s">
        <v>108</v>
      </c>
      <c r="AD471" s="4">
        <v>120</v>
      </c>
      <c r="AE471" s="4">
        <v>508</v>
      </c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206</v>
      </c>
      <c r="AM471" s="4"/>
      <c r="AN471" s="4"/>
      <c r="AO471" s="7"/>
      <c r="AP471" s="4"/>
      <c r="AQ471" s="8"/>
      <c r="AR471" s="4"/>
      <c r="AS471" s="8"/>
      <c r="AT471" s="7"/>
      <c r="AU471" s="7"/>
      <c r="AV471" s="4" t="s">
        <v>206</v>
      </c>
      <c r="AW471" s="8" t="s">
        <v>206</v>
      </c>
      <c r="AX471" s="4" t="s">
        <v>206</v>
      </c>
      <c r="AY471" s="8" t="s">
        <v>206</v>
      </c>
      <c r="AZ471" s="7" t="s">
        <v>206</v>
      </c>
      <c r="BA471" s="7" t="s">
        <v>206</v>
      </c>
      <c r="BB471" s="7"/>
      <c r="BC471" s="4" t="s">
        <v>206</v>
      </c>
      <c r="BD471" s="8" t="s">
        <v>206</v>
      </c>
      <c r="BE471" s="4" t="s">
        <v>206</v>
      </c>
      <c r="BF471" s="8" t="s">
        <v>206</v>
      </c>
      <c r="BG471" s="7" t="s">
        <v>206</v>
      </c>
      <c r="BH471" s="7" t="s">
        <v>206</v>
      </c>
      <c r="BI471" s="7"/>
      <c r="BJ471" s="4">
        <v>49</v>
      </c>
      <c r="BK471" s="8">
        <v>612.62</v>
      </c>
      <c r="BL471" s="2" t="s">
        <v>3177</v>
      </c>
      <c r="BM471" s="7"/>
      <c r="BN471" s="7"/>
      <c r="BO471" s="4"/>
      <c r="BP471" s="8"/>
      <c r="BQ471" s="4"/>
      <c r="BR471" s="8"/>
      <c r="BS471" s="7"/>
      <c r="BT471" s="7"/>
      <c r="BU471" s="2" t="s">
        <v>3178</v>
      </c>
      <c r="BV471" s="2" t="s">
        <v>206</v>
      </c>
      <c r="BW471" s="2" t="s">
        <v>206</v>
      </c>
      <c r="BX471" s="2" t="s">
        <v>214</v>
      </c>
      <c r="BY471" s="2" t="s">
        <v>215</v>
      </c>
      <c r="BZ471" s="2" t="s">
        <v>203</v>
      </c>
      <c r="CA471" s="2" t="s">
        <v>216</v>
      </c>
      <c r="CB471" s="2" t="s">
        <v>767</v>
      </c>
      <c r="CC471" s="2" t="s">
        <v>218</v>
      </c>
      <c r="CD471" s="2" t="s">
        <v>206</v>
      </c>
      <c r="CE471" s="4">
        <v>120</v>
      </c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>
        <v>120</v>
      </c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>
        <v>120</v>
      </c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>
        <v>268</v>
      </c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/>
      <c r="FR471" s="4"/>
      <c r="FS471" s="4"/>
      <c r="FT471" s="4"/>
      <c r="FU471" s="4"/>
      <c r="FV471" s="4"/>
      <c r="FW471" s="4"/>
      <c r="FX471" s="4"/>
      <c r="FY471" s="4"/>
      <c r="FZ471" s="4"/>
      <c r="GA471" s="4"/>
      <c r="GB471" s="4"/>
      <c r="GC471" s="4"/>
      <c r="GD471" s="4"/>
      <c r="GE471" s="4"/>
      <c r="GF471" s="4"/>
    </row>
    <row r="472">
      <c r="A472" s="2" t="s">
        <v>3179</v>
      </c>
      <c r="B472" s="2" t="s">
        <v>613</v>
      </c>
      <c r="C472" s="2" t="s">
        <v>287</v>
      </c>
      <c r="D472" s="2" t="s">
        <v>628</v>
      </c>
      <c r="E472" s="2" t="s">
        <v>3149</v>
      </c>
      <c r="F472" s="2" t="s">
        <v>3141</v>
      </c>
      <c r="G472" s="2" t="s">
        <v>3142</v>
      </c>
      <c r="H472" s="2" t="s">
        <v>3143</v>
      </c>
      <c r="I472" s="2" t="s">
        <v>3150</v>
      </c>
      <c r="J472" s="2" t="s">
        <v>3173</v>
      </c>
      <c r="K472" s="2" t="s">
        <v>202</v>
      </c>
      <c r="L472" s="3">
        <v>21.15</v>
      </c>
      <c r="M472" s="3">
        <v>22.21</v>
      </c>
      <c r="N472" s="3">
        <v>44.99</v>
      </c>
      <c r="O472" s="2" t="s">
        <v>203</v>
      </c>
      <c r="P472" s="2" t="s">
        <v>204</v>
      </c>
      <c r="Q472" s="2" t="s">
        <v>205</v>
      </c>
      <c r="R472" s="2" t="s">
        <v>206</v>
      </c>
      <c r="S472" s="2" t="s">
        <v>3176</v>
      </c>
      <c r="T472" s="2" t="s">
        <v>206</v>
      </c>
      <c r="U472" s="2" t="s">
        <v>206</v>
      </c>
      <c r="V472" s="2" t="s">
        <v>809</v>
      </c>
      <c r="W472" s="2" t="s">
        <v>539</v>
      </c>
      <c r="X472" s="2" t="s">
        <v>206</v>
      </c>
      <c r="Y472" s="2" t="s">
        <v>3152</v>
      </c>
      <c r="Z472" s="4">
        <v>143</v>
      </c>
      <c r="AA472" s="4">
        <f>=ROUNDDOWN(20.4285714285714,0)</f>
      </c>
      <c r="AB472" s="5">
        <v>7</v>
      </c>
      <c r="AC472" s="2" t="s">
        <v>441</v>
      </c>
      <c r="AD472" s="4">
        <v>32</v>
      </c>
      <c r="AE472" s="4">
        <v>116</v>
      </c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206</v>
      </c>
      <c r="AM472" s="4"/>
      <c r="AN472" s="4"/>
      <c r="AO472" s="7"/>
      <c r="AP472" s="4"/>
      <c r="AQ472" s="8"/>
      <c r="AR472" s="4"/>
      <c r="AS472" s="8"/>
      <c r="AT472" s="7"/>
      <c r="AU472" s="7"/>
      <c r="AV472" s="4" t="s">
        <v>206</v>
      </c>
      <c r="AW472" s="8" t="s">
        <v>206</v>
      </c>
      <c r="AX472" s="4" t="s">
        <v>206</v>
      </c>
      <c r="AY472" s="8" t="s">
        <v>206</v>
      </c>
      <c r="AZ472" s="7" t="s">
        <v>206</v>
      </c>
      <c r="BA472" s="7" t="s">
        <v>206</v>
      </c>
      <c r="BB472" s="7"/>
      <c r="BC472" s="4" t="s">
        <v>206</v>
      </c>
      <c r="BD472" s="8" t="s">
        <v>206</v>
      </c>
      <c r="BE472" s="4" t="s">
        <v>206</v>
      </c>
      <c r="BF472" s="8" t="s">
        <v>206</v>
      </c>
      <c r="BG472" s="7" t="s">
        <v>206</v>
      </c>
      <c r="BH472" s="7" t="s">
        <v>206</v>
      </c>
      <c r="BI472" s="7"/>
      <c r="BJ472" s="4">
        <v>27</v>
      </c>
      <c r="BK472" s="8">
        <v>613.56</v>
      </c>
      <c r="BL472" s="2" t="s">
        <v>3180</v>
      </c>
      <c r="BM472" s="7"/>
      <c r="BN472" s="7"/>
      <c r="BO472" s="4"/>
      <c r="BP472" s="8"/>
      <c r="BQ472" s="4"/>
      <c r="BR472" s="8"/>
      <c r="BS472" s="7"/>
      <c r="BT472" s="7"/>
      <c r="BU472" s="2" t="s">
        <v>3181</v>
      </c>
      <c r="BV472" s="2" t="s">
        <v>206</v>
      </c>
      <c r="BW472" s="2" t="s">
        <v>206</v>
      </c>
      <c r="BX472" s="2" t="s">
        <v>214</v>
      </c>
      <c r="BY472" s="2" t="s">
        <v>215</v>
      </c>
      <c r="BZ472" s="2" t="s">
        <v>203</v>
      </c>
      <c r="CA472" s="2" t="s">
        <v>2479</v>
      </c>
      <c r="CB472" s="2" t="s">
        <v>3182</v>
      </c>
      <c r="CC472" s="2" t="s">
        <v>218</v>
      </c>
      <c r="CD472" s="2" t="s">
        <v>206</v>
      </c>
      <c r="CE472" s="4">
        <v>143</v>
      </c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>
        <v>32</v>
      </c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>
        <v>84</v>
      </c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  <c r="FS472" s="4"/>
      <c r="FT472" s="4"/>
      <c r="FU472" s="4"/>
      <c r="FV472" s="4"/>
      <c r="FW472" s="4"/>
      <c r="FX472" s="4"/>
      <c r="FY472" s="4"/>
      <c r="FZ472" s="4"/>
      <c r="GA472" s="4"/>
      <c r="GB472" s="4"/>
      <c r="GC472" s="4"/>
      <c r="GD472" s="4"/>
      <c r="GE472" s="4"/>
      <c r="GF472" s="4"/>
    </row>
    <row r="473">
      <c r="A473" s="2" t="s">
        <v>3183</v>
      </c>
      <c r="B473" s="2" t="s">
        <v>613</v>
      </c>
      <c r="C473" s="2" t="s">
        <v>287</v>
      </c>
      <c r="D473" s="2" t="s">
        <v>628</v>
      </c>
      <c r="E473" s="2" t="s">
        <v>929</v>
      </c>
      <c r="F473" s="2" t="s">
        <v>3141</v>
      </c>
      <c r="G473" s="2" t="s">
        <v>3142</v>
      </c>
      <c r="H473" s="2" t="s">
        <v>3143</v>
      </c>
      <c r="I473" s="2" t="s">
        <v>3144</v>
      </c>
      <c r="J473" s="2" t="s">
        <v>731</v>
      </c>
      <c r="K473" s="2" t="s">
        <v>3184</v>
      </c>
      <c r="L473" s="3">
        <v>16.45</v>
      </c>
      <c r="M473" s="3">
        <v>17.27</v>
      </c>
      <c r="N473" s="3">
        <v>34.99</v>
      </c>
      <c r="O473" s="2" t="s">
        <v>203</v>
      </c>
      <c r="P473" s="2" t="s">
        <v>204</v>
      </c>
      <c r="Q473" s="2" t="s">
        <v>205</v>
      </c>
      <c r="R473" s="2" t="s">
        <v>206</v>
      </c>
      <c r="S473" s="2" t="s">
        <v>3185</v>
      </c>
      <c r="T473" s="2" t="s">
        <v>206</v>
      </c>
      <c r="U473" s="2" t="s">
        <v>206</v>
      </c>
      <c r="V473" s="2" t="s">
        <v>809</v>
      </c>
      <c r="W473" s="2" t="s">
        <v>539</v>
      </c>
      <c r="X473" s="2" t="s">
        <v>929</v>
      </c>
      <c r="Y473" s="2" t="s">
        <v>211</v>
      </c>
      <c r="Z473" s="4">
        <v>80</v>
      </c>
      <c r="AA473" s="4">
        <f>=ROUNDDOWN(16,0)</f>
      </c>
      <c r="AB473" s="5">
        <v>5</v>
      </c>
      <c r="AC473" s="2" t="s">
        <v>139</v>
      </c>
      <c r="AD473" s="4">
        <v>80</v>
      </c>
      <c r="AE473" s="4">
        <v>80</v>
      </c>
      <c r="AF473" s="6">
        <v>65</v>
      </c>
      <c r="AG473" s="6"/>
      <c r="AH473" s="7">
        <v>0.9677</v>
      </c>
      <c r="AI473" s="4"/>
      <c r="AJ473" s="4">
        <f>=ROUNDDOWN({0},0)</f>
      </c>
      <c r="AK473" s="5"/>
      <c r="AL473" s="2" t="s">
        <v>206</v>
      </c>
      <c r="AM473" s="4"/>
      <c r="AN473" s="4"/>
      <c r="AO473" s="7"/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206</v>
      </c>
      <c r="BD473" s="8" t="s">
        <v>206</v>
      </c>
      <c r="BE473" s="4" t="s">
        <v>206</v>
      </c>
      <c r="BF473" s="8" t="s">
        <v>206</v>
      </c>
      <c r="BG473" s="7" t="s">
        <v>206</v>
      </c>
      <c r="BH473" s="7" t="s">
        <v>206</v>
      </c>
      <c r="BI473" s="7"/>
      <c r="BJ473" s="4">
        <v>7</v>
      </c>
      <c r="BK473" s="8">
        <v>107.57</v>
      </c>
      <c r="BL473" s="2" t="s">
        <v>3186</v>
      </c>
      <c r="BM473" s="7"/>
      <c r="BN473" s="7"/>
      <c r="BO473" s="4"/>
      <c r="BP473" s="8"/>
      <c r="BQ473" s="4"/>
      <c r="BR473" s="8"/>
      <c r="BS473" s="7"/>
      <c r="BT473" s="7"/>
      <c r="BU473" s="2" t="s">
        <v>3187</v>
      </c>
      <c r="BV473" s="2" t="s">
        <v>206</v>
      </c>
      <c r="BW473" s="2" t="s">
        <v>206</v>
      </c>
      <c r="BX473" s="2" t="s">
        <v>214</v>
      </c>
      <c r="BY473" s="2" t="s">
        <v>215</v>
      </c>
      <c r="BZ473" s="2" t="s">
        <v>203</v>
      </c>
      <c r="CA473" s="2" t="s">
        <v>216</v>
      </c>
      <c r="CB473" s="2" t="s">
        <v>3188</v>
      </c>
      <c r="CC473" s="2" t="s">
        <v>218</v>
      </c>
      <c r="CD473" s="2" t="s">
        <v>206</v>
      </c>
      <c r="CE473" s="4">
        <v>80</v>
      </c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>
        <v>80</v>
      </c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  <c r="FG473" s="4"/>
      <c r="FH473" s="4"/>
      <c r="FI473" s="4"/>
      <c r="FJ473" s="4"/>
      <c r="FK473" s="4"/>
      <c r="FL473" s="4"/>
      <c r="FM473" s="4"/>
      <c r="FN473" s="4"/>
      <c r="FO473" s="4"/>
      <c r="FP473" s="4"/>
      <c r="FQ473" s="4"/>
      <c r="FR473" s="4"/>
      <c r="FS473" s="4"/>
      <c r="FT473" s="4"/>
      <c r="FU473" s="4"/>
      <c r="FV473" s="4"/>
      <c r="FW473" s="4"/>
      <c r="FX473" s="4"/>
      <c r="FY473" s="4"/>
      <c r="FZ473" s="4"/>
      <c r="GA473" s="4"/>
      <c r="GB473" s="4"/>
      <c r="GC473" s="4"/>
      <c r="GD473" s="4"/>
      <c r="GE473" s="4"/>
      <c r="GF473" s="4"/>
    </row>
    <row r="474">
      <c r="A474" s="2" t="s">
        <v>3189</v>
      </c>
      <c r="B474" s="2" t="s">
        <v>461</v>
      </c>
      <c r="C474" s="2" t="s">
        <v>462</v>
      </c>
      <c r="D474" s="2" t="s">
        <v>3190</v>
      </c>
      <c r="E474" s="2" t="s">
        <v>3191</v>
      </c>
      <c r="F474" s="2" t="s">
        <v>3192</v>
      </c>
      <c r="G474" s="2" t="s">
        <v>3192</v>
      </c>
      <c r="H474" s="2" t="s">
        <v>3192</v>
      </c>
      <c r="I474" s="2" t="s">
        <v>3193</v>
      </c>
      <c r="J474" s="2" t="s">
        <v>434</v>
      </c>
      <c r="K474" s="2" t="s">
        <v>656</v>
      </c>
      <c r="L474" s="3">
        <v>430</v>
      </c>
      <c r="M474" s="3">
        <v>451.5</v>
      </c>
      <c r="N474" s="3">
        <v>899</v>
      </c>
      <c r="O474" s="2" t="s">
        <v>203</v>
      </c>
      <c r="P474" s="2" t="s">
        <v>467</v>
      </c>
      <c r="Q474" s="2" t="s">
        <v>205</v>
      </c>
      <c r="R474" s="2" t="s">
        <v>206</v>
      </c>
      <c r="S474" s="2" t="s">
        <v>206</v>
      </c>
      <c r="T474" s="2" t="s">
        <v>206</v>
      </c>
      <c r="U474" s="2" t="s">
        <v>437</v>
      </c>
      <c r="V474" s="2" t="s">
        <v>468</v>
      </c>
      <c r="W474" s="2" t="s">
        <v>586</v>
      </c>
      <c r="X474" s="2" t="s">
        <v>439</v>
      </c>
      <c r="Y474" s="2" t="s">
        <v>3194</v>
      </c>
      <c r="Z474" s="4">
        <v>97</v>
      </c>
      <c r="AA474" s="4">
        <f>=ROUNDDOWN(88.1818181818182,0)</f>
      </c>
      <c r="AB474" s="5">
        <v>1.1</v>
      </c>
      <c r="AC474" s="2" t="s">
        <v>206</v>
      </c>
      <c r="AD474" s="4"/>
      <c r="AE474" s="4"/>
      <c r="AF474" s="6">
        <v>74</v>
      </c>
      <c r="AG474" s="6"/>
      <c r="AH474" s="7">
        <v>1</v>
      </c>
      <c r="AI474" s="4"/>
      <c r="AJ474" s="4">
        <f>=ROUNDDOWN({0},0)</f>
      </c>
      <c r="AK474" s="5"/>
      <c r="AL474" s="2" t="s">
        <v>206</v>
      </c>
      <c r="AM474" s="4"/>
      <c r="AN474" s="4"/>
      <c r="AO474" s="7"/>
      <c r="AP474" s="4"/>
      <c r="AQ474" s="8"/>
      <c r="AR474" s="4"/>
      <c r="AS474" s="8"/>
      <c r="AT474" s="7"/>
      <c r="AU474" s="7"/>
      <c r="AV474" s="4" t="s">
        <v>206</v>
      </c>
      <c r="AW474" s="8" t="s">
        <v>206</v>
      </c>
      <c r="AX474" s="4" t="s">
        <v>206</v>
      </c>
      <c r="AY474" s="8" t="s">
        <v>206</v>
      </c>
      <c r="AZ474" s="7" t="s">
        <v>206</v>
      </c>
      <c r="BA474" s="7" t="s">
        <v>206</v>
      </c>
      <c r="BB474" s="7" t="s">
        <v>206</v>
      </c>
      <c r="BC474" s="4" t="s">
        <v>206</v>
      </c>
      <c r="BD474" s="8" t="s">
        <v>206</v>
      </c>
      <c r="BE474" s="4" t="s">
        <v>206</v>
      </c>
      <c r="BF474" s="8" t="s">
        <v>206</v>
      </c>
      <c r="BG474" s="7" t="s">
        <v>206</v>
      </c>
      <c r="BH474" s="7" t="s">
        <v>206</v>
      </c>
      <c r="BI474" s="7"/>
      <c r="BJ474" s="4">
        <v>1</v>
      </c>
      <c r="BK474" s="8">
        <v>325.53</v>
      </c>
      <c r="BL474" s="2" t="s">
        <v>2558</v>
      </c>
      <c r="BM474" s="7"/>
      <c r="BN474" s="7"/>
      <c r="BO474" s="4"/>
      <c r="BP474" s="8"/>
      <c r="BQ474" s="4"/>
      <c r="BR474" s="8"/>
      <c r="BS474" s="7"/>
      <c r="BT474" s="7"/>
      <c r="BU474" s="2" t="s">
        <v>3195</v>
      </c>
      <c r="BV474" s="2" t="s">
        <v>206</v>
      </c>
      <c r="BW474" s="2" t="s">
        <v>206</v>
      </c>
      <c r="BX474" s="2" t="s">
        <v>214</v>
      </c>
      <c r="BY474" s="2" t="s">
        <v>215</v>
      </c>
      <c r="BZ474" s="2" t="s">
        <v>203</v>
      </c>
      <c r="CA474" s="2" t="s">
        <v>1423</v>
      </c>
      <c r="CB474" s="2" t="s">
        <v>3196</v>
      </c>
      <c r="CC474" s="2" t="s">
        <v>218</v>
      </c>
      <c r="CD474" s="2" t="s">
        <v>206</v>
      </c>
      <c r="CE474" s="4"/>
      <c r="CF474" s="4">
        <v>97</v>
      </c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  <c r="FG474" s="4"/>
      <c r="FH474" s="4"/>
      <c r="FI474" s="4"/>
      <c r="FJ474" s="4"/>
      <c r="FK474" s="4"/>
      <c r="FL474" s="4"/>
      <c r="FM474" s="4"/>
      <c r="FN474" s="4"/>
      <c r="FO474" s="4"/>
      <c r="FP474" s="4"/>
      <c r="FQ474" s="4"/>
      <c r="FR474" s="4"/>
      <c r="FS474" s="4"/>
      <c r="FT474" s="4"/>
      <c r="FU474" s="4"/>
      <c r="FV474" s="4"/>
      <c r="FW474" s="4"/>
      <c r="FX474" s="4"/>
      <c r="FY474" s="4"/>
      <c r="FZ474" s="4"/>
      <c r="GA474" s="4"/>
      <c r="GB474" s="4"/>
      <c r="GC474" s="4"/>
      <c r="GD474" s="4"/>
      <c r="GE474" s="4"/>
      <c r="GF474" s="4"/>
    </row>
    <row r="475">
      <c r="A475" s="2" t="s">
        <v>3197</v>
      </c>
      <c r="B475" s="2" t="s">
        <v>461</v>
      </c>
      <c r="C475" s="2" t="s">
        <v>462</v>
      </c>
      <c r="D475" s="2" t="s">
        <v>3198</v>
      </c>
      <c r="E475" s="2" t="s">
        <v>3199</v>
      </c>
      <c r="F475" s="2" t="s">
        <v>3192</v>
      </c>
      <c r="G475" s="2" t="s">
        <v>3192</v>
      </c>
      <c r="H475" s="2" t="s">
        <v>3192</v>
      </c>
      <c r="I475" s="2" t="s">
        <v>3200</v>
      </c>
      <c r="J475" s="2" t="s">
        <v>434</v>
      </c>
      <c r="K475" s="2" t="s">
        <v>656</v>
      </c>
      <c r="L475" s="3">
        <v>145</v>
      </c>
      <c r="M475" s="3">
        <v>152.25</v>
      </c>
      <c r="N475" s="3">
        <v>299</v>
      </c>
      <c r="O475" s="2" t="s">
        <v>203</v>
      </c>
      <c r="P475" s="2" t="s">
        <v>204</v>
      </c>
      <c r="Q475" s="2" t="s">
        <v>205</v>
      </c>
      <c r="R475" s="2" t="s">
        <v>206</v>
      </c>
      <c r="S475" s="2" t="s">
        <v>206</v>
      </c>
      <c r="T475" s="2" t="s">
        <v>206</v>
      </c>
      <c r="U475" s="2" t="s">
        <v>206</v>
      </c>
      <c r="V475" s="2" t="s">
        <v>468</v>
      </c>
      <c r="W475" s="2" t="s">
        <v>586</v>
      </c>
      <c r="X475" s="2" t="s">
        <v>439</v>
      </c>
      <c r="Y475" s="2" t="s">
        <v>3201</v>
      </c>
      <c r="Z475" s="4">
        <v>112</v>
      </c>
      <c r="AA475" s="4">
        <f>=ROUNDDOWN(22.4,0)</f>
      </c>
      <c r="AB475" s="5">
        <v>5</v>
      </c>
      <c r="AC475" s="2" t="s">
        <v>293</v>
      </c>
      <c r="AD475" s="4">
        <v>150</v>
      </c>
      <c r="AE475" s="4">
        <v>150</v>
      </c>
      <c r="AF475" s="6">
        <v>74</v>
      </c>
      <c r="AG475" s="6"/>
      <c r="AH475" s="7">
        <v>1</v>
      </c>
      <c r="AI475" s="4"/>
      <c r="AJ475" s="4">
        <f>=ROUNDDOWN({0},0)</f>
      </c>
      <c r="AK475" s="5"/>
      <c r="AL475" s="2" t="s">
        <v>206</v>
      </c>
      <c r="AM475" s="4"/>
      <c r="AN475" s="4"/>
      <c r="AO475" s="7"/>
      <c r="AP475" s="4"/>
      <c r="AQ475" s="8"/>
      <c r="AR475" s="4"/>
      <c r="AS475" s="8"/>
      <c r="AT475" s="7"/>
      <c r="AU475" s="7"/>
      <c r="AV475" s="4" t="s">
        <v>206</v>
      </c>
      <c r="AW475" s="8" t="s">
        <v>206</v>
      </c>
      <c r="AX475" s="4" t="s">
        <v>206</v>
      </c>
      <c r="AY475" s="8" t="s">
        <v>206</v>
      </c>
      <c r="AZ475" s="7" t="s">
        <v>206</v>
      </c>
      <c r="BA475" s="7" t="s">
        <v>206</v>
      </c>
      <c r="BB475" s="7" t="s">
        <v>206</v>
      </c>
      <c r="BC475" s="4" t="s">
        <v>206</v>
      </c>
      <c r="BD475" s="8" t="s">
        <v>206</v>
      </c>
      <c r="BE475" s="4" t="s">
        <v>206</v>
      </c>
      <c r="BF475" s="8" t="s">
        <v>206</v>
      </c>
      <c r="BG475" s="7" t="s">
        <v>206</v>
      </c>
      <c r="BH475" s="7" t="s">
        <v>206</v>
      </c>
      <c r="BI475" s="7"/>
      <c r="BJ475" s="4">
        <v>19</v>
      </c>
      <c r="BK475" s="8">
        <v>2947.55</v>
      </c>
      <c r="BL475" s="2" t="s">
        <v>3202</v>
      </c>
      <c r="BM475" s="7"/>
      <c r="BN475" s="7"/>
      <c r="BO475" s="4"/>
      <c r="BP475" s="8"/>
      <c r="BQ475" s="4"/>
      <c r="BR475" s="8"/>
      <c r="BS475" s="7"/>
      <c r="BT475" s="7"/>
      <c r="BU475" s="2" t="s">
        <v>3203</v>
      </c>
      <c r="BV475" s="2" t="s">
        <v>206</v>
      </c>
      <c r="BW475" s="2" t="s">
        <v>206</v>
      </c>
      <c r="BX475" s="2" t="s">
        <v>214</v>
      </c>
      <c r="BY475" s="2" t="s">
        <v>215</v>
      </c>
      <c r="BZ475" s="2" t="s">
        <v>203</v>
      </c>
      <c r="CA475" s="2" t="s">
        <v>1423</v>
      </c>
      <c r="CB475" s="2" t="s">
        <v>489</v>
      </c>
      <c r="CC475" s="2" t="s">
        <v>218</v>
      </c>
      <c r="CD475" s="2" t="s">
        <v>206</v>
      </c>
      <c r="CE475" s="4"/>
      <c r="CF475" s="4">
        <v>112</v>
      </c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>
        <v>150</v>
      </c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/>
      <c r="FR475" s="4"/>
      <c r="FS475" s="4"/>
      <c r="FT475" s="4"/>
      <c r="FU475" s="4"/>
      <c r="FV475" s="4"/>
      <c r="FW475" s="4"/>
      <c r="FX475" s="4"/>
      <c r="FY475" s="4"/>
      <c r="FZ475" s="4"/>
      <c r="GA475" s="4"/>
      <c r="GB475" s="4"/>
      <c r="GC475" s="4"/>
      <c r="GD475" s="4"/>
      <c r="GE475" s="4"/>
      <c r="GF475" s="4"/>
    </row>
    <row r="476">
      <c r="A476" s="2" t="s">
        <v>3204</v>
      </c>
      <c r="B476" s="2" t="s">
        <v>461</v>
      </c>
      <c r="C476" s="2" t="s">
        <v>447</v>
      </c>
      <c r="D476" s="2" t="s">
        <v>975</v>
      </c>
      <c r="E476" s="2" t="s">
        <v>976</v>
      </c>
      <c r="F476" s="2" t="s">
        <v>3205</v>
      </c>
      <c r="G476" s="2" t="s">
        <v>3205</v>
      </c>
      <c r="H476" s="2" t="s">
        <v>3205</v>
      </c>
      <c r="I476" s="2" t="s">
        <v>1208</v>
      </c>
      <c r="J476" s="2" t="s">
        <v>434</v>
      </c>
      <c r="K476" s="2" t="s">
        <v>1497</v>
      </c>
      <c r="L476" s="3">
        <v>175.75</v>
      </c>
      <c r="M476" s="3">
        <v>184.54</v>
      </c>
      <c r="N476" s="3">
        <v>369</v>
      </c>
      <c r="O476" s="2" t="s">
        <v>203</v>
      </c>
      <c r="P476" s="2" t="s">
        <v>204</v>
      </c>
      <c r="Q476" s="2" t="s">
        <v>205</v>
      </c>
      <c r="R476" s="2" t="s">
        <v>206</v>
      </c>
      <c r="S476" s="2" t="s">
        <v>206</v>
      </c>
      <c r="T476" s="2" t="s">
        <v>206</v>
      </c>
      <c r="U476" s="2" t="s">
        <v>437</v>
      </c>
      <c r="V476" s="2" t="s">
        <v>209</v>
      </c>
      <c r="W476" s="2" t="s">
        <v>914</v>
      </c>
      <c r="X476" s="2" t="s">
        <v>1178</v>
      </c>
      <c r="Y476" s="2" t="s">
        <v>3015</v>
      </c>
      <c r="Z476" s="4">
        <v>178</v>
      </c>
      <c r="AA476" s="4">
        <f>=ROUNDDOWN(17.8,0)</f>
      </c>
      <c r="AB476" s="5">
        <v>10</v>
      </c>
      <c r="AC476" s="2" t="s">
        <v>116</v>
      </c>
      <c r="AD476" s="4">
        <v>80</v>
      </c>
      <c r="AE476" s="4">
        <v>190</v>
      </c>
      <c r="AF476" s="6">
        <v>68</v>
      </c>
      <c r="AG476" s="6">
        <v>51</v>
      </c>
      <c r="AH476" s="7">
        <v>1</v>
      </c>
      <c r="AI476" s="4"/>
      <c r="AJ476" s="4">
        <f>=ROUNDDOWN({0},0)</f>
      </c>
      <c r="AK476" s="5"/>
      <c r="AL476" s="2" t="s">
        <v>206</v>
      </c>
      <c r="AM476" s="4"/>
      <c r="AN476" s="4"/>
      <c r="AO476" s="7"/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206</v>
      </c>
      <c r="BD476" s="8" t="s">
        <v>206</v>
      </c>
      <c r="BE476" s="4" t="s">
        <v>206</v>
      </c>
      <c r="BF476" s="8" t="s">
        <v>206</v>
      </c>
      <c r="BG476" s="7" t="s">
        <v>206</v>
      </c>
      <c r="BH476" s="7" t="s">
        <v>206</v>
      </c>
      <c r="BI476" s="7"/>
      <c r="BJ476" s="4">
        <v>32</v>
      </c>
      <c r="BK476" s="8">
        <v>5533.58</v>
      </c>
      <c r="BL476" s="2" t="s">
        <v>3206</v>
      </c>
      <c r="BM476" s="7"/>
      <c r="BN476" s="7"/>
      <c r="BO476" s="4"/>
      <c r="BP476" s="8"/>
      <c r="BQ476" s="4"/>
      <c r="BR476" s="8"/>
      <c r="BS476" s="7"/>
      <c r="BT476" s="7"/>
      <c r="BU476" s="2" t="s">
        <v>3207</v>
      </c>
      <c r="BV476" s="2" t="s">
        <v>206</v>
      </c>
      <c r="BW476" s="2" t="s">
        <v>206</v>
      </c>
      <c r="BX476" s="2" t="s">
        <v>426</v>
      </c>
      <c r="BY476" s="2" t="s">
        <v>215</v>
      </c>
      <c r="BZ476" s="2" t="s">
        <v>203</v>
      </c>
      <c r="CA476" s="2" t="s">
        <v>3015</v>
      </c>
      <c r="CB476" s="2" t="s">
        <v>3208</v>
      </c>
      <c r="CC476" s="2" t="s">
        <v>218</v>
      </c>
      <c r="CD476" s="2" t="s">
        <v>206</v>
      </c>
      <c r="CE476" s="4"/>
      <c r="CF476" s="4">
        <v>178</v>
      </c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>
        <v>80</v>
      </c>
      <c r="DE476" s="4"/>
      <c r="DF476" s="4"/>
      <c r="DG476" s="4">
        <v>10</v>
      </c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>
        <v>100</v>
      </c>
      <c r="EV476" s="4"/>
      <c r="EW476" s="4"/>
      <c r="EX476" s="4"/>
      <c r="EY476" s="4"/>
      <c r="EZ476" s="4"/>
      <c r="FA476" s="4"/>
      <c r="FB476" s="4"/>
      <c r="FC476" s="4"/>
      <c r="FD476" s="4"/>
      <c r="FE476" s="4"/>
      <c r="FF476" s="4"/>
      <c r="FG476" s="4"/>
      <c r="FH476" s="4"/>
      <c r="FI476" s="4"/>
      <c r="FJ476" s="4"/>
      <c r="FK476" s="4"/>
      <c r="FL476" s="4"/>
      <c r="FM476" s="4"/>
      <c r="FN476" s="4"/>
      <c r="FO476" s="4"/>
      <c r="FP476" s="4"/>
      <c r="FQ476" s="4"/>
      <c r="FR476" s="4"/>
      <c r="FS476" s="4"/>
      <c r="FT476" s="4"/>
      <c r="FU476" s="4"/>
      <c r="FV476" s="4"/>
      <c r="FW476" s="4"/>
      <c r="FX476" s="4"/>
      <c r="FY476" s="4"/>
      <c r="FZ476" s="4"/>
      <c r="GA476" s="4"/>
      <c r="GB476" s="4"/>
      <c r="GC476" s="4"/>
      <c r="GD476" s="4"/>
      <c r="GE476" s="4"/>
      <c r="GF476" s="4"/>
    </row>
    <row r="477">
      <c r="A477" s="2" t="s">
        <v>3209</v>
      </c>
      <c r="B477" s="2" t="s">
        <v>461</v>
      </c>
      <c r="C477" s="2" t="s">
        <v>447</v>
      </c>
      <c r="D477" s="2" t="s">
        <v>975</v>
      </c>
      <c r="E477" s="2" t="s">
        <v>976</v>
      </c>
      <c r="F477" s="2" t="s">
        <v>3205</v>
      </c>
      <c r="G477" s="2" t="s">
        <v>3205</v>
      </c>
      <c r="H477" s="2" t="s">
        <v>3205</v>
      </c>
      <c r="I477" s="2" t="s">
        <v>1208</v>
      </c>
      <c r="J477" s="2" t="s">
        <v>434</v>
      </c>
      <c r="K477" s="2" t="s">
        <v>1060</v>
      </c>
      <c r="L477" s="3">
        <v>175.75</v>
      </c>
      <c r="M477" s="3">
        <v>184.54</v>
      </c>
      <c r="N477" s="3">
        <v>369</v>
      </c>
      <c r="O477" s="2" t="s">
        <v>203</v>
      </c>
      <c r="P477" s="2" t="s">
        <v>467</v>
      </c>
      <c r="Q477" s="2" t="s">
        <v>205</v>
      </c>
      <c r="R477" s="2" t="s">
        <v>206</v>
      </c>
      <c r="S477" s="2" t="s">
        <v>206</v>
      </c>
      <c r="T477" s="2" t="s">
        <v>206</v>
      </c>
      <c r="U477" s="2" t="s">
        <v>437</v>
      </c>
      <c r="V477" s="2" t="s">
        <v>209</v>
      </c>
      <c r="W477" s="2" t="s">
        <v>1178</v>
      </c>
      <c r="X477" s="2" t="s">
        <v>914</v>
      </c>
      <c r="Y477" s="2" t="s">
        <v>3210</v>
      </c>
      <c r="Z477" s="4">
        <v>157</v>
      </c>
      <c r="AA477" s="4">
        <f>=ROUNDDOWN(78.5,0)</f>
      </c>
      <c r="AB477" s="5">
        <v>2</v>
      </c>
      <c r="AC477" s="2" t="s">
        <v>206</v>
      </c>
      <c r="AD477" s="4"/>
      <c r="AE477" s="4"/>
      <c r="AF477" s="6">
        <v>68</v>
      </c>
      <c r="AG477" s="6"/>
      <c r="AH477" s="7">
        <v>1</v>
      </c>
      <c r="AI477" s="4"/>
      <c r="AJ477" s="4">
        <f>=ROUNDDOWN({0},0)</f>
      </c>
      <c r="AK477" s="5"/>
      <c r="AL477" s="2" t="s">
        <v>206</v>
      </c>
      <c r="AM477" s="4"/>
      <c r="AN477" s="4"/>
      <c r="AO477" s="7"/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206</v>
      </c>
      <c r="BD477" s="8" t="s">
        <v>206</v>
      </c>
      <c r="BE477" s="4" t="s">
        <v>206</v>
      </c>
      <c r="BF477" s="8" t="s">
        <v>206</v>
      </c>
      <c r="BG477" s="7" t="s">
        <v>206</v>
      </c>
      <c r="BH477" s="7" t="s">
        <v>206</v>
      </c>
      <c r="BI477" s="7"/>
      <c r="BJ477" s="4">
        <v>3</v>
      </c>
      <c r="BK477" s="8">
        <v>568.38</v>
      </c>
      <c r="BL477" s="2" t="s">
        <v>3211</v>
      </c>
      <c r="BM477" s="7"/>
      <c r="BN477" s="7"/>
      <c r="BO477" s="4"/>
      <c r="BP477" s="8"/>
      <c r="BQ477" s="4"/>
      <c r="BR477" s="8"/>
      <c r="BS477" s="7"/>
      <c r="BT477" s="7"/>
      <c r="BU477" s="2" t="s">
        <v>3212</v>
      </c>
      <c r="BV477" s="2" t="s">
        <v>206</v>
      </c>
      <c r="BW477" s="2" t="s">
        <v>206</v>
      </c>
      <c r="BX477" s="2" t="s">
        <v>426</v>
      </c>
      <c r="BY477" s="2" t="s">
        <v>215</v>
      </c>
      <c r="BZ477" s="2" t="s">
        <v>203</v>
      </c>
      <c r="CA477" s="2" t="s">
        <v>714</v>
      </c>
      <c r="CB477" s="2" t="s">
        <v>1776</v>
      </c>
      <c r="CC477" s="2" t="s">
        <v>218</v>
      </c>
      <c r="CD477" s="2" t="s">
        <v>206</v>
      </c>
      <c r="CE477" s="4"/>
      <c r="CF477" s="4">
        <v>157</v>
      </c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/>
      <c r="FH477" s="4"/>
      <c r="FI477" s="4"/>
      <c r="FJ477" s="4"/>
      <c r="FK477" s="4"/>
      <c r="FL477" s="4"/>
      <c r="FM477" s="4"/>
      <c r="FN477" s="4"/>
      <c r="FO477" s="4"/>
      <c r="FP477" s="4"/>
      <c r="FQ477" s="4"/>
      <c r="FR477" s="4"/>
      <c r="FS477" s="4"/>
      <c r="FT477" s="4"/>
      <c r="FU477" s="4"/>
      <c r="FV477" s="4"/>
      <c r="FW477" s="4"/>
      <c r="FX477" s="4"/>
      <c r="FY477" s="4"/>
      <c r="FZ477" s="4"/>
      <c r="GA477" s="4"/>
      <c r="GB477" s="4"/>
      <c r="GC477" s="4"/>
      <c r="GD477" s="4"/>
      <c r="GE477" s="4"/>
      <c r="GF477" s="4"/>
    </row>
    <row r="478">
      <c r="A478" s="2" t="s">
        <v>3213</v>
      </c>
      <c r="B478" s="2" t="s">
        <v>528</v>
      </c>
      <c r="C478" s="2" t="s">
        <v>287</v>
      </c>
      <c r="D478" s="2" t="s">
        <v>529</v>
      </c>
      <c r="E478" s="2" t="s">
        <v>816</v>
      </c>
      <c r="F478" s="2" t="s">
        <v>3214</v>
      </c>
      <c r="G478" s="2" t="s">
        <v>3215</v>
      </c>
      <c r="H478" s="2" t="s">
        <v>3216</v>
      </c>
      <c r="I478" s="2" t="s">
        <v>3217</v>
      </c>
      <c r="J478" s="2" t="s">
        <v>282</v>
      </c>
      <c r="K478" s="2" t="s">
        <v>262</v>
      </c>
      <c r="L478" s="3">
        <v>45.71</v>
      </c>
      <c r="M478" s="3">
        <v>48</v>
      </c>
      <c r="N478" s="3">
        <v>99.99</v>
      </c>
      <c r="O478" s="2" t="s">
        <v>203</v>
      </c>
      <c r="P478" s="2" t="s">
        <v>204</v>
      </c>
      <c r="Q478" s="2" t="s">
        <v>205</v>
      </c>
      <c r="R478" s="2" t="s">
        <v>206</v>
      </c>
      <c r="S478" s="2" t="s">
        <v>3218</v>
      </c>
      <c r="T478" s="2" t="s">
        <v>292</v>
      </c>
      <c r="U478" s="2" t="s">
        <v>537</v>
      </c>
      <c r="V478" s="2" t="s">
        <v>236</v>
      </c>
      <c r="W478" s="2" t="s">
        <v>439</v>
      </c>
      <c r="X478" s="2" t="s">
        <v>539</v>
      </c>
      <c r="Y478" s="2" t="s">
        <v>3219</v>
      </c>
      <c r="Z478" s="4">
        <v>3</v>
      </c>
      <c r="AA478" s="4">
        <f>=ROUNDDOWN(0.136363636363636,0)</f>
      </c>
      <c r="AB478" s="5">
        <v>22</v>
      </c>
      <c r="AC478" s="2" t="s">
        <v>143</v>
      </c>
      <c r="AD478" s="4">
        <v>410</v>
      </c>
      <c r="AE478" s="4">
        <v>810</v>
      </c>
      <c r="AF478" s="6">
        <v>69</v>
      </c>
      <c r="AG478" s="6"/>
      <c r="AH478" s="7">
        <v>0</v>
      </c>
      <c r="AI478" s="4"/>
      <c r="AJ478" s="4">
        <f>=ROUNDDOWN({0},0)</f>
      </c>
      <c r="AK478" s="5"/>
      <c r="AL478" s="2" t="s">
        <v>206</v>
      </c>
      <c r="AM478" s="4"/>
      <c r="AN478" s="4"/>
      <c r="AO478" s="7"/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206</v>
      </c>
      <c r="BD478" s="8" t="s">
        <v>206</v>
      </c>
      <c r="BE478" s="4" t="s">
        <v>206</v>
      </c>
      <c r="BF478" s="8" t="s">
        <v>206</v>
      </c>
      <c r="BG478" s="7" t="s">
        <v>206</v>
      </c>
      <c r="BH478" s="7" t="s">
        <v>206</v>
      </c>
      <c r="BI478" s="7"/>
      <c r="BJ478" s="4"/>
      <c r="BK478" s="8"/>
      <c r="BL478" s="2" t="s">
        <v>206</v>
      </c>
      <c r="BM478" s="7"/>
      <c r="BN478" s="7"/>
      <c r="BO478" s="4"/>
      <c r="BP478" s="8"/>
      <c r="BQ478" s="4"/>
      <c r="BR478" s="8"/>
      <c r="BS478" s="7"/>
      <c r="BT478" s="7"/>
      <c r="BU478" s="2" t="s">
        <v>3220</v>
      </c>
      <c r="BV478" s="2" t="s">
        <v>206</v>
      </c>
      <c r="BW478" s="2" t="s">
        <v>206</v>
      </c>
      <c r="BX478" s="2" t="s">
        <v>214</v>
      </c>
      <c r="BY478" s="2" t="s">
        <v>215</v>
      </c>
      <c r="BZ478" s="2" t="s">
        <v>203</v>
      </c>
      <c r="CA478" s="2" t="s">
        <v>3221</v>
      </c>
      <c r="CB478" s="2" t="s">
        <v>3222</v>
      </c>
      <c r="CC478" s="2" t="s">
        <v>218</v>
      </c>
      <c r="CD478" s="2" t="s">
        <v>206</v>
      </c>
      <c r="CE478" s="4">
        <v>3</v>
      </c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>
        <v>410</v>
      </c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>
        <v>200</v>
      </c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/>
      <c r="FR478" s="4">
        <v>200</v>
      </c>
      <c r="FS478" s="4"/>
      <c r="FT478" s="4"/>
      <c r="FU478" s="4"/>
      <c r="FV478" s="4"/>
      <c r="FW478" s="4"/>
      <c r="FX478" s="4"/>
      <c r="FY478" s="4"/>
      <c r="FZ478" s="4"/>
      <c r="GA478" s="4"/>
      <c r="GB478" s="4"/>
      <c r="GC478" s="4"/>
      <c r="GD478" s="4"/>
      <c r="GE478" s="4"/>
      <c r="GF478" s="4"/>
    </row>
    <row r="479">
      <c r="A479" s="2" t="s">
        <v>3223</v>
      </c>
      <c r="B479" s="2" t="s">
        <v>528</v>
      </c>
      <c r="C479" s="2" t="s">
        <v>287</v>
      </c>
      <c r="D479" s="2" t="s">
        <v>529</v>
      </c>
      <c r="E479" s="2" t="s">
        <v>816</v>
      </c>
      <c r="F479" s="2" t="s">
        <v>3214</v>
      </c>
      <c r="G479" s="2" t="s">
        <v>3215</v>
      </c>
      <c r="H479" s="2" t="s">
        <v>3216</v>
      </c>
      <c r="I479" s="2" t="s">
        <v>3217</v>
      </c>
      <c r="J479" s="2" t="s">
        <v>282</v>
      </c>
      <c r="K479" s="2" t="s">
        <v>3224</v>
      </c>
      <c r="L479" s="3">
        <v>45.71</v>
      </c>
      <c r="M479" s="3">
        <v>48</v>
      </c>
      <c r="N479" s="3">
        <v>99.99</v>
      </c>
      <c r="O479" s="2" t="s">
        <v>203</v>
      </c>
      <c r="P479" s="2" t="s">
        <v>204</v>
      </c>
      <c r="Q479" s="2" t="s">
        <v>205</v>
      </c>
      <c r="R479" s="2" t="s">
        <v>206</v>
      </c>
      <c r="S479" s="2" t="s">
        <v>3225</v>
      </c>
      <c r="T479" s="2" t="s">
        <v>292</v>
      </c>
      <c r="U479" s="2" t="s">
        <v>537</v>
      </c>
      <c r="V479" s="2" t="s">
        <v>236</v>
      </c>
      <c r="W479" s="2" t="s">
        <v>439</v>
      </c>
      <c r="X479" s="2" t="s">
        <v>539</v>
      </c>
      <c r="Y479" s="2" t="s">
        <v>3226</v>
      </c>
      <c r="Z479" s="4">
        <v>1</v>
      </c>
      <c r="AA479" s="4">
        <f>=ROUNDDOWN(0.0285714285714286,0)</f>
      </c>
      <c r="AB479" s="5">
        <v>35</v>
      </c>
      <c r="AC479" s="2" t="s">
        <v>143</v>
      </c>
      <c r="AD479" s="4">
        <v>320</v>
      </c>
      <c r="AE479" s="4">
        <v>780</v>
      </c>
      <c r="AF479" s="6">
        <v>69</v>
      </c>
      <c r="AG479" s="6"/>
      <c r="AH479" s="7">
        <v>0</v>
      </c>
      <c r="AI479" s="4"/>
      <c r="AJ479" s="4">
        <f>=ROUNDDOWN({0},0)</f>
      </c>
      <c r="AK479" s="5"/>
      <c r="AL479" s="2" t="s">
        <v>206</v>
      </c>
      <c r="AM479" s="4"/>
      <c r="AN479" s="4"/>
      <c r="AO479" s="7"/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206</v>
      </c>
      <c r="BD479" s="8" t="s">
        <v>206</v>
      </c>
      <c r="BE479" s="4" t="s">
        <v>206</v>
      </c>
      <c r="BF479" s="8" t="s">
        <v>206</v>
      </c>
      <c r="BG479" s="7" t="s">
        <v>206</v>
      </c>
      <c r="BH479" s="7" t="s">
        <v>206</v>
      </c>
      <c r="BI479" s="7"/>
      <c r="BJ479" s="4">
        <v>4</v>
      </c>
      <c r="BK479" s="8">
        <v>192</v>
      </c>
      <c r="BL479" s="2" t="s">
        <v>3227</v>
      </c>
      <c r="BM479" s="7"/>
      <c r="BN479" s="7"/>
      <c r="BO479" s="4"/>
      <c r="BP479" s="8"/>
      <c r="BQ479" s="4"/>
      <c r="BR479" s="8"/>
      <c r="BS479" s="7"/>
      <c r="BT479" s="7"/>
      <c r="BU479" s="2" t="s">
        <v>3228</v>
      </c>
      <c r="BV479" s="2" t="s">
        <v>206</v>
      </c>
      <c r="BW479" s="2" t="s">
        <v>206</v>
      </c>
      <c r="BX479" s="2" t="s">
        <v>214</v>
      </c>
      <c r="BY479" s="2" t="s">
        <v>215</v>
      </c>
      <c r="BZ479" s="2" t="s">
        <v>203</v>
      </c>
      <c r="CA479" s="2" t="s">
        <v>3229</v>
      </c>
      <c r="CB479" s="2" t="s">
        <v>1427</v>
      </c>
      <c r="CC479" s="2" t="s">
        <v>218</v>
      </c>
      <c r="CD479" s="2" t="s">
        <v>206</v>
      </c>
      <c r="CE479" s="4">
        <v>1</v>
      </c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>
        <v>320</v>
      </c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>
        <v>230</v>
      </c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  <c r="FG479" s="4"/>
      <c r="FH479" s="4"/>
      <c r="FI479" s="4"/>
      <c r="FJ479" s="4"/>
      <c r="FK479" s="4"/>
      <c r="FL479" s="4"/>
      <c r="FM479" s="4"/>
      <c r="FN479" s="4"/>
      <c r="FO479" s="4"/>
      <c r="FP479" s="4"/>
      <c r="FQ479" s="4"/>
      <c r="FR479" s="4">
        <v>230</v>
      </c>
      <c r="FS479" s="4"/>
      <c r="FT479" s="4"/>
      <c r="FU479" s="4"/>
      <c r="FV479" s="4"/>
      <c r="FW479" s="4"/>
      <c r="FX479" s="4"/>
      <c r="FY479" s="4"/>
      <c r="FZ479" s="4"/>
      <c r="GA479" s="4"/>
      <c r="GB479" s="4"/>
      <c r="GC479" s="4"/>
      <c r="GD479" s="4"/>
      <c r="GE479" s="4"/>
      <c r="GF479" s="4"/>
    </row>
    <row r="480">
      <c r="A480" s="2" t="s">
        <v>3230</v>
      </c>
      <c r="B480" s="2" t="s">
        <v>546</v>
      </c>
      <c r="C480" s="2" t="s">
        <v>1145</v>
      </c>
      <c r="D480" s="2" t="s">
        <v>1612</v>
      </c>
      <c r="E480" s="2" t="s">
        <v>3231</v>
      </c>
      <c r="F480" s="2" t="s">
        <v>3232</v>
      </c>
      <c r="G480" s="2" t="s">
        <v>3233</v>
      </c>
      <c r="H480" s="2" t="s">
        <v>3234</v>
      </c>
      <c r="I480" s="2" t="s">
        <v>3235</v>
      </c>
      <c r="J480" s="2" t="s">
        <v>821</v>
      </c>
      <c r="K480" s="2" t="s">
        <v>1915</v>
      </c>
      <c r="L480" s="3">
        <v>35.2</v>
      </c>
      <c r="M480" s="3">
        <v>36.96</v>
      </c>
      <c r="N480" s="3">
        <v>79.99</v>
      </c>
      <c r="O480" s="2" t="s">
        <v>203</v>
      </c>
      <c r="P480" s="2" t="s">
        <v>204</v>
      </c>
      <c r="Q480" s="2" t="s">
        <v>205</v>
      </c>
      <c r="R480" s="2" t="s">
        <v>206</v>
      </c>
      <c r="S480" s="2" t="s">
        <v>3236</v>
      </c>
      <c r="T480" s="2" t="s">
        <v>292</v>
      </c>
      <c r="U480" s="2" t="s">
        <v>235</v>
      </c>
      <c r="V480" s="2" t="s">
        <v>2977</v>
      </c>
      <c r="W480" s="2" t="s">
        <v>210</v>
      </c>
      <c r="X480" s="2" t="s">
        <v>3237</v>
      </c>
      <c r="Y480" s="2" t="s">
        <v>211</v>
      </c>
      <c r="Z480" s="4">
        <v>358</v>
      </c>
      <c r="AA480" s="4">
        <f>=ROUNDDOWN(108.484848484848,0)</f>
      </c>
      <c r="AB480" s="5">
        <v>3.3</v>
      </c>
      <c r="AC480" s="2" t="s">
        <v>206</v>
      </c>
      <c r="AD480" s="4"/>
      <c r="AE480" s="4"/>
      <c r="AF480" s="6">
        <v>65</v>
      </c>
      <c r="AG480" s="6">
        <v>73</v>
      </c>
      <c r="AH480" s="7">
        <v>1</v>
      </c>
      <c r="AI480" s="4"/>
      <c r="AJ480" s="4">
        <f>=ROUNDDOWN({0},0)</f>
      </c>
      <c r="AK480" s="5"/>
      <c r="AL480" s="2" t="s">
        <v>206</v>
      </c>
      <c r="AM480" s="4"/>
      <c r="AN480" s="4"/>
      <c r="AO480" s="7"/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/>
      <c r="BD480" s="8"/>
      <c r="BE480" s="4"/>
      <c r="BF480" s="8"/>
      <c r="BG480" s="7"/>
      <c r="BH480" s="7"/>
      <c r="BI480" s="7"/>
      <c r="BJ480" s="4">
        <v>18</v>
      </c>
      <c r="BK480" s="8">
        <v>674.89</v>
      </c>
      <c r="BL480" s="2" t="s">
        <v>3238</v>
      </c>
      <c r="BM480" s="7"/>
      <c r="BN480" s="7"/>
      <c r="BO480" s="4"/>
      <c r="BP480" s="8"/>
      <c r="BQ480" s="4"/>
      <c r="BR480" s="8"/>
      <c r="BS480" s="7"/>
      <c r="BT480" s="7"/>
      <c r="BU480" s="2" t="s">
        <v>3239</v>
      </c>
      <c r="BV480" s="2" t="s">
        <v>206</v>
      </c>
      <c r="BW480" s="2" t="s">
        <v>206</v>
      </c>
      <c r="BX480" s="2" t="s">
        <v>214</v>
      </c>
      <c r="BY480" s="2" t="s">
        <v>215</v>
      </c>
      <c r="BZ480" s="2" t="s">
        <v>203</v>
      </c>
      <c r="CA480" s="2" t="s">
        <v>3240</v>
      </c>
      <c r="CB480" s="2" t="s">
        <v>1088</v>
      </c>
      <c r="CC480" s="2" t="s">
        <v>218</v>
      </c>
      <c r="CD480" s="2" t="s">
        <v>206</v>
      </c>
      <c r="CE480" s="4">
        <v>282</v>
      </c>
      <c r="CF480" s="4"/>
      <c r="CG480" s="4"/>
      <c r="CH480" s="4">
        <v>76</v>
      </c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/>
      <c r="FH480" s="4"/>
      <c r="FI480" s="4"/>
      <c r="FJ480" s="4"/>
      <c r="FK480" s="4"/>
      <c r="FL480" s="4"/>
      <c r="FM480" s="4"/>
      <c r="FN480" s="4"/>
      <c r="FO480" s="4"/>
      <c r="FP480" s="4"/>
      <c r="FQ480" s="4"/>
      <c r="FR480" s="4"/>
      <c r="FS480" s="4"/>
      <c r="FT480" s="4"/>
      <c r="FU480" s="4"/>
      <c r="FV480" s="4"/>
      <c r="FW480" s="4"/>
      <c r="FX480" s="4"/>
      <c r="FY480" s="4"/>
      <c r="FZ480" s="4"/>
      <c r="GA480" s="4"/>
      <c r="GB480" s="4"/>
      <c r="GC480" s="4"/>
      <c r="GD480" s="4"/>
      <c r="GE480" s="4"/>
      <c r="GF480" s="4"/>
    </row>
    <row r="481">
      <c r="A481" s="2" t="s">
        <v>3241</v>
      </c>
      <c r="B481" s="2" t="s">
        <v>461</v>
      </c>
      <c r="C481" s="2" t="s">
        <v>287</v>
      </c>
      <c r="D481" s="2" t="s">
        <v>882</v>
      </c>
      <c r="E481" s="2" t="s">
        <v>3242</v>
      </c>
      <c r="F481" s="2" t="s">
        <v>3243</v>
      </c>
      <c r="G481" s="2" t="s">
        <v>3244</v>
      </c>
      <c r="H481" s="2" t="s">
        <v>3245</v>
      </c>
      <c r="I481" s="2" t="s">
        <v>3246</v>
      </c>
      <c r="J481" s="2" t="s">
        <v>434</v>
      </c>
      <c r="K481" s="2" t="s">
        <v>3247</v>
      </c>
      <c r="L481" s="3">
        <v>261.25</v>
      </c>
      <c r="M481" s="3">
        <v>274.31</v>
      </c>
      <c r="N481" s="3">
        <v>549</v>
      </c>
      <c r="O481" s="2" t="s">
        <v>203</v>
      </c>
      <c r="P481" s="2" t="s">
        <v>467</v>
      </c>
      <c r="Q481" s="2" t="s">
        <v>205</v>
      </c>
      <c r="R481" s="2" t="s">
        <v>206</v>
      </c>
      <c r="S481" s="2" t="s">
        <v>3248</v>
      </c>
      <c r="T481" s="2" t="s">
        <v>206</v>
      </c>
      <c r="U481" s="2" t="s">
        <v>206</v>
      </c>
      <c r="V481" s="2" t="s">
        <v>209</v>
      </c>
      <c r="W481" s="2" t="s">
        <v>539</v>
      </c>
      <c r="X481" s="2" t="s">
        <v>206</v>
      </c>
      <c r="Y481" s="2" t="s">
        <v>3249</v>
      </c>
      <c r="Z481" s="4">
        <v>147</v>
      </c>
      <c r="AA481" s="4">
        <f>=ROUNDDOWN(29.4,0)</f>
      </c>
      <c r="AB481" s="5">
        <v>5</v>
      </c>
      <c r="AC481" s="2" t="s">
        <v>2250</v>
      </c>
      <c r="AD481" s="4">
        <v>100</v>
      </c>
      <c r="AE481" s="4">
        <v>100</v>
      </c>
      <c r="AF481" s="6">
        <v>69</v>
      </c>
      <c r="AG481" s="6">
        <v>52</v>
      </c>
      <c r="AH481" s="7">
        <v>1</v>
      </c>
      <c r="AI481" s="4"/>
      <c r="AJ481" s="4">
        <f>=ROUNDDOWN({0},0)</f>
      </c>
      <c r="AK481" s="5"/>
      <c r="AL481" s="2" t="s">
        <v>206</v>
      </c>
      <c r="AM481" s="4"/>
      <c r="AN481" s="4"/>
      <c r="AO481" s="7"/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/>
      <c r="BD481" s="8"/>
      <c r="BE481" s="4"/>
      <c r="BF481" s="8"/>
      <c r="BG481" s="7"/>
      <c r="BH481" s="7"/>
      <c r="BI481" s="7"/>
      <c r="BJ481" s="4">
        <v>30</v>
      </c>
      <c r="BK481" s="8">
        <v>7023.33</v>
      </c>
      <c r="BL481" s="2" t="s">
        <v>3250</v>
      </c>
      <c r="BM481" s="7"/>
      <c r="BN481" s="7"/>
      <c r="BO481" s="4"/>
      <c r="BP481" s="8"/>
      <c r="BQ481" s="4"/>
      <c r="BR481" s="8"/>
      <c r="BS481" s="7"/>
      <c r="BT481" s="7"/>
      <c r="BU481" s="2" t="s">
        <v>3251</v>
      </c>
      <c r="BV481" s="2" t="s">
        <v>206</v>
      </c>
      <c r="BW481" s="2" t="s">
        <v>206</v>
      </c>
      <c r="BX481" s="2" t="s">
        <v>214</v>
      </c>
      <c r="BY481" s="2" t="s">
        <v>215</v>
      </c>
      <c r="BZ481" s="2" t="s">
        <v>203</v>
      </c>
      <c r="CA481" s="2" t="s">
        <v>3252</v>
      </c>
      <c r="CB481" s="2" t="s">
        <v>2287</v>
      </c>
      <c r="CC481" s="2" t="s">
        <v>218</v>
      </c>
      <c r="CD481" s="2" t="s">
        <v>206</v>
      </c>
      <c r="CE481" s="4"/>
      <c r="CF481" s="4">
        <v>146</v>
      </c>
      <c r="CG481" s="4"/>
      <c r="CH481" s="4">
        <v>1</v>
      </c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/>
      <c r="FH481" s="4"/>
      <c r="FI481" s="4"/>
      <c r="FJ481" s="4"/>
      <c r="FK481" s="4"/>
      <c r="FL481" s="4"/>
      <c r="FM481" s="4">
        <v>100</v>
      </c>
      <c r="FN481" s="4"/>
      <c r="FO481" s="4"/>
      <c r="FP481" s="4"/>
      <c r="FQ481" s="4"/>
      <c r="FR481" s="4"/>
      <c r="FS481" s="4"/>
      <c r="FT481" s="4"/>
      <c r="FU481" s="4"/>
      <c r="FV481" s="4"/>
      <c r="FW481" s="4"/>
      <c r="FX481" s="4"/>
      <c r="FY481" s="4"/>
      <c r="FZ481" s="4"/>
      <c r="GA481" s="4"/>
      <c r="GB481" s="4"/>
      <c r="GC481" s="4"/>
      <c r="GD481" s="4"/>
      <c r="GE481" s="4"/>
      <c r="GF481" s="4"/>
    </row>
    <row r="482">
      <c r="A482" s="2" t="s">
        <v>3253</v>
      </c>
      <c r="B482" s="2" t="s">
        <v>613</v>
      </c>
      <c r="C482" s="2" t="s">
        <v>1044</v>
      </c>
      <c r="D482" s="2" t="s">
        <v>628</v>
      </c>
      <c r="E482" s="2" t="s">
        <v>629</v>
      </c>
      <c r="F482" s="2" t="s">
        <v>3254</v>
      </c>
      <c r="G482" s="2" t="s">
        <v>792</v>
      </c>
      <c r="H482" s="2" t="s">
        <v>3255</v>
      </c>
      <c r="I482" s="2" t="s">
        <v>3256</v>
      </c>
      <c r="J482" s="2" t="s">
        <v>731</v>
      </c>
      <c r="K482" s="2" t="s">
        <v>583</v>
      </c>
      <c r="L482" s="3">
        <v>18</v>
      </c>
      <c r="M482" s="3">
        <v>18.9</v>
      </c>
      <c r="N482" s="3">
        <v>39.99</v>
      </c>
      <c r="O482" s="2" t="s">
        <v>203</v>
      </c>
      <c r="P482" s="2" t="s">
        <v>204</v>
      </c>
      <c r="Q482" s="2" t="s">
        <v>205</v>
      </c>
      <c r="R482" s="2" t="s">
        <v>206</v>
      </c>
      <c r="S482" s="2" t="s">
        <v>3257</v>
      </c>
      <c r="T482" s="2" t="s">
        <v>206</v>
      </c>
      <c r="U482" s="2" t="s">
        <v>206</v>
      </c>
      <c r="V482" s="2" t="s">
        <v>245</v>
      </c>
      <c r="W482" s="2" t="s">
        <v>210</v>
      </c>
      <c r="X482" s="2" t="s">
        <v>1164</v>
      </c>
      <c r="Y482" s="2" t="s">
        <v>3258</v>
      </c>
      <c r="Z482" s="4">
        <v>173</v>
      </c>
      <c r="AA482" s="4">
        <f>=ROUNDDOWN(15.7272727272727,0)</f>
      </c>
      <c r="AB482" s="5">
        <v>11</v>
      </c>
      <c r="AC482" s="2" t="s">
        <v>125</v>
      </c>
      <c r="AD482" s="4">
        <v>148</v>
      </c>
      <c r="AE482" s="4">
        <v>320</v>
      </c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206</v>
      </c>
      <c r="AM482" s="4"/>
      <c r="AN482" s="4"/>
      <c r="AO482" s="7"/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/>
      <c r="BD482" s="8"/>
      <c r="BE482" s="4"/>
      <c r="BF482" s="8"/>
      <c r="BG482" s="7"/>
      <c r="BH482" s="7"/>
      <c r="BI482" s="7"/>
      <c r="BJ482" s="4">
        <v>26</v>
      </c>
      <c r="BK482" s="8">
        <v>688.58</v>
      </c>
      <c r="BL482" s="2" t="s">
        <v>2374</v>
      </c>
      <c r="BM482" s="7"/>
      <c r="BN482" s="7"/>
      <c r="BO482" s="4"/>
      <c r="BP482" s="8"/>
      <c r="BQ482" s="4"/>
      <c r="BR482" s="8"/>
      <c r="BS482" s="7"/>
      <c r="BT482" s="7"/>
      <c r="BU482" s="2" t="s">
        <v>3259</v>
      </c>
      <c r="BV482" s="2" t="s">
        <v>206</v>
      </c>
      <c r="BW482" s="2" t="s">
        <v>206</v>
      </c>
      <c r="BX482" s="2" t="s">
        <v>214</v>
      </c>
      <c r="BY482" s="2" t="s">
        <v>215</v>
      </c>
      <c r="BZ482" s="2" t="s">
        <v>203</v>
      </c>
      <c r="CA482" s="2" t="s">
        <v>3260</v>
      </c>
      <c r="CB482" s="2" t="s">
        <v>3261</v>
      </c>
      <c r="CC482" s="2" t="s">
        <v>218</v>
      </c>
      <c r="CD482" s="2" t="s">
        <v>206</v>
      </c>
      <c r="CE482" s="4">
        <v>173</v>
      </c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>
        <v>148</v>
      </c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  <c r="FS482" s="4"/>
      <c r="FT482" s="4"/>
      <c r="FU482" s="4">
        <v>172</v>
      </c>
      <c r="FV482" s="4"/>
      <c r="FW482" s="4"/>
      <c r="FX482" s="4"/>
      <c r="FY482" s="4"/>
      <c r="FZ482" s="4"/>
      <c r="GA482" s="4"/>
      <c r="GB482" s="4"/>
      <c r="GC482" s="4"/>
      <c r="GD482" s="4"/>
      <c r="GE482" s="4"/>
      <c r="GF482" s="4"/>
    </row>
    <row r="483">
      <c r="A483" s="2" t="s">
        <v>3262</v>
      </c>
      <c r="B483" s="2" t="s">
        <v>461</v>
      </c>
      <c r="C483" s="2" t="s">
        <v>287</v>
      </c>
      <c r="D483" s="2" t="s">
        <v>882</v>
      </c>
      <c r="E483" s="2" t="s">
        <v>883</v>
      </c>
      <c r="F483" s="2" t="s">
        <v>3263</v>
      </c>
      <c r="G483" s="2" t="s">
        <v>3264</v>
      </c>
      <c r="H483" s="2" t="s">
        <v>3265</v>
      </c>
      <c r="I483" s="2" t="s">
        <v>887</v>
      </c>
      <c r="J483" s="2" t="s">
        <v>434</v>
      </c>
      <c r="K483" s="2" t="s">
        <v>763</v>
      </c>
      <c r="L483" s="3">
        <v>270.75</v>
      </c>
      <c r="M483" s="3">
        <v>284.29</v>
      </c>
      <c r="N483" s="3">
        <v>569</v>
      </c>
      <c r="O483" s="2" t="s">
        <v>203</v>
      </c>
      <c r="P483" s="2" t="s">
        <v>204</v>
      </c>
      <c r="Q483" s="2" t="s">
        <v>205</v>
      </c>
      <c r="R483" s="2" t="s">
        <v>206</v>
      </c>
      <c r="S483" s="2" t="s">
        <v>206</v>
      </c>
      <c r="T483" s="2" t="s">
        <v>206</v>
      </c>
      <c r="U483" s="2" t="s">
        <v>437</v>
      </c>
      <c r="V483" s="2" t="s">
        <v>209</v>
      </c>
      <c r="W483" s="2" t="s">
        <v>539</v>
      </c>
      <c r="X483" s="2" t="s">
        <v>206</v>
      </c>
      <c r="Y483" s="2" t="s">
        <v>3266</v>
      </c>
      <c r="Z483" s="4">
        <v>108</v>
      </c>
      <c r="AA483" s="4">
        <f>=ROUNDDOWN(27,0)</f>
      </c>
      <c r="AB483" s="5">
        <v>4</v>
      </c>
      <c r="AC483" s="2" t="s">
        <v>206</v>
      </c>
      <c r="AD483" s="4"/>
      <c r="AE483" s="4"/>
      <c r="AF483" s="6">
        <v>69</v>
      </c>
      <c r="AG483" s="6"/>
      <c r="AH483" s="7">
        <v>1</v>
      </c>
      <c r="AI483" s="4"/>
      <c r="AJ483" s="4">
        <f>=ROUNDDOWN({0},0)</f>
      </c>
      <c r="AK483" s="5"/>
      <c r="AL483" s="2" t="s">
        <v>206</v>
      </c>
      <c r="AM483" s="4"/>
      <c r="AN483" s="4"/>
      <c r="AO483" s="7"/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/>
      <c r="BD483" s="8"/>
      <c r="BE483" s="4"/>
      <c r="BF483" s="8"/>
      <c r="BG483" s="7"/>
      <c r="BH483" s="7"/>
      <c r="BI483" s="7"/>
      <c r="BJ483" s="4">
        <v>28</v>
      </c>
      <c r="BK483" s="8">
        <v>7011.24</v>
      </c>
      <c r="BL483" s="2" t="s">
        <v>3267</v>
      </c>
      <c r="BM483" s="7"/>
      <c r="BN483" s="7"/>
      <c r="BO483" s="4"/>
      <c r="BP483" s="8"/>
      <c r="BQ483" s="4"/>
      <c r="BR483" s="8"/>
      <c r="BS483" s="7"/>
      <c r="BT483" s="7"/>
      <c r="BU483" s="2" t="s">
        <v>3268</v>
      </c>
      <c r="BV483" s="2" t="s">
        <v>206</v>
      </c>
      <c r="BW483" s="2" t="s">
        <v>206</v>
      </c>
      <c r="BX483" s="2" t="s">
        <v>214</v>
      </c>
      <c r="BY483" s="2" t="s">
        <v>215</v>
      </c>
      <c r="BZ483" s="2" t="s">
        <v>203</v>
      </c>
      <c r="CA483" s="2" t="s">
        <v>3269</v>
      </c>
      <c r="CB483" s="2" t="s">
        <v>3270</v>
      </c>
      <c r="CC483" s="2" t="s">
        <v>218</v>
      </c>
      <c r="CD483" s="2" t="s">
        <v>206</v>
      </c>
      <c r="CE483" s="4"/>
      <c r="CF483" s="4">
        <v>108</v>
      </c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  <c r="FG483" s="4"/>
      <c r="FH483" s="4"/>
      <c r="FI483" s="4"/>
      <c r="FJ483" s="4"/>
      <c r="FK483" s="4"/>
      <c r="FL483" s="4"/>
      <c r="FM483" s="4"/>
      <c r="FN483" s="4"/>
      <c r="FO483" s="4"/>
      <c r="FP483" s="4"/>
      <c r="FQ483" s="4"/>
      <c r="FR483" s="4"/>
      <c r="FS483" s="4"/>
      <c r="FT483" s="4"/>
      <c r="FU483" s="4"/>
      <c r="FV483" s="4"/>
      <c r="FW483" s="4"/>
      <c r="FX483" s="4"/>
      <c r="FY483" s="4"/>
      <c r="FZ483" s="4"/>
      <c r="GA483" s="4"/>
      <c r="GB483" s="4"/>
      <c r="GC483" s="4"/>
      <c r="GD483" s="4"/>
      <c r="GE483" s="4"/>
      <c r="GF483" s="4"/>
    </row>
    <row r="484">
      <c r="A484" s="2" t="s">
        <v>3271</v>
      </c>
      <c r="B484" s="2" t="s">
        <v>461</v>
      </c>
      <c r="C484" s="2" t="s">
        <v>287</v>
      </c>
      <c r="D484" s="2" t="s">
        <v>882</v>
      </c>
      <c r="E484" s="2" t="s">
        <v>1196</v>
      </c>
      <c r="F484" s="2" t="s">
        <v>3272</v>
      </c>
      <c r="G484" s="2" t="s">
        <v>3273</v>
      </c>
      <c r="H484" s="2" t="s">
        <v>3274</v>
      </c>
      <c r="I484" s="2" t="s">
        <v>1198</v>
      </c>
      <c r="J484" s="2" t="s">
        <v>434</v>
      </c>
      <c r="K484" s="2" t="s">
        <v>709</v>
      </c>
      <c r="L484" s="3">
        <v>216.6</v>
      </c>
      <c r="M484" s="3">
        <v>227.43</v>
      </c>
      <c r="N484" s="3">
        <v>449</v>
      </c>
      <c r="O484" s="2" t="s">
        <v>203</v>
      </c>
      <c r="P484" s="2" t="s">
        <v>467</v>
      </c>
      <c r="Q484" s="2" t="s">
        <v>205</v>
      </c>
      <c r="R484" s="2" t="s">
        <v>206</v>
      </c>
      <c r="S484" s="2" t="s">
        <v>206</v>
      </c>
      <c r="T484" s="2" t="s">
        <v>206</v>
      </c>
      <c r="U484" s="2" t="s">
        <v>206</v>
      </c>
      <c r="V484" s="2" t="s">
        <v>209</v>
      </c>
      <c r="W484" s="2" t="s">
        <v>439</v>
      </c>
      <c r="X484" s="2" t="s">
        <v>914</v>
      </c>
      <c r="Y484" s="2" t="s">
        <v>3275</v>
      </c>
      <c r="Z484" s="4">
        <v>65</v>
      </c>
      <c r="AA484" s="4">
        <f>=ROUNDDOWN(65,0)</f>
      </c>
      <c r="AB484" s="5">
        <v>1</v>
      </c>
      <c r="AC484" s="2" t="s">
        <v>206</v>
      </c>
      <c r="AD484" s="4"/>
      <c r="AE484" s="4"/>
      <c r="AF484" s="6">
        <v>69</v>
      </c>
      <c r="AG484" s="6"/>
      <c r="AH484" s="7">
        <v>1</v>
      </c>
      <c r="AI484" s="4"/>
      <c r="AJ484" s="4">
        <f>=ROUNDDOWN({0},0)</f>
      </c>
      <c r="AK484" s="5"/>
      <c r="AL484" s="2" t="s">
        <v>206</v>
      </c>
      <c r="AM484" s="4"/>
      <c r="AN484" s="4"/>
      <c r="AO484" s="7"/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/>
      <c r="BD484" s="8"/>
      <c r="BE484" s="4"/>
      <c r="BF484" s="8"/>
      <c r="BG484" s="7"/>
      <c r="BH484" s="7"/>
      <c r="BI484" s="7"/>
      <c r="BJ484" s="4">
        <v>7</v>
      </c>
      <c r="BK484" s="8">
        <v>1617.56</v>
      </c>
      <c r="BL484" s="2" t="s">
        <v>3276</v>
      </c>
      <c r="BM484" s="7"/>
      <c r="BN484" s="7"/>
      <c r="BO484" s="4"/>
      <c r="BP484" s="8"/>
      <c r="BQ484" s="4"/>
      <c r="BR484" s="8"/>
      <c r="BS484" s="7"/>
      <c r="BT484" s="7"/>
      <c r="BU484" s="2" t="s">
        <v>3277</v>
      </c>
      <c r="BV484" s="2" t="s">
        <v>206</v>
      </c>
      <c r="BW484" s="2" t="s">
        <v>206</v>
      </c>
      <c r="BX484" s="2" t="s">
        <v>214</v>
      </c>
      <c r="BY484" s="2" t="s">
        <v>215</v>
      </c>
      <c r="BZ484" s="2" t="s">
        <v>203</v>
      </c>
      <c r="CA484" s="2" t="s">
        <v>3275</v>
      </c>
      <c r="CB484" s="2" t="s">
        <v>3278</v>
      </c>
      <c r="CC484" s="2" t="s">
        <v>218</v>
      </c>
      <c r="CD484" s="2" t="s">
        <v>206</v>
      </c>
      <c r="CE484" s="4"/>
      <c r="CF484" s="4">
        <v>65</v>
      </c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  <c r="FE484" s="4"/>
      <c r="FF484" s="4"/>
      <c r="FG484" s="4"/>
      <c r="FH484" s="4"/>
      <c r="FI484" s="4"/>
      <c r="FJ484" s="4"/>
      <c r="FK484" s="4"/>
      <c r="FL484" s="4"/>
      <c r="FM484" s="4"/>
      <c r="FN484" s="4"/>
      <c r="FO484" s="4"/>
      <c r="FP484" s="4"/>
      <c r="FQ484" s="4"/>
      <c r="FR484" s="4"/>
      <c r="FS484" s="4"/>
      <c r="FT484" s="4"/>
      <c r="FU484" s="4"/>
      <c r="FV484" s="4"/>
      <c r="FW484" s="4"/>
      <c r="FX484" s="4"/>
      <c r="FY484" s="4"/>
      <c r="FZ484" s="4"/>
      <c r="GA484" s="4"/>
      <c r="GB484" s="4"/>
      <c r="GC484" s="4"/>
      <c r="GD484" s="4"/>
      <c r="GE484" s="4"/>
      <c r="GF484" s="4"/>
    </row>
    <row r="485">
      <c r="A485" s="2" t="s">
        <v>3279</v>
      </c>
      <c r="B485" s="2" t="s">
        <v>528</v>
      </c>
      <c r="C485" s="2" t="s">
        <v>287</v>
      </c>
      <c r="D485" s="2" t="s">
        <v>1612</v>
      </c>
      <c r="E485" s="2" t="s">
        <v>3280</v>
      </c>
      <c r="F485" s="2" t="s">
        <v>3281</v>
      </c>
      <c r="G485" s="2" t="s">
        <v>3282</v>
      </c>
      <c r="H485" s="2" t="s">
        <v>3283</v>
      </c>
      <c r="I485" s="2" t="s">
        <v>3284</v>
      </c>
      <c r="J485" s="2" t="s">
        <v>821</v>
      </c>
      <c r="K485" s="2" t="s">
        <v>1497</v>
      </c>
      <c r="L485" s="3">
        <v>28.34</v>
      </c>
      <c r="M485" s="3">
        <v>29.76</v>
      </c>
      <c r="N485" s="3">
        <v>54.99</v>
      </c>
      <c r="O485" s="2" t="s">
        <v>203</v>
      </c>
      <c r="P485" s="2" t="s">
        <v>204</v>
      </c>
      <c r="Q485" s="2" t="s">
        <v>205</v>
      </c>
      <c r="R485" s="2" t="s">
        <v>206</v>
      </c>
      <c r="S485" s="2" t="s">
        <v>3285</v>
      </c>
      <c r="T485" s="2" t="s">
        <v>206</v>
      </c>
      <c r="U485" s="2" t="s">
        <v>900</v>
      </c>
      <c r="V485" s="2" t="s">
        <v>209</v>
      </c>
      <c r="W485" s="2" t="s">
        <v>439</v>
      </c>
      <c r="X485" s="2" t="s">
        <v>206</v>
      </c>
      <c r="Y485" s="2" t="s">
        <v>211</v>
      </c>
      <c r="Z485" s="4">
        <v>173</v>
      </c>
      <c r="AA485" s="4">
        <f>=ROUNDDOWN(21.625,0)</f>
      </c>
      <c r="AB485" s="5">
        <v>8</v>
      </c>
      <c r="AC485" s="2" t="s">
        <v>114</v>
      </c>
      <c r="AD485" s="4">
        <v>50</v>
      </c>
      <c r="AE485" s="4">
        <v>220</v>
      </c>
      <c r="AF485" s="6">
        <v>65</v>
      </c>
      <c r="AG485" s="6">
        <v>48</v>
      </c>
      <c r="AH485" s="7">
        <v>1</v>
      </c>
      <c r="AI485" s="4"/>
      <c r="AJ485" s="4">
        <f>=ROUNDDOWN({0},0)</f>
      </c>
      <c r="AK485" s="5"/>
      <c r="AL485" s="2" t="s">
        <v>206</v>
      </c>
      <c r="AM485" s="4"/>
      <c r="AN485" s="4"/>
      <c r="AO485" s="7"/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/>
      <c r="BD485" s="8"/>
      <c r="BE485" s="4"/>
      <c r="BF485" s="8"/>
      <c r="BG485" s="7"/>
      <c r="BH485" s="7"/>
      <c r="BI485" s="7"/>
      <c r="BJ485" s="4">
        <v>9</v>
      </c>
      <c r="BK485" s="8">
        <v>205.47</v>
      </c>
      <c r="BL485" s="2" t="s">
        <v>3286</v>
      </c>
      <c r="BM485" s="7"/>
      <c r="BN485" s="7"/>
      <c r="BO485" s="4"/>
      <c r="BP485" s="8"/>
      <c r="BQ485" s="4"/>
      <c r="BR485" s="8"/>
      <c r="BS485" s="7"/>
      <c r="BT485" s="7"/>
      <c r="BU485" s="2" t="s">
        <v>3287</v>
      </c>
      <c r="BV485" s="2" t="s">
        <v>206</v>
      </c>
      <c r="BW485" s="2" t="s">
        <v>206</v>
      </c>
      <c r="BX485" s="2" t="s">
        <v>426</v>
      </c>
      <c r="BY485" s="2" t="s">
        <v>215</v>
      </c>
      <c r="BZ485" s="2" t="s">
        <v>203</v>
      </c>
      <c r="CA485" s="2" t="s">
        <v>216</v>
      </c>
      <c r="CB485" s="2" t="s">
        <v>747</v>
      </c>
      <c r="CC485" s="2" t="s">
        <v>218</v>
      </c>
      <c r="CD485" s="2" t="s">
        <v>206</v>
      </c>
      <c r="CE485" s="4">
        <v>9</v>
      </c>
      <c r="CF485" s="4"/>
      <c r="CG485" s="4"/>
      <c r="CH485" s="4">
        <v>74</v>
      </c>
      <c r="CI485" s="4"/>
      <c r="CJ485" s="4"/>
      <c r="CK485" s="4"/>
      <c r="CL485" s="4">
        <v>90</v>
      </c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>
        <v>50</v>
      </c>
      <c r="DC485" s="4"/>
      <c r="DD485" s="4"/>
      <c r="DE485" s="4"/>
      <c r="DF485" s="4"/>
      <c r="DG485" s="4"/>
      <c r="DH485" s="4">
        <v>170</v>
      </c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  <c r="FE485" s="4"/>
      <c r="FF485" s="4"/>
      <c r="FG485" s="4"/>
      <c r="FH485" s="4"/>
      <c r="FI485" s="4"/>
      <c r="FJ485" s="4"/>
      <c r="FK485" s="4"/>
      <c r="FL485" s="4"/>
      <c r="FM485" s="4"/>
      <c r="FN485" s="4"/>
      <c r="FO485" s="4"/>
      <c r="FP485" s="4"/>
      <c r="FQ485" s="4"/>
      <c r="FR485" s="4"/>
      <c r="FS485" s="4"/>
      <c r="FT485" s="4"/>
      <c r="FU485" s="4"/>
      <c r="FV485" s="4"/>
      <c r="FW485" s="4"/>
      <c r="FX485" s="4"/>
      <c r="FY485" s="4"/>
      <c r="FZ485" s="4"/>
      <c r="GA485" s="4"/>
      <c r="GB485" s="4"/>
      <c r="GC485" s="4"/>
      <c r="GD485" s="4"/>
      <c r="GE485" s="4"/>
      <c r="GF485" s="4"/>
    </row>
    <row r="486">
      <c r="A486" s="2" t="s">
        <v>3288</v>
      </c>
      <c r="B486" s="2" t="s">
        <v>461</v>
      </c>
      <c r="C486" s="2" t="s">
        <v>462</v>
      </c>
      <c r="D486" s="2" t="s">
        <v>1072</v>
      </c>
      <c r="E486" s="2" t="s">
        <v>1073</v>
      </c>
      <c r="F486" s="2" t="s">
        <v>552</v>
      </c>
      <c r="G486" s="2" t="s">
        <v>552</v>
      </c>
      <c r="H486" s="2" t="s">
        <v>552</v>
      </c>
      <c r="I486" s="2" t="s">
        <v>3289</v>
      </c>
      <c r="J486" s="2" t="s">
        <v>434</v>
      </c>
      <c r="K486" s="2" t="s">
        <v>696</v>
      </c>
      <c r="L486" s="3">
        <v>203</v>
      </c>
      <c r="M486" s="3">
        <v>213.15</v>
      </c>
      <c r="N486" s="3">
        <v>429</v>
      </c>
      <c r="O486" s="2" t="s">
        <v>203</v>
      </c>
      <c r="P486" s="2" t="s">
        <v>204</v>
      </c>
      <c r="Q486" s="2" t="s">
        <v>205</v>
      </c>
      <c r="R486" s="2" t="s">
        <v>206</v>
      </c>
      <c r="S486" s="2" t="s">
        <v>206</v>
      </c>
      <c r="T486" s="2" t="s">
        <v>206</v>
      </c>
      <c r="U486" s="2" t="s">
        <v>900</v>
      </c>
      <c r="V486" s="2" t="s">
        <v>468</v>
      </c>
      <c r="W486" s="2" t="s">
        <v>210</v>
      </c>
      <c r="X486" s="2" t="s">
        <v>439</v>
      </c>
      <c r="Y486" s="2" t="s">
        <v>3275</v>
      </c>
      <c r="Z486" s="4">
        <v>113</v>
      </c>
      <c r="AA486" s="4">
        <f>=ROUNDDOWN(11.3,0)</f>
      </c>
      <c r="AB486" s="5">
        <v>10</v>
      </c>
      <c r="AC486" s="2" t="s">
        <v>3290</v>
      </c>
      <c r="AD486" s="4">
        <v>100</v>
      </c>
      <c r="AE486" s="4">
        <v>100</v>
      </c>
      <c r="AF486" s="6">
        <v>74</v>
      </c>
      <c r="AG486" s="6"/>
      <c r="AH486" s="7">
        <v>1</v>
      </c>
      <c r="AI486" s="4"/>
      <c r="AJ486" s="4">
        <f>=ROUNDDOWN({0},0)</f>
      </c>
      <c r="AK486" s="5"/>
      <c r="AL486" s="2" t="s">
        <v>206</v>
      </c>
      <c r="AM486" s="4"/>
      <c r="AN486" s="4"/>
      <c r="AO486" s="7"/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/>
      <c r="BD486" s="8"/>
      <c r="BE486" s="4"/>
      <c r="BF486" s="8"/>
      <c r="BG486" s="7"/>
      <c r="BH486" s="7"/>
      <c r="BI486" s="7"/>
      <c r="BJ486" s="4">
        <v>79</v>
      </c>
      <c r="BK486" s="8">
        <v>14005.28</v>
      </c>
      <c r="BL486" s="2" t="s">
        <v>3291</v>
      </c>
      <c r="BM486" s="7"/>
      <c r="BN486" s="7"/>
      <c r="BO486" s="4"/>
      <c r="BP486" s="8"/>
      <c r="BQ486" s="4"/>
      <c r="BR486" s="8"/>
      <c r="BS486" s="7"/>
      <c r="BT486" s="7"/>
      <c r="BU486" s="2" t="s">
        <v>3292</v>
      </c>
      <c r="BV486" s="2" t="s">
        <v>206</v>
      </c>
      <c r="BW486" s="2" t="s">
        <v>206</v>
      </c>
      <c r="BX486" s="2" t="s">
        <v>426</v>
      </c>
      <c r="BY486" s="2" t="s">
        <v>215</v>
      </c>
      <c r="BZ486" s="2" t="s">
        <v>203</v>
      </c>
      <c r="CA486" s="2" t="s">
        <v>3293</v>
      </c>
      <c r="CB486" s="2" t="s">
        <v>543</v>
      </c>
      <c r="CC486" s="2" t="s">
        <v>218</v>
      </c>
      <c r="CD486" s="2" t="s">
        <v>206</v>
      </c>
      <c r="CE486" s="4"/>
      <c r="CF486" s="4">
        <v>112</v>
      </c>
      <c r="CG486" s="4"/>
      <c r="CH486" s="4"/>
      <c r="CI486" s="4"/>
      <c r="CJ486" s="4"/>
      <c r="CK486" s="4"/>
      <c r="CL486" s="4"/>
      <c r="CM486" s="4"/>
      <c r="CN486" s="4"/>
      <c r="CO486" s="4"/>
      <c r="CP486" s="4">
        <v>1</v>
      </c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  <c r="FG486" s="4"/>
      <c r="FH486" s="4"/>
      <c r="FI486" s="4"/>
      <c r="FJ486" s="4"/>
      <c r="FK486" s="4">
        <v>100</v>
      </c>
      <c r="FL486" s="4"/>
      <c r="FM486" s="4"/>
      <c r="FN486" s="4"/>
      <c r="FO486" s="4"/>
      <c r="FP486" s="4"/>
      <c r="FQ486" s="4"/>
      <c r="FR486" s="4"/>
      <c r="FS486" s="4"/>
      <c r="FT486" s="4"/>
      <c r="FU486" s="4"/>
      <c r="FV486" s="4"/>
      <c r="FW486" s="4"/>
      <c r="FX486" s="4"/>
      <c r="FY486" s="4"/>
      <c r="FZ486" s="4"/>
      <c r="GA486" s="4"/>
      <c r="GB486" s="4"/>
      <c r="GC486" s="4"/>
      <c r="GD486" s="4"/>
      <c r="GE486" s="4"/>
      <c r="GF486" s="4"/>
    </row>
    <row r="487">
      <c r="A487" s="2" t="s">
        <v>3294</v>
      </c>
      <c r="B487" s="2" t="s">
        <v>461</v>
      </c>
      <c r="C487" s="2" t="s">
        <v>447</v>
      </c>
      <c r="D487" s="2" t="s">
        <v>3198</v>
      </c>
      <c r="E487" s="2" t="s">
        <v>3199</v>
      </c>
      <c r="F487" s="2" t="s">
        <v>3295</v>
      </c>
      <c r="G487" s="2" t="s">
        <v>3295</v>
      </c>
      <c r="H487" s="2" t="s">
        <v>3295</v>
      </c>
      <c r="I487" s="2" t="s">
        <v>3199</v>
      </c>
      <c r="J487" s="2" t="s">
        <v>434</v>
      </c>
      <c r="K487" s="2" t="s">
        <v>3296</v>
      </c>
      <c r="L487" s="3">
        <v>127</v>
      </c>
      <c r="M487" s="3">
        <v>133.35</v>
      </c>
      <c r="N487" s="3">
        <v>269</v>
      </c>
      <c r="O487" s="2" t="s">
        <v>203</v>
      </c>
      <c r="P487" s="2" t="s">
        <v>204</v>
      </c>
      <c r="Q487" s="2" t="s">
        <v>205</v>
      </c>
      <c r="R487" s="2" t="s">
        <v>206</v>
      </c>
      <c r="S487" s="2" t="s">
        <v>206</v>
      </c>
      <c r="T487" s="2" t="s">
        <v>206</v>
      </c>
      <c r="U487" s="2" t="s">
        <v>437</v>
      </c>
      <c r="V487" s="2" t="s">
        <v>468</v>
      </c>
      <c r="W487" s="2" t="s">
        <v>453</v>
      </c>
      <c r="X487" s="2" t="s">
        <v>2757</v>
      </c>
      <c r="Y487" s="2" t="s">
        <v>3090</v>
      </c>
      <c r="Z487" s="4">
        <v>121</v>
      </c>
      <c r="AA487" s="4">
        <f>=ROUNDDOWN(30.25,0)</f>
      </c>
      <c r="AB487" s="5">
        <v>4</v>
      </c>
      <c r="AC487" s="2" t="s">
        <v>206</v>
      </c>
      <c r="AD487" s="4"/>
      <c r="AE487" s="4"/>
      <c r="AF487" s="6">
        <v>76</v>
      </c>
      <c r="AG487" s="6"/>
      <c r="AH487" s="7">
        <v>0.3871</v>
      </c>
      <c r="AI487" s="4"/>
      <c r="AJ487" s="4">
        <f>=ROUNDDOWN({0},0)</f>
      </c>
      <c r="AK487" s="5"/>
      <c r="AL487" s="2" t="s">
        <v>206</v>
      </c>
      <c r="AM487" s="4"/>
      <c r="AN487" s="4"/>
      <c r="AO487" s="7"/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/>
      <c r="BD487" s="8"/>
      <c r="BE487" s="4"/>
      <c r="BF487" s="8"/>
      <c r="BG487" s="7"/>
      <c r="BH487" s="7"/>
      <c r="BI487" s="7"/>
      <c r="BJ487" s="4">
        <v>31</v>
      </c>
      <c r="BK487" s="8">
        <v>3706.83</v>
      </c>
      <c r="BL487" s="2" t="s">
        <v>3297</v>
      </c>
      <c r="BM487" s="7"/>
      <c r="BN487" s="7"/>
      <c r="BO487" s="4"/>
      <c r="BP487" s="8"/>
      <c r="BQ487" s="4"/>
      <c r="BR487" s="8"/>
      <c r="BS487" s="7"/>
      <c r="BT487" s="7"/>
      <c r="BU487" s="2" t="s">
        <v>3298</v>
      </c>
      <c r="BV487" s="2" t="s">
        <v>206</v>
      </c>
      <c r="BW487" s="2" t="s">
        <v>206</v>
      </c>
      <c r="BX487" s="2" t="s">
        <v>214</v>
      </c>
      <c r="BY487" s="2" t="s">
        <v>215</v>
      </c>
      <c r="BZ487" s="2" t="s">
        <v>203</v>
      </c>
      <c r="CA487" s="2" t="s">
        <v>2589</v>
      </c>
      <c r="CB487" s="2" t="s">
        <v>3299</v>
      </c>
      <c r="CC487" s="2" t="s">
        <v>218</v>
      </c>
      <c r="CD487" s="2" t="s">
        <v>206</v>
      </c>
      <c r="CE487" s="4"/>
      <c r="CF487" s="4">
        <v>1</v>
      </c>
      <c r="CG487" s="4"/>
      <c r="CH487" s="4"/>
      <c r="CI487" s="4"/>
      <c r="CJ487" s="4"/>
      <c r="CK487" s="4"/>
      <c r="CL487" s="4">
        <v>120</v>
      </c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/>
      <c r="FE487" s="4"/>
      <c r="FF487" s="4"/>
      <c r="FG487" s="4"/>
      <c r="FH487" s="4"/>
      <c r="FI487" s="4"/>
      <c r="FJ487" s="4"/>
      <c r="FK487" s="4"/>
      <c r="FL487" s="4"/>
      <c r="FM487" s="4"/>
      <c r="FN487" s="4"/>
      <c r="FO487" s="4"/>
      <c r="FP487" s="4"/>
      <c r="FQ487" s="4"/>
      <c r="FR487" s="4"/>
      <c r="FS487" s="4"/>
      <c r="FT487" s="4"/>
      <c r="FU487" s="4"/>
      <c r="FV487" s="4"/>
      <c r="FW487" s="4"/>
      <c r="FX487" s="4"/>
      <c r="FY487" s="4"/>
      <c r="FZ487" s="4"/>
      <c r="GA487" s="4"/>
      <c r="GB487" s="4"/>
      <c r="GC487" s="4"/>
      <c r="GD487" s="4"/>
      <c r="GE487" s="4"/>
      <c r="GF487" s="4"/>
    </row>
    <row r="488">
      <c r="A488" s="2" t="s">
        <v>3300</v>
      </c>
      <c r="B488" s="2" t="s">
        <v>461</v>
      </c>
      <c r="C488" s="2" t="s">
        <v>287</v>
      </c>
      <c r="D488" s="2" t="s">
        <v>463</v>
      </c>
      <c r="E488" s="2" t="s">
        <v>464</v>
      </c>
      <c r="F488" s="2" t="s">
        <v>3301</v>
      </c>
      <c r="G488" s="2" t="s">
        <v>3302</v>
      </c>
      <c r="H488" s="2" t="s">
        <v>3303</v>
      </c>
      <c r="I488" s="2" t="s">
        <v>3304</v>
      </c>
      <c r="J488" s="2" t="s">
        <v>434</v>
      </c>
      <c r="K488" s="2" t="s">
        <v>262</v>
      </c>
      <c r="L488" s="3">
        <v>171</v>
      </c>
      <c r="M488" s="3">
        <v>179.55</v>
      </c>
      <c r="N488" s="3">
        <v>359</v>
      </c>
      <c r="O488" s="2" t="s">
        <v>203</v>
      </c>
      <c r="P488" s="2" t="s">
        <v>467</v>
      </c>
      <c r="Q488" s="2" t="s">
        <v>205</v>
      </c>
      <c r="R488" s="2" t="s">
        <v>206</v>
      </c>
      <c r="S488" s="2" t="s">
        <v>3305</v>
      </c>
      <c r="T488" s="2" t="s">
        <v>206</v>
      </c>
      <c r="U488" s="2" t="s">
        <v>437</v>
      </c>
      <c r="V488" s="2" t="s">
        <v>209</v>
      </c>
      <c r="W488" s="2" t="s">
        <v>539</v>
      </c>
      <c r="X488" s="2" t="s">
        <v>206</v>
      </c>
      <c r="Y488" s="2" t="s">
        <v>3306</v>
      </c>
      <c r="Z488" s="4">
        <v>191</v>
      </c>
      <c r="AA488" s="4">
        <f>=ROUNDDOWN(63.6666666666667,0)</f>
      </c>
      <c r="AB488" s="5">
        <v>3</v>
      </c>
      <c r="AC488" s="2" t="s">
        <v>206</v>
      </c>
      <c r="AD488" s="4"/>
      <c r="AE488" s="4"/>
      <c r="AF488" s="6">
        <v>69</v>
      </c>
      <c r="AG488" s="6">
        <v>52</v>
      </c>
      <c r="AH488" s="7">
        <v>1</v>
      </c>
      <c r="AI488" s="4"/>
      <c r="AJ488" s="4">
        <f>=ROUNDDOWN({0},0)</f>
      </c>
      <c r="AK488" s="5"/>
      <c r="AL488" s="2" t="s">
        <v>206</v>
      </c>
      <c r="AM488" s="4"/>
      <c r="AN488" s="4"/>
      <c r="AO488" s="7"/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/>
      <c r="BD488" s="8"/>
      <c r="BE488" s="4"/>
      <c r="BF488" s="8"/>
      <c r="BG488" s="7"/>
      <c r="BH488" s="7"/>
      <c r="BI488" s="7"/>
      <c r="BJ488" s="4">
        <v>2</v>
      </c>
      <c r="BK488" s="8">
        <v>193.72</v>
      </c>
      <c r="BL488" s="2" t="s">
        <v>3307</v>
      </c>
      <c r="BM488" s="7"/>
      <c r="BN488" s="7"/>
      <c r="BO488" s="4"/>
      <c r="BP488" s="8"/>
      <c r="BQ488" s="4"/>
      <c r="BR488" s="8"/>
      <c r="BS488" s="7"/>
      <c r="BT488" s="7"/>
      <c r="BU488" s="2" t="s">
        <v>3308</v>
      </c>
      <c r="BV488" s="2" t="s">
        <v>206</v>
      </c>
      <c r="BW488" s="2" t="s">
        <v>206</v>
      </c>
      <c r="BX488" s="2" t="s">
        <v>214</v>
      </c>
      <c r="BY488" s="2" t="s">
        <v>215</v>
      </c>
      <c r="BZ488" s="2" t="s">
        <v>203</v>
      </c>
      <c r="CA488" s="2" t="s">
        <v>1242</v>
      </c>
      <c r="CB488" s="2" t="s">
        <v>1945</v>
      </c>
      <c r="CC488" s="2" t="s">
        <v>218</v>
      </c>
      <c r="CD488" s="2" t="s">
        <v>206</v>
      </c>
      <c r="CE488" s="4"/>
      <c r="CF488" s="4">
        <v>191</v>
      </c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  <c r="FR488" s="4"/>
      <c r="FS488" s="4"/>
      <c r="FT488" s="4"/>
      <c r="FU488" s="4"/>
      <c r="FV488" s="4"/>
      <c r="FW488" s="4"/>
      <c r="FX488" s="4"/>
      <c r="FY488" s="4"/>
      <c r="FZ488" s="4"/>
      <c r="GA488" s="4"/>
      <c r="GB488" s="4"/>
      <c r="GC488" s="4"/>
      <c r="GD488" s="4"/>
      <c r="GE488" s="4"/>
      <c r="GF488" s="4"/>
    </row>
    <row r="489">
      <c r="A489" s="2" t="s">
        <v>3309</v>
      </c>
      <c r="B489" s="2" t="s">
        <v>613</v>
      </c>
      <c r="C489" s="2" t="s">
        <v>287</v>
      </c>
      <c r="D489" s="2" t="s">
        <v>628</v>
      </c>
      <c r="E489" s="2" t="s">
        <v>1802</v>
      </c>
      <c r="F489" s="2" t="s">
        <v>3310</v>
      </c>
      <c r="G489" s="2" t="s">
        <v>3311</v>
      </c>
      <c r="H489" s="2" t="s">
        <v>3312</v>
      </c>
      <c r="I489" s="2" t="s">
        <v>3313</v>
      </c>
      <c r="J489" s="2" t="s">
        <v>1804</v>
      </c>
      <c r="K489" s="2" t="s">
        <v>656</v>
      </c>
      <c r="L489" s="3">
        <v>31.05</v>
      </c>
      <c r="M489" s="3">
        <v>32.6</v>
      </c>
      <c r="N489" s="3">
        <v>66.99</v>
      </c>
      <c r="O489" s="2" t="s">
        <v>203</v>
      </c>
      <c r="P489" s="2" t="s">
        <v>467</v>
      </c>
      <c r="Q489" s="2" t="s">
        <v>205</v>
      </c>
      <c r="R489" s="2" t="s">
        <v>206</v>
      </c>
      <c r="S489" s="2" t="s">
        <v>3314</v>
      </c>
      <c r="T489" s="2" t="s">
        <v>292</v>
      </c>
      <c r="U489" s="2" t="s">
        <v>437</v>
      </c>
      <c r="V489" s="2" t="s">
        <v>209</v>
      </c>
      <c r="W489" s="2" t="s">
        <v>210</v>
      </c>
      <c r="X489" s="2" t="s">
        <v>206</v>
      </c>
      <c r="Y489" s="2" t="s">
        <v>3315</v>
      </c>
      <c r="Z489" s="4">
        <v>159</v>
      </c>
      <c r="AA489" s="4">
        <f>=ROUNDDOWN(22.7142857142857,0)</f>
      </c>
      <c r="AB489" s="5">
        <v>7</v>
      </c>
      <c r="AC489" s="2" t="s">
        <v>3316</v>
      </c>
      <c r="AD489" s="4">
        <v>84</v>
      </c>
      <c r="AE489" s="4">
        <v>186</v>
      </c>
      <c r="AF489" s="6">
        <v>65</v>
      </c>
      <c r="AG489" s="6"/>
      <c r="AH489" s="7">
        <v>0.9355</v>
      </c>
      <c r="AI489" s="4"/>
      <c r="AJ489" s="4">
        <f>=ROUNDDOWN({0},0)</f>
      </c>
      <c r="AK489" s="5"/>
      <c r="AL489" s="2" t="s">
        <v>206</v>
      </c>
      <c r="AM489" s="4"/>
      <c r="AN489" s="4"/>
      <c r="AO489" s="7"/>
      <c r="AP489" s="4"/>
      <c r="AQ489" s="8"/>
      <c r="AR489" s="4"/>
      <c r="AS489" s="8"/>
      <c r="AT489" s="7"/>
      <c r="AU489" s="7"/>
      <c r="AV489" s="4" t="s">
        <v>206</v>
      </c>
      <c r="AW489" s="8" t="s">
        <v>206</v>
      </c>
      <c r="AX489" s="4" t="s">
        <v>206</v>
      </c>
      <c r="AY489" s="8" t="s">
        <v>206</v>
      </c>
      <c r="AZ489" s="7" t="s">
        <v>206</v>
      </c>
      <c r="BA489" s="7" t="s">
        <v>206</v>
      </c>
      <c r="BB489" s="7"/>
      <c r="BC489" s="4" t="s">
        <v>206</v>
      </c>
      <c r="BD489" s="8" t="s">
        <v>206</v>
      </c>
      <c r="BE489" s="4" t="s">
        <v>206</v>
      </c>
      <c r="BF489" s="8" t="s">
        <v>206</v>
      </c>
      <c r="BG489" s="7" t="s">
        <v>206</v>
      </c>
      <c r="BH489" s="7" t="s">
        <v>206</v>
      </c>
      <c r="BI489" s="7"/>
      <c r="BJ489" s="4">
        <v>17</v>
      </c>
      <c r="BK489" s="8">
        <v>495.37</v>
      </c>
      <c r="BL489" s="2" t="s">
        <v>3317</v>
      </c>
      <c r="BM489" s="7"/>
      <c r="BN489" s="7"/>
      <c r="BO489" s="4"/>
      <c r="BP489" s="8"/>
      <c r="BQ489" s="4"/>
      <c r="BR489" s="8"/>
      <c r="BS489" s="7"/>
      <c r="BT489" s="7"/>
      <c r="BU489" s="2" t="s">
        <v>3318</v>
      </c>
      <c r="BV489" s="2" t="s">
        <v>206</v>
      </c>
      <c r="BW489" s="2" t="s">
        <v>206</v>
      </c>
      <c r="BX489" s="2" t="s">
        <v>426</v>
      </c>
      <c r="BY489" s="2" t="s">
        <v>215</v>
      </c>
      <c r="BZ489" s="2" t="s">
        <v>203</v>
      </c>
      <c r="CA489" s="2" t="s">
        <v>3319</v>
      </c>
      <c r="CB489" s="2" t="s">
        <v>3320</v>
      </c>
      <c r="CC489" s="2" t="s">
        <v>218</v>
      </c>
      <c r="CD489" s="2" t="s">
        <v>206</v>
      </c>
      <c r="CE489" s="4">
        <v>3</v>
      </c>
      <c r="CF489" s="4"/>
      <c r="CG489" s="4"/>
      <c r="CH489" s="4">
        <v>156</v>
      </c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>
        <v>84</v>
      </c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  <c r="FE489" s="4"/>
      <c r="FF489" s="4"/>
      <c r="FG489" s="4"/>
      <c r="FH489" s="4"/>
      <c r="FI489" s="4"/>
      <c r="FJ489" s="4"/>
      <c r="FK489" s="4"/>
      <c r="FL489" s="4"/>
      <c r="FM489" s="4"/>
      <c r="FN489" s="4"/>
      <c r="FO489" s="4"/>
      <c r="FP489" s="4"/>
      <c r="FQ489" s="4"/>
      <c r="FR489" s="4"/>
      <c r="FS489" s="4"/>
      <c r="FT489" s="4"/>
      <c r="FU489" s="4">
        <v>102</v>
      </c>
      <c r="FV489" s="4"/>
      <c r="FW489" s="4"/>
      <c r="FX489" s="4"/>
      <c r="FY489" s="4"/>
      <c r="FZ489" s="4"/>
      <c r="GA489" s="4"/>
      <c r="GB489" s="4"/>
      <c r="GC489" s="4"/>
      <c r="GD489" s="4"/>
      <c r="GE489" s="4"/>
      <c r="GF489" s="4"/>
    </row>
    <row r="490">
      <c r="A490" s="2" t="s">
        <v>3321</v>
      </c>
      <c r="B490" s="2" t="s">
        <v>613</v>
      </c>
      <c r="C490" s="2" t="s">
        <v>287</v>
      </c>
      <c r="D490" s="2" t="s">
        <v>628</v>
      </c>
      <c r="E490" s="2" t="s">
        <v>1802</v>
      </c>
      <c r="F490" s="2" t="s">
        <v>3310</v>
      </c>
      <c r="G490" s="2" t="s">
        <v>3311</v>
      </c>
      <c r="H490" s="2" t="s">
        <v>3312</v>
      </c>
      <c r="I490" s="2" t="s">
        <v>3313</v>
      </c>
      <c r="J490" s="2" t="s">
        <v>1819</v>
      </c>
      <c r="K490" s="2" t="s">
        <v>656</v>
      </c>
      <c r="L490" s="3">
        <v>39.65</v>
      </c>
      <c r="M490" s="3">
        <v>41.63</v>
      </c>
      <c r="N490" s="3">
        <v>83.99</v>
      </c>
      <c r="O490" s="2" t="s">
        <v>203</v>
      </c>
      <c r="P490" s="2" t="s">
        <v>467</v>
      </c>
      <c r="Q490" s="2" t="s">
        <v>205</v>
      </c>
      <c r="R490" s="2" t="s">
        <v>206</v>
      </c>
      <c r="S490" s="2" t="s">
        <v>3314</v>
      </c>
      <c r="T490" s="2" t="s">
        <v>292</v>
      </c>
      <c r="U490" s="2" t="s">
        <v>437</v>
      </c>
      <c r="V490" s="2" t="s">
        <v>209</v>
      </c>
      <c r="W490" s="2" t="s">
        <v>210</v>
      </c>
      <c r="X490" s="2" t="s">
        <v>206</v>
      </c>
      <c r="Y490" s="2" t="s">
        <v>3315</v>
      </c>
      <c r="Z490" s="4">
        <v>129</v>
      </c>
      <c r="AA490" s="4">
        <f>=ROUNDDOWN(16.125,0)</f>
      </c>
      <c r="AB490" s="5">
        <v>8</v>
      </c>
      <c r="AC490" s="2" t="s">
        <v>3316</v>
      </c>
      <c r="AD490" s="4">
        <v>54</v>
      </c>
      <c r="AE490" s="4">
        <v>132</v>
      </c>
      <c r="AF490" s="6">
        <v>65</v>
      </c>
      <c r="AG490" s="6"/>
      <c r="AH490" s="7">
        <v>1</v>
      </c>
      <c r="AI490" s="4"/>
      <c r="AJ490" s="4">
        <f>=ROUNDDOWN({0},0)</f>
      </c>
      <c r="AK490" s="5"/>
      <c r="AL490" s="2" t="s">
        <v>206</v>
      </c>
      <c r="AM490" s="4"/>
      <c r="AN490" s="4"/>
      <c r="AO490" s="7"/>
      <c r="AP490" s="4"/>
      <c r="AQ490" s="8"/>
      <c r="AR490" s="4"/>
      <c r="AS490" s="8"/>
      <c r="AT490" s="7"/>
      <c r="AU490" s="7"/>
      <c r="AV490" s="4" t="s">
        <v>206</v>
      </c>
      <c r="AW490" s="8" t="s">
        <v>206</v>
      </c>
      <c r="AX490" s="4" t="s">
        <v>206</v>
      </c>
      <c r="AY490" s="8" t="s">
        <v>206</v>
      </c>
      <c r="AZ490" s="7" t="s">
        <v>206</v>
      </c>
      <c r="BA490" s="7" t="s">
        <v>206</v>
      </c>
      <c r="BB490" s="7"/>
      <c r="BC490" s="4" t="s">
        <v>206</v>
      </c>
      <c r="BD490" s="8" t="s">
        <v>206</v>
      </c>
      <c r="BE490" s="4" t="s">
        <v>206</v>
      </c>
      <c r="BF490" s="8" t="s">
        <v>206</v>
      </c>
      <c r="BG490" s="7" t="s">
        <v>206</v>
      </c>
      <c r="BH490" s="7" t="s">
        <v>206</v>
      </c>
      <c r="BI490" s="7"/>
      <c r="BJ490" s="4">
        <v>28</v>
      </c>
      <c r="BK490" s="8">
        <v>1243.94</v>
      </c>
      <c r="BL490" s="2" t="s">
        <v>3322</v>
      </c>
      <c r="BM490" s="7"/>
      <c r="BN490" s="7"/>
      <c r="BO490" s="4"/>
      <c r="BP490" s="8"/>
      <c r="BQ490" s="4"/>
      <c r="BR490" s="8"/>
      <c r="BS490" s="7"/>
      <c r="BT490" s="7"/>
      <c r="BU490" s="2" t="s">
        <v>3323</v>
      </c>
      <c r="BV490" s="2" t="s">
        <v>206</v>
      </c>
      <c r="BW490" s="2" t="s">
        <v>206</v>
      </c>
      <c r="BX490" s="2" t="s">
        <v>426</v>
      </c>
      <c r="BY490" s="2" t="s">
        <v>215</v>
      </c>
      <c r="BZ490" s="2" t="s">
        <v>203</v>
      </c>
      <c r="CA490" s="2" t="s">
        <v>3319</v>
      </c>
      <c r="CB490" s="2" t="s">
        <v>2718</v>
      </c>
      <c r="CC490" s="2" t="s">
        <v>218</v>
      </c>
      <c r="CD490" s="2" t="s">
        <v>206</v>
      </c>
      <c r="CE490" s="4">
        <v>3</v>
      </c>
      <c r="CF490" s="4"/>
      <c r="CG490" s="4"/>
      <c r="CH490" s="4">
        <v>126</v>
      </c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>
        <v>54</v>
      </c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  <c r="FG490" s="4"/>
      <c r="FH490" s="4"/>
      <c r="FI490" s="4"/>
      <c r="FJ490" s="4"/>
      <c r="FK490" s="4"/>
      <c r="FL490" s="4"/>
      <c r="FM490" s="4"/>
      <c r="FN490" s="4"/>
      <c r="FO490" s="4"/>
      <c r="FP490" s="4"/>
      <c r="FQ490" s="4"/>
      <c r="FR490" s="4"/>
      <c r="FS490" s="4"/>
      <c r="FT490" s="4"/>
      <c r="FU490" s="4">
        <v>78</v>
      </c>
      <c r="FV490" s="4"/>
      <c r="FW490" s="4"/>
      <c r="FX490" s="4"/>
      <c r="FY490" s="4"/>
      <c r="FZ490" s="4"/>
      <c r="GA490" s="4"/>
      <c r="GB490" s="4"/>
      <c r="GC490" s="4"/>
      <c r="GD490" s="4"/>
      <c r="GE490" s="4"/>
      <c r="GF490" s="4"/>
    </row>
    <row r="491">
      <c r="A491" s="2" t="s">
        <v>3324</v>
      </c>
      <c r="B491" s="2" t="s">
        <v>613</v>
      </c>
      <c r="C491" s="2" t="s">
        <v>287</v>
      </c>
      <c r="D491" s="2" t="s">
        <v>628</v>
      </c>
      <c r="E491" s="2" t="s">
        <v>840</v>
      </c>
      <c r="F491" s="2" t="s">
        <v>3310</v>
      </c>
      <c r="G491" s="2" t="s">
        <v>3311</v>
      </c>
      <c r="H491" s="2" t="s">
        <v>3312</v>
      </c>
      <c r="I491" s="2" t="s">
        <v>3325</v>
      </c>
      <c r="J491" s="2" t="s">
        <v>3326</v>
      </c>
      <c r="K491" s="2" t="s">
        <v>202</v>
      </c>
      <c r="L491" s="3">
        <v>22.75</v>
      </c>
      <c r="M491" s="3">
        <v>23.89</v>
      </c>
      <c r="N491" s="3">
        <v>47.99</v>
      </c>
      <c r="O491" s="2" t="s">
        <v>203</v>
      </c>
      <c r="P491" s="2" t="s">
        <v>204</v>
      </c>
      <c r="Q491" s="2" t="s">
        <v>205</v>
      </c>
      <c r="R491" s="2" t="s">
        <v>206</v>
      </c>
      <c r="S491" s="2" t="s">
        <v>3327</v>
      </c>
      <c r="T491" s="2" t="s">
        <v>206</v>
      </c>
      <c r="U491" s="2" t="s">
        <v>900</v>
      </c>
      <c r="V491" s="2" t="s">
        <v>209</v>
      </c>
      <c r="W491" s="2" t="s">
        <v>210</v>
      </c>
      <c r="X491" s="2" t="s">
        <v>633</v>
      </c>
      <c r="Y491" s="2" t="s">
        <v>3328</v>
      </c>
      <c r="Z491" s="4">
        <v>717</v>
      </c>
      <c r="AA491" s="4">
        <f>=ROUNDDOWN(71.7,0)</f>
      </c>
      <c r="AB491" s="5">
        <v>10</v>
      </c>
      <c r="AC491" s="2" t="s">
        <v>206</v>
      </c>
      <c r="AD491" s="4"/>
      <c r="AE491" s="4"/>
      <c r="AF491" s="6">
        <v>65</v>
      </c>
      <c r="AG491" s="6"/>
      <c r="AH491" s="7">
        <v>1</v>
      </c>
      <c r="AI491" s="4"/>
      <c r="AJ491" s="4">
        <f>=ROUNDDOWN({0},0)</f>
      </c>
      <c r="AK491" s="5"/>
      <c r="AL491" s="2" t="s">
        <v>206</v>
      </c>
      <c r="AM491" s="4"/>
      <c r="AN491" s="4"/>
      <c r="AO491" s="7"/>
      <c r="AP491" s="4"/>
      <c r="AQ491" s="8"/>
      <c r="AR491" s="4"/>
      <c r="AS491" s="8"/>
      <c r="AT491" s="7"/>
      <c r="AU491" s="7"/>
      <c r="AV491" s="4" t="s">
        <v>206</v>
      </c>
      <c r="AW491" s="8" t="s">
        <v>206</v>
      </c>
      <c r="AX491" s="4" t="s">
        <v>206</v>
      </c>
      <c r="AY491" s="8" t="s">
        <v>206</v>
      </c>
      <c r="AZ491" s="7" t="s">
        <v>206</v>
      </c>
      <c r="BA491" s="7" t="s">
        <v>206</v>
      </c>
      <c r="BB491" s="7"/>
      <c r="BC491" s="4" t="s">
        <v>206</v>
      </c>
      <c r="BD491" s="8" t="s">
        <v>206</v>
      </c>
      <c r="BE491" s="4" t="s">
        <v>206</v>
      </c>
      <c r="BF491" s="8" t="s">
        <v>206</v>
      </c>
      <c r="BG491" s="7" t="s">
        <v>206</v>
      </c>
      <c r="BH491" s="7" t="s">
        <v>206</v>
      </c>
      <c r="BI491" s="7"/>
      <c r="BJ491" s="4">
        <v>77</v>
      </c>
      <c r="BK491" s="8">
        <v>2090.36</v>
      </c>
      <c r="BL491" s="2" t="s">
        <v>3329</v>
      </c>
      <c r="BM491" s="7"/>
      <c r="BN491" s="7"/>
      <c r="BO491" s="4"/>
      <c r="BP491" s="8"/>
      <c r="BQ491" s="4"/>
      <c r="BR491" s="8"/>
      <c r="BS491" s="7"/>
      <c r="BT491" s="7"/>
      <c r="BU491" s="2" t="s">
        <v>3330</v>
      </c>
      <c r="BV491" s="2" t="s">
        <v>206</v>
      </c>
      <c r="BW491" s="2" t="s">
        <v>206</v>
      </c>
      <c r="BX491" s="2" t="s">
        <v>214</v>
      </c>
      <c r="BY491" s="2" t="s">
        <v>215</v>
      </c>
      <c r="BZ491" s="2" t="s">
        <v>203</v>
      </c>
      <c r="CA491" s="2" t="s">
        <v>473</v>
      </c>
      <c r="CB491" s="2" t="s">
        <v>3331</v>
      </c>
      <c r="CC491" s="2" t="s">
        <v>218</v>
      </c>
      <c r="CD491" s="2" t="s">
        <v>206</v>
      </c>
      <c r="CE491" s="4">
        <v>717</v>
      </c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  <c r="FR491" s="4"/>
      <c r="FS491" s="4"/>
      <c r="FT491" s="4"/>
      <c r="FU491" s="4"/>
      <c r="FV491" s="4"/>
      <c r="FW491" s="4"/>
      <c r="FX491" s="4"/>
      <c r="FY491" s="4"/>
      <c r="FZ491" s="4"/>
      <c r="GA491" s="4"/>
      <c r="GB491" s="4"/>
      <c r="GC491" s="4"/>
      <c r="GD491" s="4"/>
      <c r="GE491" s="4"/>
      <c r="GF491" s="4"/>
    </row>
    <row r="492">
      <c r="A492" s="2" t="s">
        <v>3332</v>
      </c>
      <c r="B492" s="2" t="s">
        <v>613</v>
      </c>
      <c r="C492" s="2" t="s">
        <v>287</v>
      </c>
      <c r="D492" s="2" t="s">
        <v>628</v>
      </c>
      <c r="E492" s="2" t="s">
        <v>1802</v>
      </c>
      <c r="F492" s="2" t="s">
        <v>3310</v>
      </c>
      <c r="G492" s="2" t="s">
        <v>3311</v>
      </c>
      <c r="H492" s="2" t="s">
        <v>3312</v>
      </c>
      <c r="I492" s="2" t="s">
        <v>3313</v>
      </c>
      <c r="J492" s="2" t="s">
        <v>2635</v>
      </c>
      <c r="K492" s="2" t="s">
        <v>202</v>
      </c>
      <c r="L492" s="3">
        <v>32.75</v>
      </c>
      <c r="M492" s="3">
        <v>34.39</v>
      </c>
      <c r="N492" s="3">
        <v>69.99</v>
      </c>
      <c r="O492" s="2" t="s">
        <v>203</v>
      </c>
      <c r="P492" s="2" t="s">
        <v>467</v>
      </c>
      <c r="Q492" s="2" t="s">
        <v>205</v>
      </c>
      <c r="R492" s="2" t="s">
        <v>206</v>
      </c>
      <c r="S492" s="2" t="s">
        <v>3327</v>
      </c>
      <c r="T492" s="2" t="s">
        <v>292</v>
      </c>
      <c r="U492" s="2" t="s">
        <v>437</v>
      </c>
      <c r="V492" s="2" t="s">
        <v>209</v>
      </c>
      <c r="W492" s="2" t="s">
        <v>210</v>
      </c>
      <c r="X492" s="2" t="s">
        <v>206</v>
      </c>
      <c r="Y492" s="2" t="s">
        <v>3315</v>
      </c>
      <c r="Z492" s="4">
        <v>773</v>
      </c>
      <c r="AA492" s="4">
        <f>=ROUNDDOWN(128.833333333333,0)</f>
      </c>
      <c r="AB492" s="5">
        <v>6</v>
      </c>
      <c r="AC492" s="2" t="s">
        <v>206</v>
      </c>
      <c r="AD492" s="4"/>
      <c r="AE492" s="4"/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206</v>
      </c>
      <c r="AM492" s="4"/>
      <c r="AN492" s="4"/>
      <c r="AO492" s="7"/>
      <c r="AP492" s="4"/>
      <c r="AQ492" s="8"/>
      <c r="AR492" s="4"/>
      <c r="AS492" s="8"/>
      <c r="AT492" s="7"/>
      <c r="AU492" s="7"/>
      <c r="AV492" s="4" t="s">
        <v>206</v>
      </c>
      <c r="AW492" s="8" t="s">
        <v>206</v>
      </c>
      <c r="AX492" s="4" t="s">
        <v>206</v>
      </c>
      <c r="AY492" s="8" t="s">
        <v>206</v>
      </c>
      <c r="AZ492" s="7" t="s">
        <v>206</v>
      </c>
      <c r="BA492" s="7" t="s">
        <v>206</v>
      </c>
      <c r="BB492" s="7"/>
      <c r="BC492" s="4" t="s">
        <v>206</v>
      </c>
      <c r="BD492" s="8" t="s">
        <v>206</v>
      </c>
      <c r="BE492" s="4" t="s">
        <v>206</v>
      </c>
      <c r="BF492" s="8" t="s">
        <v>206</v>
      </c>
      <c r="BG492" s="7" t="s">
        <v>206</v>
      </c>
      <c r="BH492" s="7" t="s">
        <v>206</v>
      </c>
      <c r="BI492" s="7"/>
      <c r="BJ492" s="4">
        <v>27</v>
      </c>
      <c r="BK492" s="8">
        <v>870.36</v>
      </c>
      <c r="BL492" s="2" t="s">
        <v>3333</v>
      </c>
      <c r="BM492" s="7"/>
      <c r="BN492" s="7"/>
      <c r="BO492" s="4"/>
      <c r="BP492" s="8"/>
      <c r="BQ492" s="4"/>
      <c r="BR492" s="8"/>
      <c r="BS492" s="7"/>
      <c r="BT492" s="7"/>
      <c r="BU492" s="2" t="s">
        <v>3334</v>
      </c>
      <c r="BV492" s="2" t="s">
        <v>206</v>
      </c>
      <c r="BW492" s="2" t="s">
        <v>206</v>
      </c>
      <c r="BX492" s="2" t="s">
        <v>426</v>
      </c>
      <c r="BY492" s="2" t="s">
        <v>215</v>
      </c>
      <c r="BZ492" s="2" t="s">
        <v>203</v>
      </c>
      <c r="CA492" s="2" t="s">
        <v>3319</v>
      </c>
      <c r="CB492" s="2" t="s">
        <v>3335</v>
      </c>
      <c r="CC492" s="2" t="s">
        <v>218</v>
      </c>
      <c r="CD492" s="2" t="s">
        <v>206</v>
      </c>
      <c r="CE492" s="4">
        <v>773</v>
      </c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  <c r="FS492" s="4"/>
      <c r="FT492" s="4"/>
      <c r="FU492" s="4"/>
      <c r="FV492" s="4"/>
      <c r="FW492" s="4"/>
      <c r="FX492" s="4"/>
      <c r="FY492" s="4"/>
      <c r="FZ492" s="4"/>
      <c r="GA492" s="4"/>
      <c r="GB492" s="4"/>
      <c r="GC492" s="4"/>
      <c r="GD492" s="4"/>
      <c r="GE492" s="4"/>
      <c r="GF492" s="4"/>
    </row>
    <row r="493">
      <c r="A493" s="2" t="s">
        <v>3336</v>
      </c>
      <c r="B493" s="2" t="s">
        <v>613</v>
      </c>
      <c r="C493" s="2" t="s">
        <v>287</v>
      </c>
      <c r="D493" s="2" t="s">
        <v>628</v>
      </c>
      <c r="E493" s="2" t="s">
        <v>1802</v>
      </c>
      <c r="F493" s="2" t="s">
        <v>3310</v>
      </c>
      <c r="G493" s="2" t="s">
        <v>3311</v>
      </c>
      <c r="H493" s="2" t="s">
        <v>3312</v>
      </c>
      <c r="I493" s="2" t="s">
        <v>3313</v>
      </c>
      <c r="J493" s="2" t="s">
        <v>1819</v>
      </c>
      <c r="K493" s="2" t="s">
        <v>202</v>
      </c>
      <c r="L493" s="3">
        <v>39.65</v>
      </c>
      <c r="M493" s="3">
        <v>41.63</v>
      </c>
      <c r="N493" s="3">
        <v>83.99</v>
      </c>
      <c r="O493" s="2" t="s">
        <v>203</v>
      </c>
      <c r="P493" s="2" t="s">
        <v>467</v>
      </c>
      <c r="Q493" s="2" t="s">
        <v>205</v>
      </c>
      <c r="R493" s="2" t="s">
        <v>206</v>
      </c>
      <c r="S493" s="2" t="s">
        <v>3327</v>
      </c>
      <c r="T493" s="2" t="s">
        <v>292</v>
      </c>
      <c r="U493" s="2" t="s">
        <v>437</v>
      </c>
      <c r="V493" s="2" t="s">
        <v>209</v>
      </c>
      <c r="W493" s="2" t="s">
        <v>210</v>
      </c>
      <c r="X493" s="2" t="s">
        <v>206</v>
      </c>
      <c r="Y493" s="2" t="s">
        <v>3315</v>
      </c>
      <c r="Z493" s="4">
        <v>3</v>
      </c>
      <c r="AA493" s="4">
        <f>=ROUNDDOWN(0.25,0)</f>
      </c>
      <c r="AB493" s="5">
        <v>12</v>
      </c>
      <c r="AC493" s="2" t="s">
        <v>3316</v>
      </c>
      <c r="AD493" s="4">
        <v>210</v>
      </c>
      <c r="AE493" s="4">
        <v>522</v>
      </c>
      <c r="AF493" s="6">
        <v>65</v>
      </c>
      <c r="AG493" s="6"/>
      <c r="AH493" s="7">
        <v>0.3548</v>
      </c>
      <c r="AI493" s="4"/>
      <c r="AJ493" s="4">
        <f>=ROUNDDOWN({0},0)</f>
      </c>
      <c r="AK493" s="5"/>
      <c r="AL493" s="2" t="s">
        <v>206</v>
      </c>
      <c r="AM493" s="4"/>
      <c r="AN493" s="4"/>
      <c r="AO493" s="7"/>
      <c r="AP493" s="4"/>
      <c r="AQ493" s="8"/>
      <c r="AR493" s="4"/>
      <c r="AS493" s="8"/>
      <c r="AT493" s="7"/>
      <c r="AU493" s="7"/>
      <c r="AV493" s="4" t="s">
        <v>206</v>
      </c>
      <c r="AW493" s="8" t="s">
        <v>206</v>
      </c>
      <c r="AX493" s="4" t="s">
        <v>206</v>
      </c>
      <c r="AY493" s="8" t="s">
        <v>206</v>
      </c>
      <c r="AZ493" s="7" t="s">
        <v>206</v>
      </c>
      <c r="BA493" s="7" t="s">
        <v>206</v>
      </c>
      <c r="BB493" s="7"/>
      <c r="BC493" s="4" t="s">
        <v>206</v>
      </c>
      <c r="BD493" s="8" t="s">
        <v>206</v>
      </c>
      <c r="BE493" s="4" t="s">
        <v>206</v>
      </c>
      <c r="BF493" s="8" t="s">
        <v>206</v>
      </c>
      <c r="BG493" s="7" t="s">
        <v>206</v>
      </c>
      <c r="BH493" s="7" t="s">
        <v>206</v>
      </c>
      <c r="BI493" s="7"/>
      <c r="BJ493" s="4">
        <v>21</v>
      </c>
      <c r="BK493" s="8">
        <v>942.73</v>
      </c>
      <c r="BL493" s="2" t="s">
        <v>3337</v>
      </c>
      <c r="BM493" s="7"/>
      <c r="BN493" s="7"/>
      <c r="BO493" s="4"/>
      <c r="BP493" s="8"/>
      <c r="BQ493" s="4"/>
      <c r="BR493" s="8"/>
      <c r="BS493" s="7"/>
      <c r="BT493" s="7"/>
      <c r="BU493" s="2" t="s">
        <v>3338</v>
      </c>
      <c r="BV493" s="2" t="s">
        <v>206</v>
      </c>
      <c r="BW493" s="2" t="s">
        <v>206</v>
      </c>
      <c r="BX493" s="2" t="s">
        <v>426</v>
      </c>
      <c r="BY493" s="2" t="s">
        <v>215</v>
      </c>
      <c r="BZ493" s="2" t="s">
        <v>203</v>
      </c>
      <c r="CA493" s="2" t="s">
        <v>3319</v>
      </c>
      <c r="CB493" s="2" t="s">
        <v>3339</v>
      </c>
      <c r="CC493" s="2" t="s">
        <v>218</v>
      </c>
      <c r="CD493" s="2" t="s">
        <v>206</v>
      </c>
      <c r="CE493" s="4">
        <v>3</v>
      </c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>
        <v>210</v>
      </c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/>
      <c r="FP493" s="4"/>
      <c r="FQ493" s="4"/>
      <c r="FR493" s="4"/>
      <c r="FS493" s="4"/>
      <c r="FT493" s="4"/>
      <c r="FU493" s="4">
        <v>312</v>
      </c>
      <c r="FV493" s="4"/>
      <c r="FW493" s="4"/>
      <c r="FX493" s="4"/>
      <c r="FY493" s="4"/>
      <c r="FZ493" s="4"/>
      <c r="GA493" s="4"/>
      <c r="GB493" s="4"/>
      <c r="GC493" s="4"/>
      <c r="GD493" s="4"/>
      <c r="GE493" s="4"/>
      <c r="GF493" s="4"/>
    </row>
    <row r="494">
      <c r="A494" s="2" t="s">
        <v>3340</v>
      </c>
      <c r="B494" s="2" t="s">
        <v>528</v>
      </c>
      <c r="C494" s="2" t="s">
        <v>287</v>
      </c>
      <c r="D494" s="2" t="s">
        <v>529</v>
      </c>
      <c r="E494" s="2" t="s">
        <v>816</v>
      </c>
      <c r="F494" s="2" t="s">
        <v>3341</v>
      </c>
      <c r="G494" s="2" t="s">
        <v>3342</v>
      </c>
      <c r="H494" s="2" t="s">
        <v>3343</v>
      </c>
      <c r="I494" s="2" t="s">
        <v>3344</v>
      </c>
      <c r="J494" s="2" t="s">
        <v>282</v>
      </c>
      <c r="K494" s="2" t="s">
        <v>1060</v>
      </c>
      <c r="L494" s="3">
        <v>42.85</v>
      </c>
      <c r="M494" s="3">
        <v>44.99</v>
      </c>
      <c r="N494" s="3">
        <v>89.99</v>
      </c>
      <c r="O494" s="2" t="s">
        <v>203</v>
      </c>
      <c r="P494" s="2" t="s">
        <v>204</v>
      </c>
      <c r="Q494" s="2" t="s">
        <v>205</v>
      </c>
      <c r="R494" s="2" t="s">
        <v>206</v>
      </c>
      <c r="S494" s="2" t="s">
        <v>3345</v>
      </c>
      <c r="T494" s="2" t="s">
        <v>292</v>
      </c>
      <c r="U494" s="2" t="s">
        <v>537</v>
      </c>
      <c r="V494" s="2" t="s">
        <v>236</v>
      </c>
      <c r="W494" s="2" t="s">
        <v>539</v>
      </c>
      <c r="X494" s="2" t="s">
        <v>877</v>
      </c>
      <c r="Y494" s="2" t="s">
        <v>3346</v>
      </c>
      <c r="Z494" s="4"/>
      <c r="AA494" s="4">
        <f>=ROUNDDOWN({0},0)</f>
      </c>
      <c r="AB494" s="5">
        <v>21</v>
      </c>
      <c r="AC494" s="2" t="s">
        <v>3347</v>
      </c>
      <c r="AD494" s="4">
        <v>140</v>
      </c>
      <c r="AE494" s="4">
        <v>470</v>
      </c>
      <c r="AF494" s="6">
        <v>64</v>
      </c>
      <c r="AG494" s="6"/>
      <c r="AH494" s="7">
        <v>0.2903</v>
      </c>
      <c r="AI494" s="4"/>
      <c r="AJ494" s="4">
        <f>=ROUNDDOWN({0},0)</f>
      </c>
      <c r="AK494" s="5"/>
      <c r="AL494" s="2" t="s">
        <v>206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/>
      <c r="BD494" s="8"/>
      <c r="BE494" s="4"/>
      <c r="BF494" s="8"/>
      <c r="BG494" s="7"/>
      <c r="BH494" s="7"/>
      <c r="BI494" s="7"/>
      <c r="BJ494" s="4">
        <v>12</v>
      </c>
      <c r="BK494" s="8">
        <v>591.36</v>
      </c>
      <c r="BL494" s="2" t="s">
        <v>1439</v>
      </c>
      <c r="BM494" s="7"/>
      <c r="BN494" s="7"/>
      <c r="BO494" s="4"/>
      <c r="BP494" s="8"/>
      <c r="BQ494" s="4"/>
      <c r="BR494" s="8"/>
      <c r="BS494" s="7"/>
      <c r="BT494" s="7"/>
      <c r="BU494" s="2" t="s">
        <v>3348</v>
      </c>
      <c r="BV494" s="2" t="s">
        <v>206</v>
      </c>
      <c r="BW494" s="2" t="s">
        <v>206</v>
      </c>
      <c r="BX494" s="2" t="s">
        <v>3349</v>
      </c>
      <c r="BY494" s="2" t="s">
        <v>215</v>
      </c>
      <c r="BZ494" s="2" t="s">
        <v>203</v>
      </c>
      <c r="CA494" s="2" t="s">
        <v>3350</v>
      </c>
      <c r="CB494" s="2" t="s">
        <v>1883</v>
      </c>
      <c r="CC494" s="2" t="s">
        <v>218</v>
      </c>
      <c r="CD494" s="2" t="s">
        <v>206</v>
      </c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>
        <v>140</v>
      </c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>
        <v>200</v>
      </c>
      <c r="FF494" s="4"/>
      <c r="FG494" s="4"/>
      <c r="FH494" s="4"/>
      <c r="FI494" s="4"/>
      <c r="FJ494" s="4"/>
      <c r="FK494" s="4"/>
      <c r="FL494" s="4"/>
      <c r="FM494" s="4">
        <v>130</v>
      </c>
      <c r="FN494" s="4"/>
      <c r="FO494" s="4"/>
      <c r="FP494" s="4"/>
      <c r="FQ494" s="4"/>
      <c r="FR494" s="4"/>
      <c r="FS494" s="4"/>
      <c r="FT494" s="4"/>
      <c r="FU494" s="4"/>
      <c r="FV494" s="4"/>
      <c r="FW494" s="4"/>
      <c r="FX494" s="4"/>
      <c r="FY494" s="4"/>
      <c r="FZ494" s="4"/>
      <c r="GA494" s="4"/>
      <c r="GB494" s="4"/>
      <c r="GC494" s="4"/>
      <c r="GD494" s="4"/>
      <c r="GE494" s="4"/>
      <c r="GF494" s="4"/>
    </row>
    <row r="495">
      <c r="A495" s="2" t="s">
        <v>3351</v>
      </c>
      <c r="B495" s="2" t="s">
        <v>507</v>
      </c>
      <c r="C495" s="2" t="s">
        <v>462</v>
      </c>
      <c r="D495" s="2" t="s">
        <v>3352</v>
      </c>
      <c r="E495" s="2" t="s">
        <v>3353</v>
      </c>
      <c r="F495" s="2" t="s">
        <v>3354</v>
      </c>
      <c r="G495" s="2" t="s">
        <v>3354</v>
      </c>
      <c r="H495" s="2" t="s">
        <v>3354</v>
      </c>
      <c r="I495" s="2" t="s">
        <v>3355</v>
      </c>
      <c r="J495" s="2" t="s">
        <v>434</v>
      </c>
      <c r="K495" s="2" t="s">
        <v>833</v>
      </c>
      <c r="L495" s="3">
        <v>51.3</v>
      </c>
      <c r="M495" s="3">
        <v>53.86</v>
      </c>
      <c r="N495" s="3">
        <v>119.99</v>
      </c>
      <c r="O495" s="2" t="s">
        <v>203</v>
      </c>
      <c r="P495" s="2" t="s">
        <v>1037</v>
      </c>
      <c r="Q495" s="2" t="s">
        <v>205</v>
      </c>
      <c r="R495" s="2" t="s">
        <v>206</v>
      </c>
      <c r="S495" s="2" t="s">
        <v>206</v>
      </c>
      <c r="T495" s="2" t="s">
        <v>206</v>
      </c>
      <c r="U495" s="2" t="s">
        <v>437</v>
      </c>
      <c r="V495" s="2" t="s">
        <v>468</v>
      </c>
      <c r="W495" s="2" t="s">
        <v>210</v>
      </c>
      <c r="X495" s="2" t="s">
        <v>439</v>
      </c>
      <c r="Y495" s="2" t="s">
        <v>3356</v>
      </c>
      <c r="Z495" s="4">
        <v>359</v>
      </c>
      <c r="AA495" s="4">
        <f>=ROUNDDOWN(17.95,0)</f>
      </c>
      <c r="AB495" s="5">
        <v>20</v>
      </c>
      <c r="AC495" s="2" t="s">
        <v>514</v>
      </c>
      <c r="AD495" s="4">
        <v>200</v>
      </c>
      <c r="AE495" s="4">
        <v>200</v>
      </c>
      <c r="AF495" s="6">
        <v>63</v>
      </c>
      <c r="AG495" s="6"/>
      <c r="AH495" s="7">
        <v>1</v>
      </c>
      <c r="AI495" s="4"/>
      <c r="AJ495" s="4">
        <f>=ROUNDDOWN({0},0)</f>
      </c>
      <c r="AK495" s="5"/>
      <c r="AL495" s="2" t="s">
        <v>206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/>
      <c r="BD495" s="8"/>
      <c r="BE495" s="4"/>
      <c r="BF495" s="8"/>
      <c r="BG495" s="7"/>
      <c r="BH495" s="7"/>
      <c r="BI495" s="7"/>
      <c r="BJ495" s="4">
        <v>35</v>
      </c>
      <c r="BK495" s="8">
        <v>2107.57</v>
      </c>
      <c r="BL495" s="2" t="s">
        <v>3357</v>
      </c>
      <c r="BM495" s="7"/>
      <c r="BN495" s="7"/>
      <c r="BO495" s="4"/>
      <c r="BP495" s="8"/>
      <c r="BQ495" s="4"/>
      <c r="BR495" s="8"/>
      <c r="BS495" s="7"/>
      <c r="BT495" s="7"/>
      <c r="BU495" s="2" t="s">
        <v>3358</v>
      </c>
      <c r="BV495" s="2" t="s">
        <v>206</v>
      </c>
      <c r="BW495" s="2" t="s">
        <v>206</v>
      </c>
      <c r="BX495" s="2" t="s">
        <v>850</v>
      </c>
      <c r="BY495" s="2" t="s">
        <v>215</v>
      </c>
      <c r="BZ495" s="2" t="s">
        <v>203</v>
      </c>
      <c r="CA495" s="2" t="s">
        <v>3359</v>
      </c>
      <c r="CB495" s="2" t="s">
        <v>3360</v>
      </c>
      <c r="CC495" s="2" t="s">
        <v>218</v>
      </c>
      <c r="CD495" s="2" t="s">
        <v>206</v>
      </c>
      <c r="CE495" s="4"/>
      <c r="CF495" s="4">
        <v>359</v>
      </c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>
        <v>200</v>
      </c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/>
      <c r="FR495" s="4"/>
      <c r="FS495" s="4"/>
      <c r="FT495" s="4"/>
      <c r="FU495" s="4"/>
      <c r="FV495" s="4"/>
      <c r="FW495" s="4"/>
      <c r="FX495" s="4"/>
      <c r="FY495" s="4"/>
      <c r="FZ495" s="4"/>
      <c r="GA495" s="4"/>
      <c r="GB495" s="4"/>
      <c r="GC495" s="4"/>
      <c r="GD495" s="4"/>
      <c r="GE495" s="4"/>
      <c r="GF495" s="4"/>
    </row>
    <row r="496">
      <c r="A496" s="2" t="s">
        <v>3361</v>
      </c>
      <c r="B496" s="2" t="s">
        <v>800</v>
      </c>
      <c r="C496" s="2" t="s">
        <v>226</v>
      </c>
      <c r="D496" s="2" t="s">
        <v>529</v>
      </c>
      <c r="E496" s="2" t="s">
        <v>1134</v>
      </c>
      <c r="F496" s="2" t="s">
        <v>3362</v>
      </c>
      <c r="G496" s="2" t="s">
        <v>3363</v>
      </c>
      <c r="H496" s="2" t="s">
        <v>3363</v>
      </c>
      <c r="I496" s="2" t="s">
        <v>3364</v>
      </c>
      <c r="J496" s="2" t="s">
        <v>821</v>
      </c>
      <c r="K496" s="2" t="s">
        <v>3365</v>
      </c>
      <c r="L496" s="3">
        <v>19.46</v>
      </c>
      <c r="M496" s="3">
        <v>20.43</v>
      </c>
      <c r="N496" s="3">
        <v>39.99</v>
      </c>
      <c r="O496" s="2" t="s">
        <v>203</v>
      </c>
      <c r="P496" s="2" t="s">
        <v>204</v>
      </c>
      <c r="Q496" s="2" t="s">
        <v>205</v>
      </c>
      <c r="R496" s="2" t="s">
        <v>206</v>
      </c>
      <c r="S496" s="2" t="s">
        <v>3366</v>
      </c>
      <c r="T496" s="2" t="s">
        <v>292</v>
      </c>
      <c r="U496" s="2" t="s">
        <v>206</v>
      </c>
      <c r="V496" s="2" t="s">
        <v>209</v>
      </c>
      <c r="W496" s="2" t="s">
        <v>210</v>
      </c>
      <c r="X496" s="2" t="s">
        <v>206</v>
      </c>
      <c r="Y496" s="2" t="s">
        <v>211</v>
      </c>
      <c r="Z496" s="4">
        <v>422</v>
      </c>
      <c r="AA496" s="4">
        <f>=ROUNDDOWN(52.75,0)</f>
      </c>
      <c r="AB496" s="5">
        <v>8</v>
      </c>
      <c r="AC496" s="2" t="s">
        <v>318</v>
      </c>
      <c r="AD496" s="4">
        <v>60</v>
      </c>
      <c r="AE496" s="4">
        <v>60</v>
      </c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206</v>
      </c>
      <c r="AM496" s="4"/>
      <c r="AN496" s="4"/>
      <c r="AO496" s="7"/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206</v>
      </c>
      <c r="BD496" s="8" t="s">
        <v>206</v>
      </c>
      <c r="BE496" s="4" t="s">
        <v>206</v>
      </c>
      <c r="BF496" s="8" t="s">
        <v>206</v>
      </c>
      <c r="BG496" s="7" t="s">
        <v>206</v>
      </c>
      <c r="BH496" s="7" t="s">
        <v>206</v>
      </c>
      <c r="BI496" s="7"/>
      <c r="BJ496" s="4">
        <v>18</v>
      </c>
      <c r="BK496" s="8">
        <v>371.91</v>
      </c>
      <c r="BL496" s="2" t="s">
        <v>3367</v>
      </c>
      <c r="BM496" s="7"/>
      <c r="BN496" s="7"/>
      <c r="BO496" s="4"/>
      <c r="BP496" s="8"/>
      <c r="BQ496" s="4"/>
      <c r="BR496" s="8"/>
      <c r="BS496" s="7"/>
      <c r="BT496" s="7"/>
      <c r="BU496" s="2" t="s">
        <v>3368</v>
      </c>
      <c r="BV496" s="2" t="s">
        <v>206</v>
      </c>
      <c r="BW496" s="2" t="s">
        <v>206</v>
      </c>
      <c r="BX496" s="2" t="s">
        <v>214</v>
      </c>
      <c r="BY496" s="2" t="s">
        <v>215</v>
      </c>
      <c r="BZ496" s="2" t="s">
        <v>203</v>
      </c>
      <c r="CA496" s="2" t="s">
        <v>216</v>
      </c>
      <c r="CB496" s="2" t="s">
        <v>3369</v>
      </c>
      <c r="CC496" s="2" t="s">
        <v>218</v>
      </c>
      <c r="CD496" s="2" t="s">
        <v>206</v>
      </c>
      <c r="CE496" s="4">
        <v>422</v>
      </c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>
        <v>60</v>
      </c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/>
      <c r="FH496" s="4"/>
      <c r="FI496" s="4"/>
      <c r="FJ496" s="4"/>
      <c r="FK496" s="4"/>
      <c r="FL496" s="4"/>
      <c r="FM496" s="4"/>
      <c r="FN496" s="4"/>
      <c r="FO496" s="4"/>
      <c r="FP496" s="4"/>
      <c r="FQ496" s="4"/>
      <c r="FR496" s="4"/>
      <c r="FS496" s="4"/>
      <c r="FT496" s="4"/>
      <c r="FU496" s="4"/>
      <c r="FV496" s="4"/>
      <c r="FW496" s="4"/>
      <c r="FX496" s="4"/>
      <c r="FY496" s="4"/>
      <c r="FZ496" s="4"/>
      <c r="GA496" s="4"/>
      <c r="GB496" s="4"/>
      <c r="GC496" s="4"/>
      <c r="GD496" s="4"/>
      <c r="GE496" s="4"/>
      <c r="GF496" s="4"/>
    </row>
    <row r="497">
      <c r="A497" s="2" t="s">
        <v>3370</v>
      </c>
      <c r="B497" s="2" t="s">
        <v>800</v>
      </c>
      <c r="C497" s="2" t="s">
        <v>226</v>
      </c>
      <c r="D497" s="2" t="s">
        <v>529</v>
      </c>
      <c r="E497" s="2" t="s">
        <v>1134</v>
      </c>
      <c r="F497" s="2" t="s">
        <v>3362</v>
      </c>
      <c r="G497" s="2" t="s">
        <v>3363</v>
      </c>
      <c r="H497" s="2" t="s">
        <v>3363</v>
      </c>
      <c r="I497" s="2" t="s">
        <v>3364</v>
      </c>
      <c r="J497" s="2" t="s">
        <v>821</v>
      </c>
      <c r="K497" s="2" t="s">
        <v>3371</v>
      </c>
      <c r="L497" s="3">
        <v>19.46</v>
      </c>
      <c r="M497" s="3">
        <v>20.43</v>
      </c>
      <c r="N497" s="3">
        <v>39.99</v>
      </c>
      <c r="O497" s="2" t="s">
        <v>203</v>
      </c>
      <c r="P497" s="2" t="s">
        <v>204</v>
      </c>
      <c r="Q497" s="2" t="s">
        <v>205</v>
      </c>
      <c r="R497" s="2" t="s">
        <v>206</v>
      </c>
      <c r="S497" s="2" t="s">
        <v>3372</v>
      </c>
      <c r="T497" s="2" t="s">
        <v>292</v>
      </c>
      <c r="U497" s="2" t="s">
        <v>206</v>
      </c>
      <c r="V497" s="2" t="s">
        <v>209</v>
      </c>
      <c r="W497" s="2" t="s">
        <v>210</v>
      </c>
      <c r="X497" s="2" t="s">
        <v>206</v>
      </c>
      <c r="Y497" s="2" t="s">
        <v>211</v>
      </c>
      <c r="Z497" s="4">
        <v>405</v>
      </c>
      <c r="AA497" s="4">
        <f>=ROUNDDOWN(50.625,0)</f>
      </c>
      <c r="AB497" s="5">
        <v>8</v>
      </c>
      <c r="AC497" s="2" t="s">
        <v>206</v>
      </c>
      <c r="AD497" s="4"/>
      <c r="AE497" s="4"/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206</v>
      </c>
      <c r="AM497" s="4"/>
      <c r="AN497" s="4"/>
      <c r="AO497" s="7"/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206</v>
      </c>
      <c r="BD497" s="8" t="s">
        <v>206</v>
      </c>
      <c r="BE497" s="4" t="s">
        <v>206</v>
      </c>
      <c r="BF497" s="8" t="s">
        <v>206</v>
      </c>
      <c r="BG497" s="7" t="s">
        <v>206</v>
      </c>
      <c r="BH497" s="7" t="s">
        <v>206</v>
      </c>
      <c r="BI497" s="7"/>
      <c r="BJ497" s="4">
        <v>29</v>
      </c>
      <c r="BK497" s="8">
        <v>605.61</v>
      </c>
      <c r="BL497" s="2" t="s">
        <v>3373</v>
      </c>
      <c r="BM497" s="7"/>
      <c r="BN497" s="7"/>
      <c r="BO497" s="4"/>
      <c r="BP497" s="8"/>
      <c r="BQ497" s="4"/>
      <c r="BR497" s="8"/>
      <c r="BS497" s="7"/>
      <c r="BT497" s="7"/>
      <c r="BU497" s="2" t="s">
        <v>3374</v>
      </c>
      <c r="BV497" s="2" t="s">
        <v>206</v>
      </c>
      <c r="BW497" s="2" t="s">
        <v>206</v>
      </c>
      <c r="BX497" s="2" t="s">
        <v>214</v>
      </c>
      <c r="BY497" s="2" t="s">
        <v>215</v>
      </c>
      <c r="BZ497" s="2" t="s">
        <v>203</v>
      </c>
      <c r="CA497" s="2" t="s">
        <v>216</v>
      </c>
      <c r="CB497" s="2" t="s">
        <v>747</v>
      </c>
      <c r="CC497" s="2" t="s">
        <v>218</v>
      </c>
      <c r="CD497" s="2" t="s">
        <v>206</v>
      </c>
      <c r="CE497" s="4">
        <v>405</v>
      </c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  <c r="FR497" s="4"/>
      <c r="FS497" s="4"/>
      <c r="FT497" s="4"/>
      <c r="FU497" s="4"/>
      <c r="FV497" s="4"/>
      <c r="FW497" s="4"/>
      <c r="FX497" s="4"/>
      <c r="FY497" s="4"/>
      <c r="FZ497" s="4"/>
      <c r="GA497" s="4"/>
      <c r="GB497" s="4"/>
      <c r="GC497" s="4"/>
      <c r="GD497" s="4"/>
      <c r="GE497" s="4"/>
      <c r="GF497" s="4"/>
    </row>
    <row r="498">
      <c r="A498" s="2" t="s">
        <v>3375</v>
      </c>
      <c r="B498" s="2" t="s">
        <v>800</v>
      </c>
      <c r="C498" s="2" t="s">
        <v>226</v>
      </c>
      <c r="D498" s="2" t="s">
        <v>529</v>
      </c>
      <c r="E498" s="2" t="s">
        <v>1134</v>
      </c>
      <c r="F498" s="2" t="s">
        <v>3362</v>
      </c>
      <c r="G498" s="2" t="s">
        <v>3363</v>
      </c>
      <c r="H498" s="2" t="s">
        <v>3363</v>
      </c>
      <c r="I498" s="2" t="s">
        <v>3364</v>
      </c>
      <c r="J498" s="2" t="s">
        <v>821</v>
      </c>
      <c r="K498" s="2" t="s">
        <v>3376</v>
      </c>
      <c r="L498" s="3">
        <v>19.46</v>
      </c>
      <c r="M498" s="3">
        <v>20.43</v>
      </c>
      <c r="N498" s="3">
        <v>39.99</v>
      </c>
      <c r="O498" s="2" t="s">
        <v>203</v>
      </c>
      <c r="P498" s="2" t="s">
        <v>204</v>
      </c>
      <c r="Q498" s="2" t="s">
        <v>205</v>
      </c>
      <c r="R498" s="2" t="s">
        <v>206</v>
      </c>
      <c r="S498" s="2" t="s">
        <v>3377</v>
      </c>
      <c r="T498" s="2" t="s">
        <v>292</v>
      </c>
      <c r="U498" s="2" t="s">
        <v>206</v>
      </c>
      <c r="V498" s="2" t="s">
        <v>209</v>
      </c>
      <c r="W498" s="2" t="s">
        <v>210</v>
      </c>
      <c r="X498" s="2" t="s">
        <v>206</v>
      </c>
      <c r="Y498" s="2" t="s">
        <v>211</v>
      </c>
      <c r="Z498" s="4">
        <v>313</v>
      </c>
      <c r="AA498" s="4">
        <f>=ROUNDDOWN(39.125,0)</f>
      </c>
      <c r="AB498" s="5">
        <v>8</v>
      </c>
      <c r="AC498" s="2" t="s">
        <v>119</v>
      </c>
      <c r="AD498" s="4">
        <v>150</v>
      </c>
      <c r="AE498" s="4">
        <v>250</v>
      </c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206</v>
      </c>
      <c r="AM498" s="4"/>
      <c r="AN498" s="4"/>
      <c r="AO498" s="7"/>
      <c r="AP498" s="4"/>
      <c r="AQ498" s="8"/>
      <c r="AR498" s="4"/>
      <c r="AS498" s="8"/>
      <c r="AT498" s="7"/>
      <c r="AU498" s="7"/>
      <c r="AV498" s="4" t="s">
        <v>206</v>
      </c>
      <c r="AW498" s="8" t="s">
        <v>206</v>
      </c>
      <c r="AX498" s="4" t="s">
        <v>206</v>
      </c>
      <c r="AY498" s="8" t="s">
        <v>206</v>
      </c>
      <c r="AZ498" s="7" t="s">
        <v>206</v>
      </c>
      <c r="BA498" s="7" t="s">
        <v>206</v>
      </c>
      <c r="BB498" s="7"/>
      <c r="BC498" s="4" t="s">
        <v>206</v>
      </c>
      <c r="BD498" s="8" t="s">
        <v>206</v>
      </c>
      <c r="BE498" s="4" t="s">
        <v>206</v>
      </c>
      <c r="BF498" s="8" t="s">
        <v>206</v>
      </c>
      <c r="BG498" s="7" t="s">
        <v>206</v>
      </c>
      <c r="BH498" s="7" t="s">
        <v>206</v>
      </c>
      <c r="BI498" s="7"/>
      <c r="BJ498" s="4">
        <v>34</v>
      </c>
      <c r="BK498" s="8">
        <v>672.8</v>
      </c>
      <c r="BL498" s="2" t="s">
        <v>3378</v>
      </c>
      <c r="BM498" s="7"/>
      <c r="BN498" s="7"/>
      <c r="BO498" s="4"/>
      <c r="BP498" s="8"/>
      <c r="BQ498" s="4"/>
      <c r="BR498" s="8"/>
      <c r="BS498" s="7"/>
      <c r="BT498" s="7"/>
      <c r="BU498" s="2" t="s">
        <v>3379</v>
      </c>
      <c r="BV498" s="2" t="s">
        <v>206</v>
      </c>
      <c r="BW498" s="2" t="s">
        <v>206</v>
      </c>
      <c r="BX498" s="2" t="s">
        <v>214</v>
      </c>
      <c r="BY498" s="2" t="s">
        <v>215</v>
      </c>
      <c r="BZ498" s="2" t="s">
        <v>203</v>
      </c>
      <c r="CA498" s="2" t="s">
        <v>216</v>
      </c>
      <c r="CB498" s="2" t="s">
        <v>382</v>
      </c>
      <c r="CC498" s="2" t="s">
        <v>218</v>
      </c>
      <c r="CD498" s="2" t="s">
        <v>206</v>
      </c>
      <c r="CE498" s="4">
        <v>313</v>
      </c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>
        <v>150</v>
      </c>
      <c r="DH498" s="4"/>
      <c r="DI498" s="4"/>
      <c r="DJ498" s="4"/>
      <c r="DK498" s="4"/>
      <c r="DL498" s="4"/>
      <c r="DM498" s="4"/>
      <c r="DN498" s="4"/>
      <c r="DO498" s="4">
        <v>100</v>
      </c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  <c r="FR498" s="4"/>
      <c r="FS498" s="4"/>
      <c r="FT498" s="4"/>
      <c r="FU498" s="4"/>
      <c r="FV498" s="4"/>
      <c r="FW498" s="4"/>
      <c r="FX498" s="4"/>
      <c r="FY498" s="4"/>
      <c r="FZ498" s="4"/>
      <c r="GA498" s="4"/>
      <c r="GB498" s="4"/>
      <c r="GC498" s="4"/>
      <c r="GD498" s="4"/>
      <c r="GE498" s="4"/>
      <c r="GF498" s="4"/>
    </row>
    <row r="499">
      <c r="A499" s="2" t="s">
        <v>3380</v>
      </c>
      <c r="B499" s="2" t="s">
        <v>800</v>
      </c>
      <c r="C499" s="2" t="s">
        <v>226</v>
      </c>
      <c r="D499" s="2" t="s">
        <v>529</v>
      </c>
      <c r="E499" s="2" t="s">
        <v>1134</v>
      </c>
      <c r="F499" s="2" t="s">
        <v>3362</v>
      </c>
      <c r="G499" s="2" t="s">
        <v>3363</v>
      </c>
      <c r="H499" s="2" t="s">
        <v>3363</v>
      </c>
      <c r="I499" s="2" t="s">
        <v>3364</v>
      </c>
      <c r="J499" s="2" t="s">
        <v>593</v>
      </c>
      <c r="K499" s="2" t="s">
        <v>3376</v>
      </c>
      <c r="L499" s="3">
        <v>25.7</v>
      </c>
      <c r="M499" s="3">
        <v>26.98</v>
      </c>
      <c r="N499" s="3">
        <v>51.99</v>
      </c>
      <c r="O499" s="2" t="s">
        <v>203</v>
      </c>
      <c r="P499" s="2" t="s">
        <v>204</v>
      </c>
      <c r="Q499" s="2" t="s">
        <v>205</v>
      </c>
      <c r="R499" s="2" t="s">
        <v>206</v>
      </c>
      <c r="S499" s="2" t="s">
        <v>3377</v>
      </c>
      <c r="T499" s="2" t="s">
        <v>292</v>
      </c>
      <c r="U499" s="2" t="s">
        <v>206</v>
      </c>
      <c r="V499" s="2" t="s">
        <v>209</v>
      </c>
      <c r="W499" s="2" t="s">
        <v>210</v>
      </c>
      <c r="X499" s="2" t="s">
        <v>206</v>
      </c>
      <c r="Y499" s="2" t="s">
        <v>211</v>
      </c>
      <c r="Z499" s="4">
        <v>318</v>
      </c>
      <c r="AA499" s="4">
        <f>=ROUNDDOWN(18.7058823529412,0)</f>
      </c>
      <c r="AB499" s="5">
        <v>17</v>
      </c>
      <c r="AC499" s="2" t="s">
        <v>119</v>
      </c>
      <c r="AD499" s="4">
        <v>150</v>
      </c>
      <c r="AE499" s="4">
        <v>632</v>
      </c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206</v>
      </c>
      <c r="AM499" s="4"/>
      <c r="AN499" s="4"/>
      <c r="AO499" s="7"/>
      <c r="AP499" s="4"/>
      <c r="AQ499" s="8"/>
      <c r="AR499" s="4"/>
      <c r="AS499" s="8"/>
      <c r="AT499" s="7"/>
      <c r="AU499" s="7"/>
      <c r="AV499" s="4" t="s">
        <v>206</v>
      </c>
      <c r="AW499" s="8" t="s">
        <v>206</v>
      </c>
      <c r="AX499" s="4" t="s">
        <v>206</v>
      </c>
      <c r="AY499" s="8" t="s">
        <v>206</v>
      </c>
      <c r="AZ499" s="7" t="s">
        <v>206</v>
      </c>
      <c r="BA499" s="7" t="s">
        <v>206</v>
      </c>
      <c r="BB499" s="7"/>
      <c r="BC499" s="4" t="s">
        <v>206</v>
      </c>
      <c r="BD499" s="8" t="s">
        <v>206</v>
      </c>
      <c r="BE499" s="4" t="s">
        <v>206</v>
      </c>
      <c r="BF499" s="8" t="s">
        <v>206</v>
      </c>
      <c r="BG499" s="7" t="s">
        <v>206</v>
      </c>
      <c r="BH499" s="7" t="s">
        <v>206</v>
      </c>
      <c r="BI499" s="7"/>
      <c r="BJ499" s="4">
        <v>109</v>
      </c>
      <c r="BK499" s="8">
        <v>2997.56</v>
      </c>
      <c r="BL499" s="2" t="s">
        <v>3381</v>
      </c>
      <c r="BM499" s="7"/>
      <c r="BN499" s="7"/>
      <c r="BO499" s="4"/>
      <c r="BP499" s="8"/>
      <c r="BQ499" s="4"/>
      <c r="BR499" s="8"/>
      <c r="BS499" s="7"/>
      <c r="BT499" s="7"/>
      <c r="BU499" s="2" t="s">
        <v>3382</v>
      </c>
      <c r="BV499" s="2" t="s">
        <v>206</v>
      </c>
      <c r="BW499" s="2" t="s">
        <v>206</v>
      </c>
      <c r="BX499" s="2" t="s">
        <v>214</v>
      </c>
      <c r="BY499" s="2" t="s">
        <v>215</v>
      </c>
      <c r="BZ499" s="2" t="s">
        <v>203</v>
      </c>
      <c r="CA499" s="2" t="s">
        <v>216</v>
      </c>
      <c r="CB499" s="2" t="s">
        <v>3383</v>
      </c>
      <c r="CC499" s="2" t="s">
        <v>218</v>
      </c>
      <c r="CD499" s="2" t="s">
        <v>206</v>
      </c>
      <c r="CE499" s="4">
        <v>318</v>
      </c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>
        <v>150</v>
      </c>
      <c r="DH499" s="4"/>
      <c r="DI499" s="4"/>
      <c r="DJ499" s="4"/>
      <c r="DK499" s="4"/>
      <c r="DL499" s="4"/>
      <c r="DM499" s="4"/>
      <c r="DN499" s="4"/>
      <c r="DO499" s="4">
        <v>300</v>
      </c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>
        <v>182</v>
      </c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/>
      <c r="FH499" s="4"/>
      <c r="FI499" s="4"/>
      <c r="FJ499" s="4"/>
      <c r="FK499" s="4"/>
      <c r="FL499" s="4"/>
      <c r="FM499" s="4"/>
      <c r="FN499" s="4"/>
      <c r="FO499" s="4"/>
      <c r="FP499" s="4"/>
      <c r="FQ499" s="4"/>
      <c r="FR499" s="4"/>
      <c r="FS499" s="4"/>
      <c r="FT499" s="4"/>
      <c r="FU499" s="4"/>
      <c r="FV499" s="4"/>
      <c r="FW499" s="4"/>
      <c r="FX499" s="4"/>
      <c r="FY499" s="4"/>
      <c r="FZ499" s="4"/>
      <c r="GA499" s="4"/>
      <c r="GB499" s="4"/>
      <c r="GC499" s="4"/>
      <c r="GD499" s="4"/>
      <c r="GE499" s="4"/>
      <c r="GF499" s="4"/>
    </row>
    <row r="500">
      <c r="A500" s="2" t="s">
        <v>3384</v>
      </c>
      <c r="B500" s="2" t="s">
        <v>800</v>
      </c>
      <c r="C500" s="2" t="s">
        <v>226</v>
      </c>
      <c r="D500" s="2" t="s">
        <v>529</v>
      </c>
      <c r="E500" s="2" t="s">
        <v>1134</v>
      </c>
      <c r="F500" s="2" t="s">
        <v>3362</v>
      </c>
      <c r="G500" s="2" t="s">
        <v>3363</v>
      </c>
      <c r="H500" s="2" t="s">
        <v>3363</v>
      </c>
      <c r="I500" s="2" t="s">
        <v>3364</v>
      </c>
      <c r="J500" s="2" t="s">
        <v>231</v>
      </c>
      <c r="K500" s="2" t="s">
        <v>3376</v>
      </c>
      <c r="L500" s="3">
        <v>30.65</v>
      </c>
      <c r="M500" s="3">
        <v>32.18</v>
      </c>
      <c r="N500" s="3">
        <v>62.99</v>
      </c>
      <c r="O500" s="2" t="s">
        <v>203</v>
      </c>
      <c r="P500" s="2" t="s">
        <v>204</v>
      </c>
      <c r="Q500" s="2" t="s">
        <v>205</v>
      </c>
      <c r="R500" s="2" t="s">
        <v>206</v>
      </c>
      <c r="S500" s="2" t="s">
        <v>3377</v>
      </c>
      <c r="T500" s="2" t="s">
        <v>292</v>
      </c>
      <c r="U500" s="2" t="s">
        <v>206</v>
      </c>
      <c r="V500" s="2" t="s">
        <v>209</v>
      </c>
      <c r="W500" s="2" t="s">
        <v>210</v>
      </c>
      <c r="X500" s="2" t="s">
        <v>206</v>
      </c>
      <c r="Y500" s="2" t="s">
        <v>211</v>
      </c>
      <c r="Z500" s="4">
        <v>248</v>
      </c>
      <c r="AA500" s="4">
        <f>=ROUNDDOWN(31,0)</f>
      </c>
      <c r="AB500" s="5">
        <v>8</v>
      </c>
      <c r="AC500" s="2" t="s">
        <v>119</v>
      </c>
      <c r="AD500" s="4">
        <v>130</v>
      </c>
      <c r="AE500" s="4">
        <v>279</v>
      </c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206</v>
      </c>
      <c r="AM500" s="4"/>
      <c r="AN500" s="4"/>
      <c r="AO500" s="7"/>
      <c r="AP500" s="4"/>
      <c r="AQ500" s="8"/>
      <c r="AR500" s="4"/>
      <c r="AS500" s="8"/>
      <c r="AT500" s="7"/>
      <c r="AU500" s="7"/>
      <c r="AV500" s="4" t="s">
        <v>206</v>
      </c>
      <c r="AW500" s="8" t="s">
        <v>206</v>
      </c>
      <c r="AX500" s="4" t="s">
        <v>206</v>
      </c>
      <c r="AY500" s="8" t="s">
        <v>206</v>
      </c>
      <c r="AZ500" s="7" t="s">
        <v>206</v>
      </c>
      <c r="BA500" s="7" t="s">
        <v>206</v>
      </c>
      <c r="BB500" s="7"/>
      <c r="BC500" s="4" t="s">
        <v>206</v>
      </c>
      <c r="BD500" s="8" t="s">
        <v>206</v>
      </c>
      <c r="BE500" s="4" t="s">
        <v>206</v>
      </c>
      <c r="BF500" s="8" t="s">
        <v>206</v>
      </c>
      <c r="BG500" s="7" t="s">
        <v>206</v>
      </c>
      <c r="BH500" s="7" t="s">
        <v>206</v>
      </c>
      <c r="BI500" s="7"/>
      <c r="BJ500" s="4">
        <v>29</v>
      </c>
      <c r="BK500" s="8">
        <v>954.31</v>
      </c>
      <c r="BL500" s="2" t="s">
        <v>3385</v>
      </c>
      <c r="BM500" s="7"/>
      <c r="BN500" s="7"/>
      <c r="BO500" s="4"/>
      <c r="BP500" s="8"/>
      <c r="BQ500" s="4"/>
      <c r="BR500" s="8"/>
      <c r="BS500" s="7"/>
      <c r="BT500" s="7"/>
      <c r="BU500" s="2" t="s">
        <v>3386</v>
      </c>
      <c r="BV500" s="2" t="s">
        <v>206</v>
      </c>
      <c r="BW500" s="2" t="s">
        <v>206</v>
      </c>
      <c r="BX500" s="2" t="s">
        <v>214</v>
      </c>
      <c r="BY500" s="2" t="s">
        <v>215</v>
      </c>
      <c r="BZ500" s="2" t="s">
        <v>203</v>
      </c>
      <c r="CA500" s="2" t="s">
        <v>216</v>
      </c>
      <c r="CB500" s="2" t="s">
        <v>368</v>
      </c>
      <c r="CC500" s="2" t="s">
        <v>218</v>
      </c>
      <c r="CD500" s="2" t="s">
        <v>206</v>
      </c>
      <c r="CE500" s="4">
        <v>248</v>
      </c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>
        <v>130</v>
      </c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>
        <v>149</v>
      </c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  <c r="FR500" s="4"/>
      <c r="FS500" s="4"/>
      <c r="FT500" s="4"/>
      <c r="FU500" s="4"/>
      <c r="FV500" s="4"/>
      <c r="FW500" s="4"/>
      <c r="FX500" s="4"/>
      <c r="FY500" s="4"/>
      <c r="FZ500" s="4"/>
      <c r="GA500" s="4"/>
      <c r="GB500" s="4"/>
      <c r="GC500" s="4"/>
      <c r="GD500" s="4"/>
      <c r="GE500" s="4"/>
      <c r="GF500" s="4"/>
    </row>
    <row r="501">
      <c r="A501" s="2" t="s">
        <v>3387</v>
      </c>
      <c r="B501" s="2" t="s">
        <v>662</v>
      </c>
      <c r="C501" s="2" t="s">
        <v>287</v>
      </c>
      <c r="D501" s="2" t="s">
        <v>663</v>
      </c>
      <c r="E501" s="2" t="s">
        <v>664</v>
      </c>
      <c r="F501" s="2" t="s">
        <v>3388</v>
      </c>
      <c r="G501" s="2" t="s">
        <v>3389</v>
      </c>
      <c r="H501" s="2" t="s">
        <v>3390</v>
      </c>
      <c r="I501" s="2" t="s">
        <v>3391</v>
      </c>
      <c r="J501" s="2" t="s">
        <v>3392</v>
      </c>
      <c r="K501" s="2" t="s">
        <v>1049</v>
      </c>
      <c r="L501" s="3">
        <v>13.29</v>
      </c>
      <c r="M501" s="3">
        <v>13.95</v>
      </c>
      <c r="N501" s="3">
        <v>26.99</v>
      </c>
      <c r="O501" s="2" t="s">
        <v>203</v>
      </c>
      <c r="P501" s="2" t="s">
        <v>204</v>
      </c>
      <c r="Q501" s="2" t="s">
        <v>205</v>
      </c>
      <c r="R501" s="2" t="s">
        <v>206</v>
      </c>
      <c r="S501" s="2" t="s">
        <v>3393</v>
      </c>
      <c r="T501" s="2" t="s">
        <v>206</v>
      </c>
      <c r="U501" s="2" t="s">
        <v>437</v>
      </c>
      <c r="V501" s="2" t="s">
        <v>209</v>
      </c>
      <c r="W501" s="2" t="s">
        <v>210</v>
      </c>
      <c r="X501" s="2" t="s">
        <v>206</v>
      </c>
      <c r="Y501" s="2" t="s">
        <v>2277</v>
      </c>
      <c r="Z501" s="4">
        <v>392</v>
      </c>
      <c r="AA501" s="4">
        <f>=ROUNDDOWN(39.2,0)</f>
      </c>
      <c r="AB501" s="5">
        <v>10</v>
      </c>
      <c r="AC501" s="2" t="s">
        <v>206</v>
      </c>
      <c r="AD501" s="4"/>
      <c r="AE501" s="4"/>
      <c r="AF501" s="6">
        <v>69</v>
      </c>
      <c r="AG501" s="6"/>
      <c r="AH501" s="7">
        <v>1</v>
      </c>
      <c r="AI501" s="4"/>
      <c r="AJ501" s="4">
        <f>=ROUNDDOWN({0},0)</f>
      </c>
      <c r="AK501" s="5"/>
      <c r="AL501" s="2" t="s">
        <v>206</v>
      </c>
      <c r="AM501" s="4"/>
      <c r="AN501" s="4"/>
      <c r="AO501" s="7"/>
      <c r="AP501" s="4"/>
      <c r="AQ501" s="8"/>
      <c r="AR501" s="4"/>
      <c r="AS501" s="8"/>
      <c r="AT501" s="7"/>
      <c r="AU501" s="7"/>
      <c r="AV501" s="4" t="s">
        <v>206</v>
      </c>
      <c r="AW501" s="8" t="s">
        <v>206</v>
      </c>
      <c r="AX501" s="4" t="s">
        <v>206</v>
      </c>
      <c r="AY501" s="8" t="s">
        <v>206</v>
      </c>
      <c r="AZ501" s="7" t="s">
        <v>206</v>
      </c>
      <c r="BA501" s="7" t="s">
        <v>206</v>
      </c>
      <c r="BB501" s="7"/>
      <c r="BC501" s="4" t="s">
        <v>206</v>
      </c>
      <c r="BD501" s="8" t="s">
        <v>206</v>
      </c>
      <c r="BE501" s="4" t="s">
        <v>206</v>
      </c>
      <c r="BF501" s="8" t="s">
        <v>206</v>
      </c>
      <c r="BG501" s="7" t="s">
        <v>206</v>
      </c>
      <c r="BH501" s="7" t="s">
        <v>206</v>
      </c>
      <c r="BI501" s="7"/>
      <c r="BJ501" s="4">
        <v>63</v>
      </c>
      <c r="BK501" s="8">
        <v>924.73</v>
      </c>
      <c r="BL501" s="2" t="s">
        <v>3394</v>
      </c>
      <c r="BM501" s="7"/>
      <c r="BN501" s="7"/>
      <c r="BO501" s="4"/>
      <c r="BP501" s="8"/>
      <c r="BQ501" s="4"/>
      <c r="BR501" s="8"/>
      <c r="BS501" s="7"/>
      <c r="BT501" s="7"/>
      <c r="BU501" s="2" t="s">
        <v>3395</v>
      </c>
      <c r="BV501" s="2" t="s">
        <v>206</v>
      </c>
      <c r="BW501" s="2" t="s">
        <v>206</v>
      </c>
      <c r="BX501" s="2" t="s">
        <v>214</v>
      </c>
      <c r="BY501" s="2" t="s">
        <v>215</v>
      </c>
      <c r="BZ501" s="2" t="s">
        <v>203</v>
      </c>
      <c r="CA501" s="2" t="s">
        <v>3396</v>
      </c>
      <c r="CB501" s="2" t="s">
        <v>2225</v>
      </c>
      <c r="CC501" s="2" t="s">
        <v>218</v>
      </c>
      <c r="CD501" s="2" t="s">
        <v>206</v>
      </c>
      <c r="CE501" s="4">
        <v>392</v>
      </c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  <c r="FS501" s="4"/>
      <c r="FT501" s="4"/>
      <c r="FU501" s="4"/>
      <c r="FV501" s="4"/>
      <c r="FW501" s="4"/>
      <c r="FX501" s="4"/>
      <c r="FY501" s="4"/>
      <c r="FZ501" s="4"/>
      <c r="GA501" s="4"/>
      <c r="GB501" s="4"/>
      <c r="GC501" s="4"/>
      <c r="GD501" s="4"/>
      <c r="GE501" s="4"/>
      <c r="GF501" s="4"/>
    </row>
    <row r="502">
      <c r="A502" s="2" t="s">
        <v>3397</v>
      </c>
      <c r="B502" s="2" t="s">
        <v>662</v>
      </c>
      <c r="C502" s="2" t="s">
        <v>287</v>
      </c>
      <c r="D502" s="2" t="s">
        <v>663</v>
      </c>
      <c r="E502" s="2" t="s">
        <v>664</v>
      </c>
      <c r="F502" s="2" t="s">
        <v>3388</v>
      </c>
      <c r="G502" s="2" t="s">
        <v>3389</v>
      </c>
      <c r="H502" s="2" t="s">
        <v>3390</v>
      </c>
      <c r="I502" s="2" t="s">
        <v>3391</v>
      </c>
      <c r="J502" s="2" t="s">
        <v>3398</v>
      </c>
      <c r="K502" s="2" t="s">
        <v>1049</v>
      </c>
      <c r="L502" s="3">
        <v>16.24</v>
      </c>
      <c r="M502" s="3">
        <v>17.05</v>
      </c>
      <c r="N502" s="3">
        <v>32.99</v>
      </c>
      <c r="O502" s="2" t="s">
        <v>203</v>
      </c>
      <c r="P502" s="2" t="s">
        <v>204</v>
      </c>
      <c r="Q502" s="2" t="s">
        <v>205</v>
      </c>
      <c r="R502" s="2" t="s">
        <v>206</v>
      </c>
      <c r="S502" s="2" t="s">
        <v>3393</v>
      </c>
      <c r="T502" s="2" t="s">
        <v>206</v>
      </c>
      <c r="U502" s="2" t="s">
        <v>437</v>
      </c>
      <c r="V502" s="2" t="s">
        <v>209</v>
      </c>
      <c r="W502" s="2" t="s">
        <v>210</v>
      </c>
      <c r="X502" s="2" t="s">
        <v>206</v>
      </c>
      <c r="Y502" s="2" t="s">
        <v>2277</v>
      </c>
      <c r="Z502" s="4">
        <v>479</v>
      </c>
      <c r="AA502" s="4">
        <f>=ROUNDDOWN(47.9,0)</f>
      </c>
      <c r="AB502" s="5">
        <v>10</v>
      </c>
      <c r="AC502" s="2" t="s">
        <v>206</v>
      </c>
      <c r="AD502" s="4"/>
      <c r="AE502" s="4"/>
      <c r="AF502" s="6">
        <v>69</v>
      </c>
      <c r="AG502" s="6"/>
      <c r="AH502" s="7">
        <v>1</v>
      </c>
      <c r="AI502" s="4"/>
      <c r="AJ502" s="4">
        <f>=ROUNDDOWN({0},0)</f>
      </c>
      <c r="AK502" s="5"/>
      <c r="AL502" s="2" t="s">
        <v>206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 t="s">
        <v>206</v>
      </c>
      <c r="AW502" s="8" t="s">
        <v>206</v>
      </c>
      <c r="AX502" s="4" t="s">
        <v>206</v>
      </c>
      <c r="AY502" s="8" t="s">
        <v>206</v>
      </c>
      <c r="AZ502" s="7" t="s">
        <v>206</v>
      </c>
      <c r="BA502" s="7" t="s">
        <v>206</v>
      </c>
      <c r="BB502" s="7"/>
      <c r="BC502" s="4" t="s">
        <v>206</v>
      </c>
      <c r="BD502" s="8" t="s">
        <v>206</v>
      </c>
      <c r="BE502" s="4" t="s">
        <v>206</v>
      </c>
      <c r="BF502" s="8" t="s">
        <v>206</v>
      </c>
      <c r="BG502" s="7" t="s">
        <v>206</v>
      </c>
      <c r="BH502" s="7" t="s">
        <v>206</v>
      </c>
      <c r="BI502" s="7"/>
      <c r="BJ502" s="4">
        <v>29</v>
      </c>
      <c r="BK502" s="8">
        <v>538.43</v>
      </c>
      <c r="BL502" s="2" t="s">
        <v>3399</v>
      </c>
      <c r="BM502" s="7"/>
      <c r="BN502" s="7"/>
      <c r="BO502" s="4"/>
      <c r="BP502" s="8"/>
      <c r="BQ502" s="4"/>
      <c r="BR502" s="8"/>
      <c r="BS502" s="7"/>
      <c r="BT502" s="7"/>
      <c r="BU502" s="2" t="s">
        <v>3400</v>
      </c>
      <c r="BV502" s="2" t="s">
        <v>206</v>
      </c>
      <c r="BW502" s="2" t="s">
        <v>206</v>
      </c>
      <c r="BX502" s="2" t="s">
        <v>214</v>
      </c>
      <c r="BY502" s="2" t="s">
        <v>215</v>
      </c>
      <c r="BZ502" s="2" t="s">
        <v>203</v>
      </c>
      <c r="CA502" s="2" t="s">
        <v>3396</v>
      </c>
      <c r="CB502" s="2" t="s">
        <v>1946</v>
      </c>
      <c r="CC502" s="2" t="s">
        <v>218</v>
      </c>
      <c r="CD502" s="2" t="s">
        <v>206</v>
      </c>
      <c r="CE502" s="4">
        <v>479</v>
      </c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  <c r="FG502" s="4"/>
      <c r="FH502" s="4"/>
      <c r="FI502" s="4"/>
      <c r="FJ502" s="4"/>
      <c r="FK502" s="4"/>
      <c r="FL502" s="4"/>
      <c r="FM502" s="4"/>
      <c r="FN502" s="4"/>
      <c r="FO502" s="4"/>
      <c r="FP502" s="4"/>
      <c r="FQ502" s="4"/>
      <c r="FR502" s="4"/>
      <c r="FS502" s="4"/>
      <c r="FT502" s="4"/>
      <c r="FU502" s="4"/>
      <c r="FV502" s="4"/>
      <c r="FW502" s="4"/>
      <c r="FX502" s="4"/>
      <c r="FY502" s="4"/>
      <c r="FZ502" s="4"/>
      <c r="GA502" s="4"/>
      <c r="GB502" s="4"/>
      <c r="GC502" s="4"/>
      <c r="GD502" s="4"/>
      <c r="GE502" s="4"/>
      <c r="GF502" s="4"/>
    </row>
    <row r="503">
      <c r="A503" s="2" t="s">
        <v>3401</v>
      </c>
      <c r="B503" s="2" t="s">
        <v>662</v>
      </c>
      <c r="C503" s="2" t="s">
        <v>287</v>
      </c>
      <c r="D503" s="2" t="s">
        <v>663</v>
      </c>
      <c r="E503" s="2" t="s">
        <v>664</v>
      </c>
      <c r="F503" s="2" t="s">
        <v>3388</v>
      </c>
      <c r="G503" s="2" t="s">
        <v>3389</v>
      </c>
      <c r="H503" s="2" t="s">
        <v>3390</v>
      </c>
      <c r="I503" s="2" t="s">
        <v>3391</v>
      </c>
      <c r="J503" s="2" t="s">
        <v>3402</v>
      </c>
      <c r="K503" s="2" t="s">
        <v>1049</v>
      </c>
      <c r="L503" s="3">
        <v>23.63</v>
      </c>
      <c r="M503" s="3">
        <v>24.81</v>
      </c>
      <c r="N503" s="3">
        <v>47.99</v>
      </c>
      <c r="O503" s="2" t="s">
        <v>203</v>
      </c>
      <c r="P503" s="2" t="s">
        <v>204</v>
      </c>
      <c r="Q503" s="2" t="s">
        <v>205</v>
      </c>
      <c r="R503" s="2" t="s">
        <v>206</v>
      </c>
      <c r="S503" s="2" t="s">
        <v>3393</v>
      </c>
      <c r="T503" s="2" t="s">
        <v>206</v>
      </c>
      <c r="U503" s="2" t="s">
        <v>437</v>
      </c>
      <c r="V503" s="2" t="s">
        <v>209</v>
      </c>
      <c r="W503" s="2" t="s">
        <v>210</v>
      </c>
      <c r="X503" s="2" t="s">
        <v>206</v>
      </c>
      <c r="Y503" s="2" t="s">
        <v>2277</v>
      </c>
      <c r="Z503" s="4">
        <v>508</v>
      </c>
      <c r="AA503" s="4">
        <f>=ROUNDDOWN(42.3333333333333,0)</f>
      </c>
      <c r="AB503" s="5">
        <v>12</v>
      </c>
      <c r="AC503" s="2" t="s">
        <v>206</v>
      </c>
      <c r="AD503" s="4"/>
      <c r="AE503" s="4"/>
      <c r="AF503" s="6">
        <v>69</v>
      </c>
      <c r="AG503" s="6"/>
      <c r="AH503" s="7">
        <v>1</v>
      </c>
      <c r="AI503" s="4"/>
      <c r="AJ503" s="4">
        <f>=ROUNDDOWN({0},0)</f>
      </c>
      <c r="AK503" s="5"/>
      <c r="AL503" s="2" t="s">
        <v>206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 t="s">
        <v>206</v>
      </c>
      <c r="AW503" s="8" t="s">
        <v>206</v>
      </c>
      <c r="AX503" s="4" t="s">
        <v>206</v>
      </c>
      <c r="AY503" s="8" t="s">
        <v>206</v>
      </c>
      <c r="AZ503" s="7" t="s">
        <v>206</v>
      </c>
      <c r="BA503" s="7" t="s">
        <v>206</v>
      </c>
      <c r="BB503" s="7"/>
      <c r="BC503" s="4" t="s">
        <v>206</v>
      </c>
      <c r="BD503" s="8" t="s">
        <v>206</v>
      </c>
      <c r="BE503" s="4" t="s">
        <v>206</v>
      </c>
      <c r="BF503" s="8" t="s">
        <v>206</v>
      </c>
      <c r="BG503" s="7" t="s">
        <v>206</v>
      </c>
      <c r="BH503" s="7" t="s">
        <v>206</v>
      </c>
      <c r="BI503" s="7"/>
      <c r="BJ503" s="4">
        <v>55</v>
      </c>
      <c r="BK503" s="8">
        <v>1454.01</v>
      </c>
      <c r="BL503" s="2" t="s">
        <v>3403</v>
      </c>
      <c r="BM503" s="7"/>
      <c r="BN503" s="7"/>
      <c r="BO503" s="4"/>
      <c r="BP503" s="8"/>
      <c r="BQ503" s="4"/>
      <c r="BR503" s="8"/>
      <c r="BS503" s="7"/>
      <c r="BT503" s="7"/>
      <c r="BU503" s="2" t="s">
        <v>3404</v>
      </c>
      <c r="BV503" s="2" t="s">
        <v>206</v>
      </c>
      <c r="BW503" s="2" t="s">
        <v>206</v>
      </c>
      <c r="BX503" s="2" t="s">
        <v>214</v>
      </c>
      <c r="BY503" s="2" t="s">
        <v>215</v>
      </c>
      <c r="BZ503" s="2" t="s">
        <v>203</v>
      </c>
      <c r="CA503" s="2" t="s">
        <v>3396</v>
      </c>
      <c r="CB503" s="2" t="s">
        <v>2225</v>
      </c>
      <c r="CC503" s="2" t="s">
        <v>218</v>
      </c>
      <c r="CD503" s="2" t="s">
        <v>206</v>
      </c>
      <c r="CE503" s="4">
        <v>508</v>
      </c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/>
      <c r="FH503" s="4"/>
      <c r="FI503" s="4"/>
      <c r="FJ503" s="4"/>
      <c r="FK503" s="4"/>
      <c r="FL503" s="4"/>
      <c r="FM503" s="4"/>
      <c r="FN503" s="4"/>
      <c r="FO503" s="4"/>
      <c r="FP503" s="4"/>
      <c r="FQ503" s="4"/>
      <c r="FR503" s="4"/>
      <c r="FS503" s="4"/>
      <c r="FT503" s="4"/>
      <c r="FU503" s="4"/>
      <c r="FV503" s="4"/>
      <c r="FW503" s="4"/>
      <c r="FX503" s="4"/>
      <c r="FY503" s="4"/>
      <c r="FZ503" s="4"/>
      <c r="GA503" s="4"/>
      <c r="GB503" s="4"/>
      <c r="GC503" s="4"/>
      <c r="GD503" s="4"/>
      <c r="GE503" s="4"/>
      <c r="GF503" s="4"/>
    </row>
    <row r="504">
      <c r="A504" s="2" t="s">
        <v>3405</v>
      </c>
      <c r="B504" s="2" t="s">
        <v>528</v>
      </c>
      <c r="C504" s="2" t="s">
        <v>287</v>
      </c>
      <c r="D504" s="2" t="s">
        <v>529</v>
      </c>
      <c r="E504" s="2" t="s">
        <v>816</v>
      </c>
      <c r="F504" s="2" t="s">
        <v>3406</v>
      </c>
      <c r="G504" s="2" t="s">
        <v>3407</v>
      </c>
      <c r="H504" s="2" t="s">
        <v>3408</v>
      </c>
      <c r="I504" s="2" t="s">
        <v>3409</v>
      </c>
      <c r="J504" s="2" t="s">
        <v>310</v>
      </c>
      <c r="K504" s="2" t="s">
        <v>315</v>
      </c>
      <c r="L504" s="3">
        <v>63.06</v>
      </c>
      <c r="M504" s="3">
        <v>66.21</v>
      </c>
      <c r="N504" s="3">
        <v>119.99</v>
      </c>
      <c r="O504" s="2" t="s">
        <v>203</v>
      </c>
      <c r="P504" s="2" t="s">
        <v>204</v>
      </c>
      <c r="Q504" s="2" t="s">
        <v>205</v>
      </c>
      <c r="R504" s="2" t="s">
        <v>206</v>
      </c>
      <c r="S504" s="2" t="s">
        <v>3410</v>
      </c>
      <c r="T504" s="2" t="s">
        <v>206</v>
      </c>
      <c r="U504" s="2" t="s">
        <v>537</v>
      </c>
      <c r="V504" s="2" t="s">
        <v>2933</v>
      </c>
      <c r="W504" s="2" t="s">
        <v>539</v>
      </c>
      <c r="X504" s="2" t="s">
        <v>439</v>
      </c>
      <c r="Y504" s="2" t="s">
        <v>1953</v>
      </c>
      <c r="Z504" s="4">
        <v>180</v>
      </c>
      <c r="AA504" s="4">
        <f>=ROUNDDOWN(45,0)</f>
      </c>
      <c r="AB504" s="5">
        <v>4</v>
      </c>
      <c r="AC504" s="2" t="s">
        <v>114</v>
      </c>
      <c r="AD504" s="4">
        <v>120</v>
      </c>
      <c r="AE504" s="4">
        <v>120</v>
      </c>
      <c r="AF504" s="6">
        <v>65</v>
      </c>
      <c r="AG504" s="6">
        <v>48</v>
      </c>
      <c r="AH504" s="7">
        <v>1</v>
      </c>
      <c r="AI504" s="4"/>
      <c r="AJ504" s="4">
        <f>=ROUNDDOWN({0},0)</f>
      </c>
      <c r="AK504" s="5"/>
      <c r="AL504" s="2" t="s">
        <v>206</v>
      </c>
      <c r="AM504" s="4"/>
      <c r="AN504" s="4"/>
      <c r="AO504" s="7"/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/>
      <c r="BD504" s="8"/>
      <c r="BE504" s="4"/>
      <c r="BF504" s="8"/>
      <c r="BG504" s="7"/>
      <c r="BH504" s="7"/>
      <c r="BI504" s="7"/>
      <c r="BJ504" s="4">
        <v>10</v>
      </c>
      <c r="BK504" s="8">
        <v>709.06</v>
      </c>
      <c r="BL504" s="2" t="s">
        <v>3411</v>
      </c>
      <c r="BM504" s="7"/>
      <c r="BN504" s="7"/>
      <c r="BO504" s="4"/>
      <c r="BP504" s="8"/>
      <c r="BQ504" s="4"/>
      <c r="BR504" s="8"/>
      <c r="BS504" s="7"/>
      <c r="BT504" s="7"/>
      <c r="BU504" s="2" t="s">
        <v>3412</v>
      </c>
      <c r="BV504" s="2" t="s">
        <v>206</v>
      </c>
      <c r="BW504" s="2" t="s">
        <v>206</v>
      </c>
      <c r="BX504" s="2" t="s">
        <v>426</v>
      </c>
      <c r="BY504" s="2" t="s">
        <v>215</v>
      </c>
      <c r="BZ504" s="2" t="s">
        <v>203</v>
      </c>
      <c r="CA504" s="2" t="s">
        <v>3413</v>
      </c>
      <c r="CB504" s="2" t="s">
        <v>3414</v>
      </c>
      <c r="CC504" s="2" t="s">
        <v>218</v>
      </c>
      <c r="CD504" s="2" t="s">
        <v>206</v>
      </c>
      <c r="CE504" s="4">
        <v>98</v>
      </c>
      <c r="CF504" s="4">
        <v>19</v>
      </c>
      <c r="CG504" s="4"/>
      <c r="CH504" s="4">
        <v>63</v>
      </c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>
        <v>120</v>
      </c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/>
      <c r="FH504" s="4"/>
      <c r="FI504" s="4"/>
      <c r="FJ504" s="4"/>
      <c r="FK504" s="4"/>
      <c r="FL504" s="4"/>
      <c r="FM504" s="4"/>
      <c r="FN504" s="4"/>
      <c r="FO504" s="4"/>
      <c r="FP504" s="4"/>
      <c r="FQ504" s="4"/>
      <c r="FR504" s="4"/>
      <c r="FS504" s="4"/>
      <c r="FT504" s="4"/>
      <c r="FU504" s="4"/>
      <c r="FV504" s="4"/>
      <c r="FW504" s="4"/>
      <c r="FX504" s="4"/>
      <c r="FY504" s="4"/>
      <c r="FZ504" s="4"/>
      <c r="GA504" s="4"/>
      <c r="GB504" s="4"/>
      <c r="GC504" s="4"/>
      <c r="GD504" s="4"/>
      <c r="GE504" s="4"/>
      <c r="GF504" s="4"/>
    </row>
    <row r="505">
      <c r="A505" s="2" t="s">
        <v>3415</v>
      </c>
      <c r="B505" s="2" t="s">
        <v>429</v>
      </c>
      <c r="C505" s="2" t="s">
        <v>287</v>
      </c>
      <c r="D505" s="2" t="s">
        <v>895</v>
      </c>
      <c r="E505" s="2" t="s">
        <v>2171</v>
      </c>
      <c r="F505" s="2" t="s">
        <v>3416</v>
      </c>
      <c r="G505" s="2" t="s">
        <v>3417</v>
      </c>
      <c r="H505" s="2" t="s">
        <v>3416</v>
      </c>
      <c r="I505" s="2" t="s">
        <v>3418</v>
      </c>
      <c r="J505" s="2" t="s">
        <v>434</v>
      </c>
      <c r="K505" s="2" t="s">
        <v>3419</v>
      </c>
      <c r="L505" s="3">
        <v>34.2</v>
      </c>
      <c r="M505" s="3">
        <v>35.91</v>
      </c>
      <c r="N505" s="3">
        <v>67.99</v>
      </c>
      <c r="O505" s="2" t="s">
        <v>203</v>
      </c>
      <c r="P505" s="2" t="s">
        <v>467</v>
      </c>
      <c r="Q505" s="2" t="s">
        <v>205</v>
      </c>
      <c r="R505" s="2" t="s">
        <v>206</v>
      </c>
      <c r="S505" s="2" t="s">
        <v>3420</v>
      </c>
      <c r="T505" s="2" t="s">
        <v>206</v>
      </c>
      <c r="U505" s="2" t="s">
        <v>437</v>
      </c>
      <c r="V505" s="2" t="s">
        <v>3421</v>
      </c>
      <c r="W505" s="2" t="s">
        <v>2748</v>
      </c>
      <c r="X505" s="2" t="s">
        <v>210</v>
      </c>
      <c r="Y505" s="2" t="s">
        <v>3422</v>
      </c>
      <c r="Z505" s="4">
        <v>17</v>
      </c>
      <c r="AA505" s="4">
        <f>=ROUNDDOWN(4.25,0)</f>
      </c>
      <c r="AB505" s="5">
        <v>4</v>
      </c>
      <c r="AC505" s="2" t="s">
        <v>122</v>
      </c>
      <c r="AD505" s="4">
        <v>100</v>
      </c>
      <c r="AE505" s="4">
        <v>100</v>
      </c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206</v>
      </c>
      <c r="AM505" s="4"/>
      <c r="AN505" s="4"/>
      <c r="AO505" s="7"/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>
        <v>28</v>
      </c>
      <c r="BK505" s="8">
        <v>1124.14</v>
      </c>
      <c r="BL505" s="2" t="s">
        <v>3423</v>
      </c>
      <c r="BM505" s="7"/>
      <c r="BN505" s="7"/>
      <c r="BO505" s="4"/>
      <c r="BP505" s="8"/>
      <c r="BQ505" s="4"/>
      <c r="BR505" s="8"/>
      <c r="BS505" s="7"/>
      <c r="BT505" s="7"/>
      <c r="BU505" s="2" t="s">
        <v>3424</v>
      </c>
      <c r="BV505" s="2" t="s">
        <v>206</v>
      </c>
      <c r="BW505" s="2" t="s">
        <v>206</v>
      </c>
      <c r="BX505" s="2" t="s">
        <v>214</v>
      </c>
      <c r="BY505" s="2" t="s">
        <v>215</v>
      </c>
      <c r="BZ505" s="2" t="s">
        <v>203</v>
      </c>
      <c r="CA505" s="2" t="s">
        <v>3425</v>
      </c>
      <c r="CB505" s="2" t="s">
        <v>3426</v>
      </c>
      <c r="CC505" s="2" t="s">
        <v>218</v>
      </c>
      <c r="CD505" s="2" t="s">
        <v>206</v>
      </c>
      <c r="CE505" s="4"/>
      <c r="CF505" s="4">
        <v>17</v>
      </c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>
        <v>100</v>
      </c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  <c r="FG505" s="4"/>
      <c r="FH505" s="4"/>
      <c r="FI505" s="4"/>
      <c r="FJ505" s="4"/>
      <c r="FK505" s="4"/>
      <c r="FL505" s="4"/>
      <c r="FM505" s="4"/>
      <c r="FN505" s="4"/>
      <c r="FO505" s="4"/>
      <c r="FP505" s="4"/>
      <c r="FQ505" s="4"/>
      <c r="FR505" s="4"/>
      <c r="FS505" s="4"/>
      <c r="FT505" s="4"/>
      <c r="FU505" s="4"/>
      <c r="FV505" s="4"/>
      <c r="FW505" s="4"/>
      <c r="FX505" s="4"/>
      <c r="FY505" s="4"/>
      <c r="FZ505" s="4"/>
      <c r="GA505" s="4"/>
      <c r="GB505" s="4"/>
      <c r="GC505" s="4"/>
      <c r="GD505" s="4"/>
      <c r="GE505" s="4"/>
      <c r="GF505" s="4"/>
    </row>
    <row r="506">
      <c r="A506" s="2" t="s">
        <v>3427</v>
      </c>
      <c r="B506" s="2" t="s">
        <v>429</v>
      </c>
      <c r="C506" s="2" t="s">
        <v>287</v>
      </c>
      <c r="D506" s="2" t="s">
        <v>895</v>
      </c>
      <c r="E506" s="2" t="s">
        <v>2171</v>
      </c>
      <c r="F506" s="2" t="s">
        <v>3428</v>
      </c>
      <c r="G506" s="2" t="s">
        <v>3428</v>
      </c>
      <c r="H506" s="2" t="s">
        <v>3428</v>
      </c>
      <c r="I506" s="2" t="s">
        <v>3429</v>
      </c>
      <c r="J506" s="2" t="s">
        <v>434</v>
      </c>
      <c r="K506" s="2" t="s">
        <v>450</v>
      </c>
      <c r="L506" s="3">
        <v>45.85</v>
      </c>
      <c r="M506" s="3">
        <v>48.14</v>
      </c>
      <c r="N506" s="3">
        <v>99.44</v>
      </c>
      <c r="O506" s="2" t="s">
        <v>203</v>
      </c>
      <c r="P506" s="2" t="s">
        <v>492</v>
      </c>
      <c r="Q506" s="2" t="s">
        <v>205</v>
      </c>
      <c r="R506" s="2" t="s">
        <v>206</v>
      </c>
      <c r="S506" s="2" t="s">
        <v>3430</v>
      </c>
      <c r="T506" s="2" t="s">
        <v>206</v>
      </c>
      <c r="U506" s="2" t="s">
        <v>437</v>
      </c>
      <c r="V506" s="2" t="s">
        <v>809</v>
      </c>
      <c r="W506" s="2" t="s">
        <v>539</v>
      </c>
      <c r="X506" s="2" t="s">
        <v>206</v>
      </c>
      <c r="Y506" s="2" t="s">
        <v>3431</v>
      </c>
      <c r="Z506" s="4">
        <v>65</v>
      </c>
      <c r="AA506" s="4">
        <f>=ROUNDDOWN(5.90909090909091,0)</f>
      </c>
      <c r="AB506" s="5">
        <v>11</v>
      </c>
      <c r="AC506" s="2" t="s">
        <v>114</v>
      </c>
      <c r="AD506" s="4">
        <v>50</v>
      </c>
      <c r="AE506" s="4">
        <v>200</v>
      </c>
      <c r="AF506" s="6">
        <v>65</v>
      </c>
      <c r="AG506" s="6">
        <v>48</v>
      </c>
      <c r="AH506" s="7">
        <v>1</v>
      </c>
      <c r="AI506" s="4"/>
      <c r="AJ506" s="4">
        <f>=ROUNDDOWN({0},0)</f>
      </c>
      <c r="AK506" s="5"/>
      <c r="AL506" s="2" t="s">
        <v>206</v>
      </c>
      <c r="AM506" s="4"/>
      <c r="AN506" s="4"/>
      <c r="AO506" s="7"/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/>
      <c r="BD506" s="8"/>
      <c r="BE506" s="4"/>
      <c r="BF506" s="8"/>
      <c r="BG506" s="7"/>
      <c r="BH506" s="7"/>
      <c r="BI506" s="7"/>
      <c r="BJ506" s="4">
        <v>63</v>
      </c>
      <c r="BK506" s="8">
        <v>2892.72</v>
      </c>
      <c r="BL506" s="2" t="s">
        <v>3432</v>
      </c>
      <c r="BM506" s="7"/>
      <c r="BN506" s="7"/>
      <c r="BO506" s="4"/>
      <c r="BP506" s="8"/>
      <c r="BQ506" s="4"/>
      <c r="BR506" s="8"/>
      <c r="BS506" s="7"/>
      <c r="BT506" s="7"/>
      <c r="BU506" s="2" t="s">
        <v>3433</v>
      </c>
      <c r="BV506" s="2" t="s">
        <v>206</v>
      </c>
      <c r="BW506" s="2" t="s">
        <v>206</v>
      </c>
      <c r="BX506" s="2" t="s">
        <v>214</v>
      </c>
      <c r="BY506" s="2" t="s">
        <v>215</v>
      </c>
      <c r="BZ506" s="2" t="s">
        <v>203</v>
      </c>
      <c r="CA506" s="2" t="s">
        <v>702</v>
      </c>
      <c r="CB506" s="2" t="s">
        <v>3434</v>
      </c>
      <c r="CC506" s="2" t="s">
        <v>218</v>
      </c>
      <c r="CD506" s="2" t="s">
        <v>206</v>
      </c>
      <c r="CE506" s="4"/>
      <c r="CF506" s="4">
        <v>15</v>
      </c>
      <c r="CG506" s="4"/>
      <c r="CH506" s="4"/>
      <c r="CI506" s="4"/>
      <c r="CJ506" s="4"/>
      <c r="CK506" s="4"/>
      <c r="CL506" s="4"/>
      <c r="CM506" s="4"/>
      <c r="CN506" s="4"/>
      <c r="CO506" s="4">
        <v>50</v>
      </c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>
        <v>50</v>
      </c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>
        <v>50</v>
      </c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>
        <v>100</v>
      </c>
      <c r="EZ506" s="4"/>
      <c r="FA506" s="4"/>
      <c r="FB506" s="4"/>
      <c r="FC506" s="4"/>
      <c r="FD506" s="4"/>
      <c r="FE506" s="4"/>
      <c r="FF506" s="4"/>
      <c r="FG506" s="4"/>
      <c r="FH506" s="4"/>
      <c r="FI506" s="4"/>
      <c r="FJ506" s="4"/>
      <c r="FK506" s="4"/>
      <c r="FL506" s="4"/>
      <c r="FM506" s="4"/>
      <c r="FN506" s="4"/>
      <c r="FO506" s="4"/>
      <c r="FP506" s="4"/>
      <c r="FQ506" s="4"/>
      <c r="FR506" s="4"/>
      <c r="FS506" s="4"/>
      <c r="FT506" s="4"/>
      <c r="FU506" s="4"/>
      <c r="FV506" s="4"/>
      <c r="FW506" s="4"/>
      <c r="FX506" s="4"/>
      <c r="FY506" s="4"/>
      <c r="FZ506" s="4"/>
      <c r="GA506" s="4"/>
      <c r="GB506" s="4"/>
      <c r="GC506" s="4"/>
      <c r="GD506" s="4"/>
      <c r="GE506" s="4"/>
      <c r="GF506" s="4"/>
    </row>
    <row r="507">
      <c r="A507" s="2" t="s">
        <v>3435</v>
      </c>
      <c r="B507" s="2" t="s">
        <v>461</v>
      </c>
      <c r="C507" s="2" t="s">
        <v>287</v>
      </c>
      <c r="D507" s="2" t="s">
        <v>3436</v>
      </c>
      <c r="E507" s="2" t="s">
        <v>3437</v>
      </c>
      <c r="F507" s="2" t="s">
        <v>3438</v>
      </c>
      <c r="G507" s="2" t="s">
        <v>3439</v>
      </c>
      <c r="H507" s="2" t="s">
        <v>3440</v>
      </c>
      <c r="I507" s="2" t="s">
        <v>3441</v>
      </c>
      <c r="J507" s="2" t="s">
        <v>3442</v>
      </c>
      <c r="K507" s="2" t="s">
        <v>3443</v>
      </c>
      <c r="L507" s="3">
        <v>303.03</v>
      </c>
      <c r="M507" s="3">
        <v>318.18</v>
      </c>
      <c r="N507" s="3">
        <v>649</v>
      </c>
      <c r="O507" s="2" t="s">
        <v>203</v>
      </c>
      <c r="P507" s="2" t="s">
        <v>492</v>
      </c>
      <c r="Q507" s="2" t="s">
        <v>205</v>
      </c>
      <c r="R507" s="2" t="s">
        <v>206</v>
      </c>
      <c r="S507" s="2" t="s">
        <v>206</v>
      </c>
      <c r="T507" s="2" t="s">
        <v>206</v>
      </c>
      <c r="U507" s="2" t="s">
        <v>437</v>
      </c>
      <c r="V507" s="2" t="s">
        <v>468</v>
      </c>
      <c r="W507" s="2" t="s">
        <v>877</v>
      </c>
      <c r="X507" s="2" t="s">
        <v>210</v>
      </c>
      <c r="Y507" s="2" t="s">
        <v>1519</v>
      </c>
      <c r="Z507" s="4">
        <v>196</v>
      </c>
      <c r="AA507" s="4">
        <f>=ROUNDDOWN(17.8181818181818,0)</f>
      </c>
      <c r="AB507" s="5">
        <v>11</v>
      </c>
      <c r="AC507" s="2" t="s">
        <v>121</v>
      </c>
      <c r="AD507" s="4">
        <v>12</v>
      </c>
      <c r="AE507" s="4">
        <v>182</v>
      </c>
      <c r="AF507" s="6">
        <v>76</v>
      </c>
      <c r="AG507" s="6">
        <v>62</v>
      </c>
      <c r="AH507" s="7"/>
      <c r="AI507" s="4"/>
      <c r="AJ507" s="4">
        <f>=ROUNDDOWN({0},0)</f>
      </c>
      <c r="AK507" s="5"/>
      <c r="AL507" s="2" t="s">
        <v>206</v>
      </c>
      <c r="AM507" s="4"/>
      <c r="AN507" s="4"/>
      <c r="AO507" s="7"/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/>
      <c r="BD507" s="8"/>
      <c r="BE507" s="4"/>
      <c r="BF507" s="8"/>
      <c r="BG507" s="7"/>
      <c r="BH507" s="7"/>
      <c r="BI507" s="7"/>
      <c r="BJ507" s="4"/>
      <c r="BK507" s="8"/>
      <c r="BL507" s="2" t="s">
        <v>3444</v>
      </c>
      <c r="BM507" s="7"/>
      <c r="BN507" s="7"/>
      <c r="BO507" s="4"/>
      <c r="BP507" s="8"/>
      <c r="BQ507" s="4"/>
      <c r="BR507" s="8"/>
      <c r="BS507" s="7"/>
      <c r="BT507" s="7"/>
      <c r="BU507" s="2" t="s">
        <v>3445</v>
      </c>
      <c r="BV507" s="2" t="s">
        <v>206</v>
      </c>
      <c r="BW507" s="2" t="s">
        <v>206</v>
      </c>
      <c r="BX507" s="2" t="s">
        <v>426</v>
      </c>
      <c r="BY507" s="2" t="s">
        <v>215</v>
      </c>
      <c r="BZ507" s="2" t="s">
        <v>203</v>
      </c>
      <c r="CA507" s="2" t="s">
        <v>3446</v>
      </c>
      <c r="CB507" s="2" t="s">
        <v>3447</v>
      </c>
      <c r="CC507" s="2" t="s">
        <v>218</v>
      </c>
      <c r="CD507" s="2" t="s">
        <v>206</v>
      </c>
      <c r="CE507" s="4"/>
      <c r="CF507" s="4">
        <v>196</v>
      </c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>
        <v>12</v>
      </c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>
        <v>170</v>
      </c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  <c r="FG507" s="4"/>
      <c r="FH507" s="4"/>
      <c r="FI507" s="4"/>
      <c r="FJ507" s="4"/>
      <c r="FK507" s="4"/>
      <c r="FL507" s="4"/>
      <c r="FM507" s="4"/>
      <c r="FN507" s="4"/>
      <c r="FO507" s="4"/>
      <c r="FP507" s="4"/>
      <c r="FQ507" s="4"/>
      <c r="FR507" s="4"/>
      <c r="FS507" s="4"/>
      <c r="FT507" s="4"/>
      <c r="FU507" s="4"/>
      <c r="FV507" s="4"/>
      <c r="FW507" s="4"/>
      <c r="FX507" s="4"/>
      <c r="FY507" s="4"/>
      <c r="FZ507" s="4"/>
      <c r="GA507" s="4"/>
      <c r="GB507" s="4"/>
      <c r="GC507" s="4"/>
      <c r="GD507" s="4"/>
      <c r="GE507" s="4"/>
      <c r="GF507" s="4"/>
    </row>
    <row r="508">
      <c r="A508" s="2" t="s">
        <v>3448</v>
      </c>
      <c r="B508" s="2" t="s">
        <v>429</v>
      </c>
      <c r="C508" s="2" t="s">
        <v>287</v>
      </c>
      <c r="D508" s="2" t="s">
        <v>909</v>
      </c>
      <c r="E508" s="2" t="s">
        <v>910</v>
      </c>
      <c r="F508" s="2" t="s">
        <v>3449</v>
      </c>
      <c r="G508" s="2" t="s">
        <v>3449</v>
      </c>
      <c r="H508" s="2" t="s">
        <v>3449</v>
      </c>
      <c r="I508" s="2" t="s">
        <v>3450</v>
      </c>
      <c r="J508" s="2" t="s">
        <v>434</v>
      </c>
      <c r="K508" s="2" t="s">
        <v>450</v>
      </c>
      <c r="L508" s="3">
        <v>16.15</v>
      </c>
      <c r="M508" s="3">
        <v>16.96</v>
      </c>
      <c r="N508" s="3">
        <v>33.99</v>
      </c>
      <c r="O508" s="2" t="s">
        <v>203</v>
      </c>
      <c r="P508" s="2" t="s">
        <v>467</v>
      </c>
      <c r="Q508" s="2" t="s">
        <v>205</v>
      </c>
      <c r="R508" s="2" t="s">
        <v>206</v>
      </c>
      <c r="S508" s="2" t="s">
        <v>3451</v>
      </c>
      <c r="T508" s="2" t="s">
        <v>206</v>
      </c>
      <c r="U508" s="2" t="s">
        <v>556</v>
      </c>
      <c r="V508" s="2" t="s">
        <v>538</v>
      </c>
      <c r="W508" s="2" t="s">
        <v>539</v>
      </c>
      <c r="X508" s="2" t="s">
        <v>206</v>
      </c>
      <c r="Y508" s="2" t="s">
        <v>211</v>
      </c>
      <c r="Z508" s="4">
        <v>187</v>
      </c>
      <c r="AA508" s="4">
        <f>=ROUNDDOWN(98.4210526315789,0)</f>
      </c>
      <c r="AB508" s="5">
        <v>1.9</v>
      </c>
      <c r="AC508" s="2" t="s">
        <v>206</v>
      </c>
      <c r="AD508" s="4"/>
      <c r="AE508" s="4"/>
      <c r="AF508" s="6">
        <v>63</v>
      </c>
      <c r="AG508" s="6">
        <v>46</v>
      </c>
      <c r="AH508" s="7">
        <v>1</v>
      </c>
      <c r="AI508" s="4"/>
      <c r="AJ508" s="4">
        <f>=ROUNDDOWN({0},0)</f>
      </c>
      <c r="AK508" s="5"/>
      <c r="AL508" s="2" t="s">
        <v>206</v>
      </c>
      <c r="AM508" s="4"/>
      <c r="AN508" s="4"/>
      <c r="AO508" s="7"/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/>
      <c r="BD508" s="8"/>
      <c r="BE508" s="4"/>
      <c r="BF508" s="8"/>
      <c r="BG508" s="7"/>
      <c r="BH508" s="7"/>
      <c r="BI508" s="7"/>
      <c r="BJ508" s="4">
        <v>8</v>
      </c>
      <c r="BK508" s="8">
        <v>143.12</v>
      </c>
      <c r="BL508" s="2" t="s">
        <v>3452</v>
      </c>
      <c r="BM508" s="7"/>
      <c r="BN508" s="7"/>
      <c r="BO508" s="4"/>
      <c r="BP508" s="8"/>
      <c r="BQ508" s="4"/>
      <c r="BR508" s="8"/>
      <c r="BS508" s="7"/>
      <c r="BT508" s="7"/>
      <c r="BU508" s="2" t="s">
        <v>3453</v>
      </c>
      <c r="BV508" s="2" t="s">
        <v>206</v>
      </c>
      <c r="BW508" s="2" t="s">
        <v>206</v>
      </c>
      <c r="BX508" s="2" t="s">
        <v>214</v>
      </c>
      <c r="BY508" s="2" t="s">
        <v>215</v>
      </c>
      <c r="BZ508" s="2" t="s">
        <v>203</v>
      </c>
      <c r="CA508" s="2" t="s">
        <v>216</v>
      </c>
      <c r="CB508" s="2" t="s">
        <v>1695</v>
      </c>
      <c r="CC508" s="2" t="s">
        <v>218</v>
      </c>
      <c r="CD508" s="2" t="s">
        <v>206</v>
      </c>
      <c r="CE508" s="4"/>
      <c r="CF508" s="4">
        <v>87</v>
      </c>
      <c r="CG508" s="4"/>
      <c r="CH508" s="4"/>
      <c r="CI508" s="4"/>
      <c r="CJ508" s="4"/>
      <c r="CK508" s="4"/>
      <c r="CL508" s="4"/>
      <c r="CM508" s="4"/>
      <c r="CN508" s="4"/>
      <c r="CO508" s="4">
        <v>100</v>
      </c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  <c r="FG508" s="4"/>
      <c r="FH508" s="4"/>
      <c r="FI508" s="4"/>
      <c r="FJ508" s="4"/>
      <c r="FK508" s="4"/>
      <c r="FL508" s="4"/>
      <c r="FM508" s="4"/>
      <c r="FN508" s="4"/>
      <c r="FO508" s="4"/>
      <c r="FP508" s="4"/>
      <c r="FQ508" s="4"/>
      <c r="FR508" s="4"/>
      <c r="FS508" s="4"/>
      <c r="FT508" s="4"/>
      <c r="FU508" s="4"/>
      <c r="FV508" s="4"/>
      <c r="FW508" s="4"/>
      <c r="FX508" s="4"/>
      <c r="FY508" s="4"/>
      <c r="FZ508" s="4"/>
      <c r="GA508" s="4"/>
      <c r="GB508" s="4"/>
      <c r="GC508" s="4"/>
      <c r="GD508" s="4"/>
      <c r="GE508" s="4"/>
      <c r="GF508" s="4"/>
    </row>
    <row r="509">
      <c r="A509" s="2" t="s">
        <v>3454</v>
      </c>
      <c r="B509" s="2" t="s">
        <v>507</v>
      </c>
      <c r="C509" s="2" t="s">
        <v>828</v>
      </c>
      <c r="D509" s="2" t="s">
        <v>508</v>
      </c>
      <c r="E509" s="2" t="s">
        <v>509</v>
      </c>
      <c r="F509" s="2" t="s">
        <v>3455</v>
      </c>
      <c r="G509" s="2" t="s">
        <v>3455</v>
      </c>
      <c r="H509" s="2" t="s">
        <v>3455</v>
      </c>
      <c r="I509" s="2" t="s">
        <v>3456</v>
      </c>
      <c r="J509" s="2" t="s">
        <v>434</v>
      </c>
      <c r="K509" s="2" t="s">
        <v>2756</v>
      </c>
      <c r="L509" s="3">
        <v>76.5</v>
      </c>
      <c r="M509" s="3">
        <v>80.33</v>
      </c>
      <c r="N509" s="3">
        <v>159.99</v>
      </c>
      <c r="O509" s="2" t="s">
        <v>203</v>
      </c>
      <c r="P509" s="2" t="s">
        <v>467</v>
      </c>
      <c r="Q509" s="2" t="s">
        <v>205</v>
      </c>
      <c r="R509" s="2" t="s">
        <v>206</v>
      </c>
      <c r="S509" s="2" t="s">
        <v>206</v>
      </c>
      <c r="T509" s="2" t="s">
        <v>206</v>
      </c>
      <c r="U509" s="2" t="s">
        <v>900</v>
      </c>
      <c r="V509" s="2" t="s">
        <v>468</v>
      </c>
      <c r="W509" s="2" t="s">
        <v>439</v>
      </c>
      <c r="X509" s="2" t="s">
        <v>439</v>
      </c>
      <c r="Y509" s="2" t="s">
        <v>1419</v>
      </c>
      <c r="Z509" s="4">
        <v>75</v>
      </c>
      <c r="AA509" s="4">
        <f>=ROUNDDOWN(75,0)</f>
      </c>
      <c r="AB509" s="5">
        <v>1</v>
      </c>
      <c r="AC509" s="2" t="s">
        <v>206</v>
      </c>
      <c r="AD509" s="4"/>
      <c r="AE509" s="4"/>
      <c r="AF509" s="6">
        <v>63</v>
      </c>
      <c r="AG509" s="6"/>
      <c r="AH509" s="7">
        <v>1</v>
      </c>
      <c r="AI509" s="4"/>
      <c r="AJ509" s="4">
        <f>=ROUNDDOWN({0},0)</f>
      </c>
      <c r="AK509" s="5"/>
      <c r="AL509" s="2" t="s">
        <v>206</v>
      </c>
      <c r="AM509" s="4"/>
      <c r="AN509" s="4"/>
      <c r="AO509" s="7"/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206</v>
      </c>
      <c r="BD509" s="8" t="s">
        <v>206</v>
      </c>
      <c r="BE509" s="4" t="s">
        <v>206</v>
      </c>
      <c r="BF509" s="8" t="s">
        <v>206</v>
      </c>
      <c r="BG509" s="7" t="s">
        <v>206</v>
      </c>
      <c r="BH509" s="7" t="s">
        <v>206</v>
      </c>
      <c r="BI509" s="7"/>
      <c r="BJ509" s="4"/>
      <c r="BK509" s="8"/>
      <c r="BL509" s="2" t="s">
        <v>206</v>
      </c>
      <c r="BM509" s="7"/>
      <c r="BN509" s="7"/>
      <c r="BO509" s="4"/>
      <c r="BP509" s="8"/>
      <c r="BQ509" s="4"/>
      <c r="BR509" s="8"/>
      <c r="BS509" s="7"/>
      <c r="BT509" s="7"/>
      <c r="BU509" s="2" t="s">
        <v>3457</v>
      </c>
      <c r="BV509" s="2" t="s">
        <v>206</v>
      </c>
      <c r="BW509" s="2" t="s">
        <v>206</v>
      </c>
      <c r="BX509" s="2" t="s">
        <v>214</v>
      </c>
      <c r="BY509" s="2" t="s">
        <v>215</v>
      </c>
      <c r="BZ509" s="2" t="s">
        <v>203</v>
      </c>
      <c r="CA509" s="2" t="s">
        <v>241</v>
      </c>
      <c r="CB509" s="2" t="s">
        <v>2487</v>
      </c>
      <c r="CC509" s="2" t="s">
        <v>218</v>
      </c>
      <c r="CD509" s="2" t="s">
        <v>206</v>
      </c>
      <c r="CE509" s="4"/>
      <c r="CF509" s="4">
        <v>75</v>
      </c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/>
      <c r="EN509" s="4"/>
      <c r="EO509" s="4"/>
      <c r="EP509" s="4"/>
      <c r="EQ509" s="4"/>
      <c r="ER509" s="4"/>
      <c r="ES509" s="4"/>
      <c r="ET509" s="4"/>
      <c r="EU509" s="4"/>
      <c r="EV509" s="4"/>
      <c r="EW509" s="4"/>
      <c r="EX509" s="4"/>
      <c r="EY509" s="4"/>
      <c r="EZ509" s="4"/>
      <c r="FA509" s="4"/>
      <c r="FB509" s="4"/>
      <c r="FC509" s="4"/>
      <c r="FD509" s="4"/>
      <c r="FE509" s="4"/>
      <c r="FF509" s="4"/>
      <c r="FG509" s="4"/>
      <c r="FH509" s="4"/>
      <c r="FI509" s="4"/>
      <c r="FJ509" s="4"/>
      <c r="FK509" s="4"/>
      <c r="FL509" s="4"/>
      <c r="FM509" s="4"/>
      <c r="FN509" s="4"/>
      <c r="FO509" s="4"/>
      <c r="FP509" s="4"/>
      <c r="FQ509" s="4"/>
      <c r="FR509" s="4"/>
      <c r="FS509" s="4"/>
      <c r="FT509" s="4"/>
      <c r="FU509" s="4"/>
      <c r="FV509" s="4"/>
      <c r="FW509" s="4"/>
      <c r="FX509" s="4"/>
      <c r="FY509" s="4"/>
      <c r="FZ509" s="4"/>
      <c r="GA509" s="4"/>
      <c r="GB509" s="4"/>
      <c r="GC509" s="4"/>
      <c r="GD509" s="4"/>
      <c r="GE509" s="4"/>
      <c r="GF509" s="4"/>
    </row>
    <row r="510">
      <c r="A510" s="2" t="s">
        <v>3458</v>
      </c>
      <c r="B510" s="2" t="s">
        <v>507</v>
      </c>
      <c r="C510" s="2" t="s">
        <v>828</v>
      </c>
      <c r="D510" s="2" t="s">
        <v>508</v>
      </c>
      <c r="E510" s="2" t="s">
        <v>509</v>
      </c>
      <c r="F510" s="2" t="s">
        <v>3455</v>
      </c>
      <c r="G510" s="2" t="s">
        <v>3455</v>
      </c>
      <c r="H510" s="2" t="s">
        <v>3455</v>
      </c>
      <c r="I510" s="2" t="s">
        <v>3456</v>
      </c>
      <c r="J510" s="2" t="s">
        <v>434</v>
      </c>
      <c r="K510" s="2" t="s">
        <v>3459</v>
      </c>
      <c r="L510" s="3">
        <v>76.5</v>
      </c>
      <c r="M510" s="3">
        <v>80.33</v>
      </c>
      <c r="N510" s="3">
        <v>159.99</v>
      </c>
      <c r="O510" s="2" t="s">
        <v>203</v>
      </c>
      <c r="P510" s="2" t="s">
        <v>204</v>
      </c>
      <c r="Q510" s="2" t="s">
        <v>205</v>
      </c>
      <c r="R510" s="2" t="s">
        <v>206</v>
      </c>
      <c r="S510" s="2" t="s">
        <v>206</v>
      </c>
      <c r="T510" s="2" t="s">
        <v>206</v>
      </c>
      <c r="U510" s="2" t="s">
        <v>900</v>
      </c>
      <c r="V510" s="2" t="s">
        <v>468</v>
      </c>
      <c r="W510" s="2" t="s">
        <v>439</v>
      </c>
      <c r="X510" s="2" t="s">
        <v>439</v>
      </c>
      <c r="Y510" s="2" t="s">
        <v>1419</v>
      </c>
      <c r="Z510" s="4">
        <v>60</v>
      </c>
      <c r="AA510" s="4">
        <f>=ROUNDDOWN(60,0)</f>
      </c>
      <c r="AB510" s="5">
        <v>1</v>
      </c>
      <c r="AC510" s="2" t="s">
        <v>206</v>
      </c>
      <c r="AD510" s="4"/>
      <c r="AE510" s="4"/>
      <c r="AF510" s="6">
        <v>63</v>
      </c>
      <c r="AG510" s="6"/>
      <c r="AH510" s="7">
        <v>1</v>
      </c>
      <c r="AI510" s="4"/>
      <c r="AJ510" s="4">
        <f>=ROUNDDOWN({0},0)</f>
      </c>
      <c r="AK510" s="5"/>
      <c r="AL510" s="2" t="s">
        <v>206</v>
      </c>
      <c r="AM510" s="4"/>
      <c r="AN510" s="4"/>
      <c r="AO510" s="7"/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206</v>
      </c>
      <c r="BD510" s="8" t="s">
        <v>206</v>
      </c>
      <c r="BE510" s="4" t="s">
        <v>206</v>
      </c>
      <c r="BF510" s="8" t="s">
        <v>206</v>
      </c>
      <c r="BG510" s="7" t="s">
        <v>206</v>
      </c>
      <c r="BH510" s="7" t="s">
        <v>206</v>
      </c>
      <c r="BI510" s="7"/>
      <c r="BJ510" s="4">
        <v>5</v>
      </c>
      <c r="BK510" s="8">
        <v>450.84</v>
      </c>
      <c r="BL510" s="2" t="s">
        <v>3460</v>
      </c>
      <c r="BM510" s="7"/>
      <c r="BN510" s="7"/>
      <c r="BO510" s="4"/>
      <c r="BP510" s="8"/>
      <c r="BQ510" s="4"/>
      <c r="BR510" s="8"/>
      <c r="BS510" s="7"/>
      <c r="BT510" s="7"/>
      <c r="BU510" s="2" t="s">
        <v>3461</v>
      </c>
      <c r="BV510" s="2" t="s">
        <v>206</v>
      </c>
      <c r="BW510" s="2" t="s">
        <v>206</v>
      </c>
      <c r="BX510" s="2" t="s">
        <v>214</v>
      </c>
      <c r="BY510" s="2" t="s">
        <v>215</v>
      </c>
      <c r="BZ510" s="2" t="s">
        <v>203</v>
      </c>
      <c r="CA510" s="2" t="s">
        <v>241</v>
      </c>
      <c r="CB510" s="2" t="s">
        <v>1581</v>
      </c>
      <c r="CC510" s="2" t="s">
        <v>218</v>
      </c>
      <c r="CD510" s="2" t="s">
        <v>206</v>
      </c>
      <c r="CE510" s="4"/>
      <c r="CF510" s="4">
        <v>60</v>
      </c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/>
      <c r="EX510" s="4"/>
      <c r="EY510" s="4"/>
      <c r="EZ510" s="4"/>
      <c r="FA510" s="4"/>
      <c r="FB510" s="4"/>
      <c r="FC510" s="4"/>
      <c r="FD510" s="4"/>
      <c r="FE510" s="4"/>
      <c r="FF510" s="4"/>
      <c r="FG510" s="4"/>
      <c r="FH510" s="4"/>
      <c r="FI510" s="4"/>
      <c r="FJ510" s="4"/>
      <c r="FK510" s="4"/>
      <c r="FL510" s="4"/>
      <c r="FM510" s="4"/>
      <c r="FN510" s="4"/>
      <c r="FO510" s="4"/>
      <c r="FP510" s="4"/>
      <c r="FQ510" s="4"/>
      <c r="FR510" s="4"/>
      <c r="FS510" s="4"/>
      <c r="FT510" s="4"/>
      <c r="FU510" s="4"/>
      <c r="FV510" s="4"/>
      <c r="FW510" s="4"/>
      <c r="FX510" s="4"/>
      <c r="FY510" s="4"/>
      <c r="FZ510" s="4"/>
      <c r="GA510" s="4"/>
      <c r="GB510" s="4"/>
      <c r="GC510" s="4"/>
      <c r="GD510" s="4"/>
      <c r="GE510" s="4"/>
      <c r="GF510" s="4"/>
    </row>
    <row r="511">
      <c r="A511" s="2" t="s">
        <v>3462</v>
      </c>
      <c r="B511" s="2" t="s">
        <v>507</v>
      </c>
      <c r="C511" s="2" t="s">
        <v>828</v>
      </c>
      <c r="D511" s="2" t="s">
        <v>508</v>
      </c>
      <c r="E511" s="2" t="s">
        <v>509</v>
      </c>
      <c r="F511" s="2" t="s">
        <v>3455</v>
      </c>
      <c r="G511" s="2" t="s">
        <v>3455</v>
      </c>
      <c r="H511" s="2" t="s">
        <v>3455</v>
      </c>
      <c r="I511" s="2" t="s">
        <v>3456</v>
      </c>
      <c r="J511" s="2" t="s">
        <v>434</v>
      </c>
      <c r="K511" s="2" t="s">
        <v>3463</v>
      </c>
      <c r="L511" s="3">
        <v>76.5</v>
      </c>
      <c r="M511" s="3">
        <v>80.33</v>
      </c>
      <c r="N511" s="3">
        <v>159.99</v>
      </c>
      <c r="O511" s="2" t="s">
        <v>203</v>
      </c>
      <c r="P511" s="2" t="s">
        <v>204</v>
      </c>
      <c r="Q511" s="2" t="s">
        <v>205</v>
      </c>
      <c r="R511" s="2" t="s">
        <v>206</v>
      </c>
      <c r="S511" s="2" t="s">
        <v>206</v>
      </c>
      <c r="T511" s="2" t="s">
        <v>206</v>
      </c>
      <c r="U511" s="2" t="s">
        <v>900</v>
      </c>
      <c r="V511" s="2" t="s">
        <v>468</v>
      </c>
      <c r="W511" s="2" t="s">
        <v>439</v>
      </c>
      <c r="X511" s="2" t="s">
        <v>439</v>
      </c>
      <c r="Y511" s="2" t="s">
        <v>1419</v>
      </c>
      <c r="Z511" s="4">
        <v>75</v>
      </c>
      <c r="AA511" s="4">
        <f>=ROUNDDOWN(75,0)</f>
      </c>
      <c r="AB511" s="5">
        <v>1</v>
      </c>
      <c r="AC511" s="2" t="s">
        <v>206</v>
      </c>
      <c r="AD511" s="4"/>
      <c r="AE511" s="4"/>
      <c r="AF511" s="6">
        <v>63</v>
      </c>
      <c r="AG511" s="6"/>
      <c r="AH511" s="7">
        <v>1</v>
      </c>
      <c r="AI511" s="4"/>
      <c r="AJ511" s="4">
        <f>=ROUNDDOWN({0},0)</f>
      </c>
      <c r="AK511" s="5"/>
      <c r="AL511" s="2" t="s">
        <v>206</v>
      </c>
      <c r="AM511" s="4"/>
      <c r="AN511" s="4"/>
      <c r="AO511" s="7"/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206</v>
      </c>
      <c r="BD511" s="8" t="s">
        <v>206</v>
      </c>
      <c r="BE511" s="4" t="s">
        <v>206</v>
      </c>
      <c r="BF511" s="8" t="s">
        <v>206</v>
      </c>
      <c r="BG511" s="7" t="s">
        <v>206</v>
      </c>
      <c r="BH511" s="7" t="s">
        <v>206</v>
      </c>
      <c r="BI511" s="7"/>
      <c r="BJ511" s="4"/>
      <c r="BK511" s="8"/>
      <c r="BL511" s="2" t="s">
        <v>206</v>
      </c>
      <c r="BM511" s="7"/>
      <c r="BN511" s="7"/>
      <c r="BO511" s="4"/>
      <c r="BP511" s="8"/>
      <c r="BQ511" s="4"/>
      <c r="BR511" s="8"/>
      <c r="BS511" s="7"/>
      <c r="BT511" s="7"/>
      <c r="BU511" s="2" t="s">
        <v>3464</v>
      </c>
      <c r="BV511" s="2" t="s">
        <v>206</v>
      </c>
      <c r="BW511" s="2" t="s">
        <v>206</v>
      </c>
      <c r="BX511" s="2" t="s">
        <v>214</v>
      </c>
      <c r="BY511" s="2" t="s">
        <v>215</v>
      </c>
      <c r="BZ511" s="2" t="s">
        <v>203</v>
      </c>
      <c r="CA511" s="2" t="s">
        <v>241</v>
      </c>
      <c r="CB511" s="2" t="s">
        <v>206</v>
      </c>
      <c r="CC511" s="2" t="s">
        <v>218</v>
      </c>
      <c r="CD511" s="2" t="s">
        <v>206</v>
      </c>
      <c r="CE511" s="4"/>
      <c r="CF511" s="4">
        <v>75</v>
      </c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  <c r="FD511" s="4"/>
      <c r="FE511" s="4"/>
      <c r="FF511" s="4"/>
      <c r="FG511" s="4"/>
      <c r="FH511" s="4"/>
      <c r="FI511" s="4"/>
      <c r="FJ511" s="4"/>
      <c r="FK511" s="4"/>
      <c r="FL511" s="4"/>
      <c r="FM511" s="4"/>
      <c r="FN511" s="4"/>
      <c r="FO511" s="4"/>
      <c r="FP511" s="4"/>
      <c r="FQ511" s="4"/>
      <c r="FR511" s="4"/>
      <c r="FS511" s="4"/>
      <c r="FT511" s="4"/>
      <c r="FU511" s="4"/>
      <c r="FV511" s="4"/>
      <c r="FW511" s="4"/>
      <c r="FX511" s="4"/>
      <c r="FY511" s="4"/>
      <c r="FZ511" s="4"/>
      <c r="GA511" s="4"/>
      <c r="GB511" s="4"/>
      <c r="GC511" s="4"/>
      <c r="GD511" s="4"/>
      <c r="GE511" s="4"/>
      <c r="GF511" s="4"/>
    </row>
    <row r="512">
      <c r="A512" s="2" t="s">
        <v>3465</v>
      </c>
      <c r="B512" s="2" t="s">
        <v>800</v>
      </c>
      <c r="C512" s="2" t="s">
        <v>287</v>
      </c>
      <c r="D512" s="2" t="s">
        <v>1267</v>
      </c>
      <c r="E512" s="2" t="s">
        <v>1268</v>
      </c>
      <c r="F512" s="2" t="s">
        <v>3466</v>
      </c>
      <c r="G512" s="2" t="s">
        <v>3466</v>
      </c>
      <c r="H512" s="2" t="s">
        <v>3466</v>
      </c>
      <c r="I512" s="2" t="s">
        <v>1268</v>
      </c>
      <c r="J512" s="2" t="s">
        <v>231</v>
      </c>
      <c r="K512" s="2" t="s">
        <v>262</v>
      </c>
      <c r="L512" s="3">
        <v>31.85</v>
      </c>
      <c r="M512" s="3">
        <v>33.44</v>
      </c>
      <c r="N512" s="3">
        <v>64.99</v>
      </c>
      <c r="O512" s="2" t="s">
        <v>203</v>
      </c>
      <c r="P512" s="2" t="s">
        <v>204</v>
      </c>
      <c r="Q512" s="2" t="s">
        <v>205</v>
      </c>
      <c r="R512" s="2" t="s">
        <v>206</v>
      </c>
      <c r="S512" s="2" t="s">
        <v>3467</v>
      </c>
      <c r="T512" s="2" t="s">
        <v>234</v>
      </c>
      <c r="U512" s="2" t="s">
        <v>206</v>
      </c>
      <c r="V512" s="2" t="s">
        <v>209</v>
      </c>
      <c r="W512" s="2" t="s">
        <v>210</v>
      </c>
      <c r="X512" s="2" t="s">
        <v>206</v>
      </c>
      <c r="Y512" s="2" t="s">
        <v>211</v>
      </c>
      <c r="Z512" s="4">
        <v>386</v>
      </c>
      <c r="AA512" s="4">
        <f>=ROUNDDOWN(32.1666666666667,0)</f>
      </c>
      <c r="AB512" s="5">
        <v>12</v>
      </c>
      <c r="AC512" s="2" t="s">
        <v>114</v>
      </c>
      <c r="AD512" s="4">
        <v>120</v>
      </c>
      <c r="AE512" s="4">
        <v>150</v>
      </c>
      <c r="AF512" s="6">
        <v>69</v>
      </c>
      <c r="AG512" s="6"/>
      <c r="AH512" s="7">
        <v>1</v>
      </c>
      <c r="AI512" s="4"/>
      <c r="AJ512" s="4">
        <f>=ROUNDDOWN({0},0)</f>
      </c>
      <c r="AK512" s="5"/>
      <c r="AL512" s="2" t="s">
        <v>206</v>
      </c>
      <c r="AM512" s="4"/>
      <c r="AN512" s="4"/>
      <c r="AO512" s="7"/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206</v>
      </c>
      <c r="BD512" s="8" t="s">
        <v>206</v>
      </c>
      <c r="BE512" s="4" t="s">
        <v>206</v>
      </c>
      <c r="BF512" s="8" t="s">
        <v>206</v>
      </c>
      <c r="BG512" s="7" t="s">
        <v>206</v>
      </c>
      <c r="BH512" s="7" t="s">
        <v>206</v>
      </c>
      <c r="BI512" s="7"/>
      <c r="BJ512" s="4">
        <v>19</v>
      </c>
      <c r="BK512" s="8">
        <v>585.86</v>
      </c>
      <c r="BL512" s="2" t="s">
        <v>3468</v>
      </c>
      <c r="BM512" s="7"/>
      <c r="BN512" s="7"/>
      <c r="BO512" s="4"/>
      <c r="BP512" s="8"/>
      <c r="BQ512" s="4"/>
      <c r="BR512" s="8"/>
      <c r="BS512" s="7"/>
      <c r="BT512" s="7"/>
      <c r="BU512" s="2" t="s">
        <v>3469</v>
      </c>
      <c r="BV512" s="2" t="s">
        <v>206</v>
      </c>
      <c r="BW512" s="2" t="s">
        <v>206</v>
      </c>
      <c r="BX512" s="2" t="s">
        <v>214</v>
      </c>
      <c r="BY512" s="2" t="s">
        <v>215</v>
      </c>
      <c r="BZ512" s="2" t="s">
        <v>203</v>
      </c>
      <c r="CA512" s="2" t="s">
        <v>216</v>
      </c>
      <c r="CB512" s="2" t="s">
        <v>747</v>
      </c>
      <c r="CC512" s="2" t="s">
        <v>218</v>
      </c>
      <c r="CD512" s="2" t="s">
        <v>206</v>
      </c>
      <c r="CE512" s="4">
        <v>386</v>
      </c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>
        <v>120</v>
      </c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>
        <v>30</v>
      </c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  <c r="FD512" s="4"/>
      <c r="FE512" s="4"/>
      <c r="FF512" s="4"/>
      <c r="FG512" s="4"/>
      <c r="FH512" s="4"/>
      <c r="FI512" s="4"/>
      <c r="FJ512" s="4"/>
      <c r="FK512" s="4"/>
      <c r="FL512" s="4"/>
      <c r="FM512" s="4"/>
      <c r="FN512" s="4"/>
      <c r="FO512" s="4"/>
      <c r="FP512" s="4"/>
      <c r="FQ512" s="4"/>
      <c r="FR512" s="4"/>
      <c r="FS512" s="4"/>
      <c r="FT512" s="4"/>
      <c r="FU512" s="4"/>
      <c r="FV512" s="4"/>
      <c r="FW512" s="4"/>
      <c r="FX512" s="4"/>
      <c r="FY512" s="4"/>
      <c r="FZ512" s="4"/>
      <c r="GA512" s="4"/>
      <c r="GB512" s="4"/>
      <c r="GC512" s="4"/>
      <c r="GD512" s="4"/>
      <c r="GE512" s="4"/>
      <c r="GF512" s="4"/>
    </row>
    <row r="513">
      <c r="A513" s="2" t="s">
        <v>3470</v>
      </c>
      <c r="B513" s="2" t="s">
        <v>800</v>
      </c>
      <c r="C513" s="2" t="s">
        <v>287</v>
      </c>
      <c r="D513" s="2" t="s">
        <v>1267</v>
      </c>
      <c r="E513" s="2" t="s">
        <v>1268</v>
      </c>
      <c r="F513" s="2" t="s">
        <v>3466</v>
      </c>
      <c r="G513" s="2" t="s">
        <v>3466</v>
      </c>
      <c r="H513" s="2" t="s">
        <v>3466</v>
      </c>
      <c r="I513" s="2" t="s">
        <v>1268</v>
      </c>
      <c r="J513" s="2" t="s">
        <v>201</v>
      </c>
      <c r="K513" s="2" t="s">
        <v>353</v>
      </c>
      <c r="L513" s="3">
        <v>21.15</v>
      </c>
      <c r="M513" s="3">
        <v>22.21</v>
      </c>
      <c r="N513" s="3">
        <v>44.99</v>
      </c>
      <c r="O513" s="2" t="s">
        <v>203</v>
      </c>
      <c r="P513" s="2" t="s">
        <v>204</v>
      </c>
      <c r="Q513" s="2" t="s">
        <v>205</v>
      </c>
      <c r="R513" s="2" t="s">
        <v>206</v>
      </c>
      <c r="S513" s="2" t="s">
        <v>3471</v>
      </c>
      <c r="T513" s="2" t="s">
        <v>234</v>
      </c>
      <c r="U513" s="2" t="s">
        <v>206</v>
      </c>
      <c r="V513" s="2" t="s">
        <v>209</v>
      </c>
      <c r="W513" s="2" t="s">
        <v>210</v>
      </c>
      <c r="X513" s="2" t="s">
        <v>206</v>
      </c>
      <c r="Y513" s="2" t="s">
        <v>211</v>
      </c>
      <c r="Z513" s="4">
        <v>383</v>
      </c>
      <c r="AA513" s="4">
        <f>=ROUNDDOWN(20.1578947368421,0)</f>
      </c>
      <c r="AB513" s="5">
        <v>19</v>
      </c>
      <c r="AC513" s="2" t="s">
        <v>114</v>
      </c>
      <c r="AD513" s="4">
        <v>150</v>
      </c>
      <c r="AE513" s="4">
        <v>600</v>
      </c>
      <c r="AF513" s="6">
        <v>69</v>
      </c>
      <c r="AG513" s="6"/>
      <c r="AH513" s="7">
        <v>0.4194</v>
      </c>
      <c r="AI513" s="4"/>
      <c r="AJ513" s="4">
        <f>=ROUNDDOWN({0},0)</f>
      </c>
      <c r="AK513" s="5"/>
      <c r="AL513" s="2" t="s">
        <v>206</v>
      </c>
      <c r="AM513" s="4"/>
      <c r="AN513" s="4"/>
      <c r="AO513" s="7"/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 t="s">
        <v>206</v>
      </c>
      <c r="BD513" s="8" t="s">
        <v>206</v>
      </c>
      <c r="BE513" s="4" t="s">
        <v>206</v>
      </c>
      <c r="BF513" s="8" t="s">
        <v>206</v>
      </c>
      <c r="BG513" s="7" t="s">
        <v>206</v>
      </c>
      <c r="BH513" s="7" t="s">
        <v>206</v>
      </c>
      <c r="BI513" s="7"/>
      <c r="BJ513" s="4">
        <v>8</v>
      </c>
      <c r="BK513" s="8">
        <v>185.64</v>
      </c>
      <c r="BL513" s="2" t="s">
        <v>1371</v>
      </c>
      <c r="BM513" s="7"/>
      <c r="BN513" s="7"/>
      <c r="BO513" s="4"/>
      <c r="BP513" s="8"/>
      <c r="BQ513" s="4"/>
      <c r="BR513" s="8"/>
      <c r="BS513" s="7"/>
      <c r="BT513" s="7"/>
      <c r="BU513" s="2" t="s">
        <v>3472</v>
      </c>
      <c r="BV513" s="2" t="s">
        <v>206</v>
      </c>
      <c r="BW513" s="2" t="s">
        <v>206</v>
      </c>
      <c r="BX513" s="2" t="s">
        <v>214</v>
      </c>
      <c r="BY513" s="2" t="s">
        <v>215</v>
      </c>
      <c r="BZ513" s="2" t="s">
        <v>203</v>
      </c>
      <c r="CA513" s="2" t="s">
        <v>216</v>
      </c>
      <c r="CB513" s="2" t="s">
        <v>382</v>
      </c>
      <c r="CC513" s="2" t="s">
        <v>218</v>
      </c>
      <c r="CD513" s="2" t="s">
        <v>206</v>
      </c>
      <c r="CE513" s="4">
        <v>383</v>
      </c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>
        <v>150</v>
      </c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>
        <v>450</v>
      </c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/>
      <c r="EX513" s="4"/>
      <c r="EY513" s="4"/>
      <c r="EZ513" s="4"/>
      <c r="FA513" s="4"/>
      <c r="FB513" s="4"/>
      <c r="FC513" s="4"/>
      <c r="FD513" s="4"/>
      <c r="FE513" s="4"/>
      <c r="FF513" s="4"/>
      <c r="FG513" s="4"/>
      <c r="FH513" s="4"/>
      <c r="FI513" s="4"/>
      <c r="FJ513" s="4"/>
      <c r="FK513" s="4"/>
      <c r="FL513" s="4"/>
      <c r="FM513" s="4"/>
      <c r="FN513" s="4"/>
      <c r="FO513" s="4"/>
      <c r="FP513" s="4"/>
      <c r="FQ513" s="4"/>
      <c r="FR513" s="4"/>
      <c r="FS513" s="4"/>
      <c r="FT513" s="4"/>
      <c r="FU513" s="4"/>
      <c r="FV513" s="4"/>
      <c r="FW513" s="4"/>
      <c r="FX513" s="4"/>
      <c r="FY513" s="4"/>
      <c r="FZ513" s="4"/>
      <c r="GA513" s="4"/>
      <c r="GB513" s="4"/>
      <c r="GC513" s="4"/>
      <c r="GD513" s="4"/>
      <c r="GE513" s="4"/>
      <c r="GF513" s="4"/>
    </row>
    <row r="514">
      <c r="A514" s="2" t="s">
        <v>3473</v>
      </c>
      <c r="B514" s="2" t="s">
        <v>800</v>
      </c>
      <c r="C514" s="2" t="s">
        <v>287</v>
      </c>
      <c r="D514" s="2" t="s">
        <v>1267</v>
      </c>
      <c r="E514" s="2" t="s">
        <v>1268</v>
      </c>
      <c r="F514" s="2" t="s">
        <v>3466</v>
      </c>
      <c r="G514" s="2" t="s">
        <v>3466</v>
      </c>
      <c r="H514" s="2" t="s">
        <v>3466</v>
      </c>
      <c r="I514" s="2" t="s">
        <v>1268</v>
      </c>
      <c r="J514" s="2" t="s">
        <v>201</v>
      </c>
      <c r="K514" s="2" t="s">
        <v>392</v>
      </c>
      <c r="L514" s="3">
        <v>21.15</v>
      </c>
      <c r="M514" s="3">
        <v>22.21</v>
      </c>
      <c r="N514" s="3">
        <v>44.99</v>
      </c>
      <c r="O514" s="2" t="s">
        <v>203</v>
      </c>
      <c r="P514" s="2" t="s">
        <v>204</v>
      </c>
      <c r="Q514" s="2" t="s">
        <v>205</v>
      </c>
      <c r="R514" s="2" t="s">
        <v>206</v>
      </c>
      <c r="S514" s="2" t="s">
        <v>3474</v>
      </c>
      <c r="T514" s="2" t="s">
        <v>234</v>
      </c>
      <c r="U514" s="2" t="s">
        <v>206</v>
      </c>
      <c r="V514" s="2" t="s">
        <v>209</v>
      </c>
      <c r="W514" s="2" t="s">
        <v>210</v>
      </c>
      <c r="X514" s="2" t="s">
        <v>206</v>
      </c>
      <c r="Y514" s="2" t="s">
        <v>211</v>
      </c>
      <c r="Z514" s="4">
        <v>556</v>
      </c>
      <c r="AA514" s="4">
        <f>=ROUNDDOWN(27.8,0)</f>
      </c>
      <c r="AB514" s="5">
        <v>20</v>
      </c>
      <c r="AC514" s="2" t="s">
        <v>114</v>
      </c>
      <c r="AD514" s="4">
        <v>100</v>
      </c>
      <c r="AE514" s="4">
        <v>360</v>
      </c>
      <c r="AF514" s="6">
        <v>69</v>
      </c>
      <c r="AG514" s="6"/>
      <c r="AH514" s="7">
        <v>1</v>
      </c>
      <c r="AI514" s="4"/>
      <c r="AJ514" s="4">
        <f>=ROUNDDOWN({0},0)</f>
      </c>
      <c r="AK514" s="5"/>
      <c r="AL514" s="2" t="s">
        <v>206</v>
      </c>
      <c r="AM514" s="4"/>
      <c r="AN514" s="4"/>
      <c r="AO514" s="7"/>
      <c r="AP514" s="4"/>
      <c r="AQ514" s="8"/>
      <c r="AR514" s="4"/>
      <c r="AS514" s="8"/>
      <c r="AT514" s="7"/>
      <c r="AU514" s="7"/>
      <c r="AV514" s="4" t="s">
        <v>206</v>
      </c>
      <c r="AW514" s="8" t="s">
        <v>206</v>
      </c>
      <c r="AX514" s="4" t="s">
        <v>206</v>
      </c>
      <c r="AY514" s="8" t="s">
        <v>206</v>
      </c>
      <c r="AZ514" s="7" t="s">
        <v>206</v>
      </c>
      <c r="BA514" s="7" t="s">
        <v>206</v>
      </c>
      <c r="BB514" s="7"/>
      <c r="BC514" s="4" t="s">
        <v>206</v>
      </c>
      <c r="BD514" s="8" t="s">
        <v>206</v>
      </c>
      <c r="BE514" s="4" t="s">
        <v>206</v>
      </c>
      <c r="BF514" s="8" t="s">
        <v>206</v>
      </c>
      <c r="BG514" s="7" t="s">
        <v>206</v>
      </c>
      <c r="BH514" s="7" t="s">
        <v>206</v>
      </c>
      <c r="BI514" s="7"/>
      <c r="BJ514" s="4">
        <v>29</v>
      </c>
      <c r="BK514" s="8">
        <v>590.42</v>
      </c>
      <c r="BL514" s="2" t="s">
        <v>3475</v>
      </c>
      <c r="BM514" s="7"/>
      <c r="BN514" s="7"/>
      <c r="BO514" s="4"/>
      <c r="BP514" s="8"/>
      <c r="BQ514" s="4"/>
      <c r="BR514" s="8"/>
      <c r="BS514" s="7"/>
      <c r="BT514" s="7"/>
      <c r="BU514" s="2" t="s">
        <v>3476</v>
      </c>
      <c r="BV514" s="2" t="s">
        <v>206</v>
      </c>
      <c r="BW514" s="2" t="s">
        <v>206</v>
      </c>
      <c r="BX514" s="2" t="s">
        <v>214</v>
      </c>
      <c r="BY514" s="2" t="s">
        <v>215</v>
      </c>
      <c r="BZ514" s="2" t="s">
        <v>203</v>
      </c>
      <c r="CA514" s="2" t="s">
        <v>216</v>
      </c>
      <c r="CB514" s="2" t="s">
        <v>3477</v>
      </c>
      <c r="CC514" s="2" t="s">
        <v>218</v>
      </c>
      <c r="CD514" s="2" t="s">
        <v>206</v>
      </c>
      <c r="CE514" s="4">
        <v>556</v>
      </c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>
        <v>100</v>
      </c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>
        <v>120</v>
      </c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>
        <v>40</v>
      </c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/>
      <c r="FD514" s="4"/>
      <c r="FE514" s="4"/>
      <c r="FF514" s="4"/>
      <c r="FG514" s="4"/>
      <c r="FH514" s="4"/>
      <c r="FI514" s="4"/>
      <c r="FJ514" s="4"/>
      <c r="FK514" s="4"/>
      <c r="FL514" s="4"/>
      <c r="FM514" s="4"/>
      <c r="FN514" s="4"/>
      <c r="FO514" s="4"/>
      <c r="FP514" s="4"/>
      <c r="FQ514" s="4"/>
      <c r="FR514" s="4"/>
      <c r="FS514" s="4"/>
      <c r="FT514" s="4"/>
      <c r="FU514" s="4"/>
      <c r="FV514" s="4"/>
      <c r="FW514" s="4">
        <v>100</v>
      </c>
      <c r="FX514" s="4"/>
      <c r="FY514" s="4"/>
      <c r="FZ514" s="4"/>
      <c r="GA514" s="4"/>
      <c r="GB514" s="4"/>
      <c r="GC514" s="4"/>
      <c r="GD514" s="4"/>
      <c r="GE514" s="4"/>
      <c r="GF514" s="4"/>
    </row>
    <row r="515">
      <c r="A515" s="2" t="s">
        <v>3478</v>
      </c>
      <c r="B515" s="2" t="s">
        <v>800</v>
      </c>
      <c r="C515" s="2" t="s">
        <v>287</v>
      </c>
      <c r="D515" s="2" t="s">
        <v>1267</v>
      </c>
      <c r="E515" s="2" t="s">
        <v>1268</v>
      </c>
      <c r="F515" s="2" t="s">
        <v>3466</v>
      </c>
      <c r="G515" s="2" t="s">
        <v>3466</v>
      </c>
      <c r="H515" s="2" t="s">
        <v>3466</v>
      </c>
      <c r="I515" s="2" t="s">
        <v>1268</v>
      </c>
      <c r="J515" s="2" t="s">
        <v>231</v>
      </c>
      <c r="K515" s="2" t="s">
        <v>392</v>
      </c>
      <c r="L515" s="3">
        <v>31.85</v>
      </c>
      <c r="M515" s="3">
        <v>33.44</v>
      </c>
      <c r="N515" s="3">
        <v>64.99</v>
      </c>
      <c r="O515" s="2" t="s">
        <v>203</v>
      </c>
      <c r="P515" s="2" t="s">
        <v>204</v>
      </c>
      <c r="Q515" s="2" t="s">
        <v>205</v>
      </c>
      <c r="R515" s="2" t="s">
        <v>206</v>
      </c>
      <c r="S515" s="2" t="s">
        <v>3474</v>
      </c>
      <c r="T515" s="2" t="s">
        <v>234</v>
      </c>
      <c r="U515" s="2" t="s">
        <v>206</v>
      </c>
      <c r="V515" s="2" t="s">
        <v>209</v>
      </c>
      <c r="W515" s="2" t="s">
        <v>210</v>
      </c>
      <c r="X515" s="2" t="s">
        <v>206</v>
      </c>
      <c r="Y515" s="2" t="s">
        <v>211</v>
      </c>
      <c r="Z515" s="4">
        <v>657</v>
      </c>
      <c r="AA515" s="4">
        <f>=ROUNDDOWN(31.2857142857143,0)</f>
      </c>
      <c r="AB515" s="5">
        <v>21</v>
      </c>
      <c r="AC515" s="2" t="s">
        <v>114</v>
      </c>
      <c r="AD515" s="4">
        <v>60</v>
      </c>
      <c r="AE515" s="4">
        <v>300</v>
      </c>
      <c r="AF515" s="6">
        <v>69</v>
      </c>
      <c r="AG515" s="6"/>
      <c r="AH515" s="7">
        <v>1</v>
      </c>
      <c r="AI515" s="4"/>
      <c r="AJ515" s="4">
        <f>=ROUNDDOWN({0},0)</f>
      </c>
      <c r="AK515" s="5"/>
      <c r="AL515" s="2" t="s">
        <v>206</v>
      </c>
      <c r="AM515" s="4"/>
      <c r="AN515" s="4"/>
      <c r="AO515" s="7"/>
      <c r="AP515" s="4"/>
      <c r="AQ515" s="8"/>
      <c r="AR515" s="4"/>
      <c r="AS515" s="8"/>
      <c r="AT515" s="7"/>
      <c r="AU515" s="7"/>
      <c r="AV515" s="4" t="s">
        <v>206</v>
      </c>
      <c r="AW515" s="8" t="s">
        <v>206</v>
      </c>
      <c r="AX515" s="4" t="s">
        <v>206</v>
      </c>
      <c r="AY515" s="8" t="s">
        <v>206</v>
      </c>
      <c r="AZ515" s="7" t="s">
        <v>206</v>
      </c>
      <c r="BA515" s="7" t="s">
        <v>206</v>
      </c>
      <c r="BB515" s="7"/>
      <c r="BC515" s="4" t="s">
        <v>206</v>
      </c>
      <c r="BD515" s="8" t="s">
        <v>206</v>
      </c>
      <c r="BE515" s="4" t="s">
        <v>206</v>
      </c>
      <c r="BF515" s="8" t="s">
        <v>206</v>
      </c>
      <c r="BG515" s="7" t="s">
        <v>206</v>
      </c>
      <c r="BH515" s="7" t="s">
        <v>206</v>
      </c>
      <c r="BI515" s="7"/>
      <c r="BJ515" s="4">
        <v>22</v>
      </c>
      <c r="BK515" s="8">
        <v>688.9</v>
      </c>
      <c r="BL515" s="2" t="s">
        <v>3479</v>
      </c>
      <c r="BM515" s="7"/>
      <c r="BN515" s="7"/>
      <c r="BO515" s="4"/>
      <c r="BP515" s="8"/>
      <c r="BQ515" s="4"/>
      <c r="BR515" s="8"/>
      <c r="BS515" s="7"/>
      <c r="BT515" s="7"/>
      <c r="BU515" s="2" t="s">
        <v>3480</v>
      </c>
      <c r="BV515" s="2" t="s">
        <v>206</v>
      </c>
      <c r="BW515" s="2" t="s">
        <v>206</v>
      </c>
      <c r="BX515" s="2" t="s">
        <v>214</v>
      </c>
      <c r="BY515" s="2" t="s">
        <v>215</v>
      </c>
      <c r="BZ515" s="2" t="s">
        <v>203</v>
      </c>
      <c r="CA515" s="2" t="s">
        <v>216</v>
      </c>
      <c r="CB515" s="2" t="s">
        <v>3481</v>
      </c>
      <c r="CC515" s="2" t="s">
        <v>218</v>
      </c>
      <c r="CD515" s="2" t="s">
        <v>206</v>
      </c>
      <c r="CE515" s="4">
        <v>657</v>
      </c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>
        <v>60</v>
      </c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>
        <v>160</v>
      </c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  <c r="FD515" s="4"/>
      <c r="FE515" s="4"/>
      <c r="FF515" s="4"/>
      <c r="FG515" s="4"/>
      <c r="FH515" s="4"/>
      <c r="FI515" s="4"/>
      <c r="FJ515" s="4"/>
      <c r="FK515" s="4"/>
      <c r="FL515" s="4"/>
      <c r="FM515" s="4"/>
      <c r="FN515" s="4"/>
      <c r="FO515" s="4"/>
      <c r="FP515" s="4"/>
      <c r="FQ515" s="4"/>
      <c r="FR515" s="4"/>
      <c r="FS515" s="4"/>
      <c r="FT515" s="4"/>
      <c r="FU515" s="4"/>
      <c r="FV515" s="4"/>
      <c r="FW515" s="4">
        <v>80</v>
      </c>
      <c r="FX515" s="4"/>
      <c r="FY515" s="4"/>
      <c r="FZ515" s="4"/>
      <c r="GA515" s="4"/>
      <c r="GB515" s="4"/>
      <c r="GC515" s="4"/>
      <c r="GD515" s="4"/>
      <c r="GE515" s="4"/>
      <c r="GF515" s="4"/>
    </row>
    <row r="516">
      <c r="A516" s="2" t="s">
        <v>3482</v>
      </c>
      <c r="B516" s="2" t="s">
        <v>528</v>
      </c>
      <c r="C516" s="2" t="s">
        <v>287</v>
      </c>
      <c r="D516" s="2" t="s">
        <v>529</v>
      </c>
      <c r="E516" s="2" t="s">
        <v>816</v>
      </c>
      <c r="F516" s="2" t="s">
        <v>3483</v>
      </c>
      <c r="G516" s="2" t="s">
        <v>3484</v>
      </c>
      <c r="H516" s="2" t="s">
        <v>3485</v>
      </c>
      <c r="I516" s="2" t="s">
        <v>3486</v>
      </c>
      <c r="J516" s="2" t="s">
        <v>821</v>
      </c>
      <c r="K516" s="2" t="s">
        <v>583</v>
      </c>
      <c r="L516" s="3">
        <v>49.68</v>
      </c>
      <c r="M516" s="3">
        <v>52.16</v>
      </c>
      <c r="N516" s="3">
        <v>99.99</v>
      </c>
      <c r="O516" s="2" t="s">
        <v>203</v>
      </c>
      <c r="P516" s="2" t="s">
        <v>204</v>
      </c>
      <c r="Q516" s="2" t="s">
        <v>205</v>
      </c>
      <c r="R516" s="2" t="s">
        <v>206</v>
      </c>
      <c r="S516" s="2" t="s">
        <v>3487</v>
      </c>
      <c r="T516" s="2" t="s">
        <v>206</v>
      </c>
      <c r="U516" s="2" t="s">
        <v>485</v>
      </c>
      <c r="V516" s="2" t="s">
        <v>538</v>
      </c>
      <c r="W516" s="2" t="s">
        <v>539</v>
      </c>
      <c r="X516" s="2" t="s">
        <v>3488</v>
      </c>
      <c r="Y516" s="2" t="s">
        <v>3489</v>
      </c>
      <c r="Z516" s="4">
        <v>133</v>
      </c>
      <c r="AA516" s="4">
        <f>=ROUNDDOWN(33.25,0)</f>
      </c>
      <c r="AB516" s="5">
        <v>4</v>
      </c>
      <c r="AC516" s="2" t="s">
        <v>124</v>
      </c>
      <c r="AD516" s="4">
        <v>100</v>
      </c>
      <c r="AE516" s="4">
        <v>100</v>
      </c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206</v>
      </c>
      <c r="AM516" s="4"/>
      <c r="AN516" s="4"/>
      <c r="AO516" s="7"/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 t="s">
        <v>206</v>
      </c>
      <c r="BD516" s="8" t="s">
        <v>206</v>
      </c>
      <c r="BE516" s="4" t="s">
        <v>206</v>
      </c>
      <c r="BF516" s="8" t="s">
        <v>206</v>
      </c>
      <c r="BG516" s="7" t="s">
        <v>206</v>
      </c>
      <c r="BH516" s="7" t="s">
        <v>206</v>
      </c>
      <c r="BI516" s="7"/>
      <c r="BJ516" s="4">
        <v>15</v>
      </c>
      <c r="BK516" s="8">
        <v>756.14</v>
      </c>
      <c r="BL516" s="2" t="s">
        <v>3490</v>
      </c>
      <c r="BM516" s="7"/>
      <c r="BN516" s="7"/>
      <c r="BO516" s="4"/>
      <c r="BP516" s="8"/>
      <c r="BQ516" s="4"/>
      <c r="BR516" s="8"/>
      <c r="BS516" s="7"/>
      <c r="BT516" s="7"/>
      <c r="BU516" s="2" t="s">
        <v>3491</v>
      </c>
      <c r="BV516" s="2" t="s">
        <v>206</v>
      </c>
      <c r="BW516" s="2" t="s">
        <v>206</v>
      </c>
      <c r="BX516" s="2" t="s">
        <v>426</v>
      </c>
      <c r="BY516" s="2" t="s">
        <v>215</v>
      </c>
      <c r="BZ516" s="2" t="s">
        <v>203</v>
      </c>
      <c r="CA516" s="2" t="s">
        <v>3492</v>
      </c>
      <c r="CB516" s="2" t="s">
        <v>3269</v>
      </c>
      <c r="CC516" s="2" t="s">
        <v>218</v>
      </c>
      <c r="CD516" s="2" t="s">
        <v>206</v>
      </c>
      <c r="CE516" s="4">
        <v>133</v>
      </c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>
        <v>100</v>
      </c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  <c r="FD516" s="4"/>
      <c r="FE516" s="4"/>
      <c r="FF516" s="4"/>
      <c r="FG516" s="4"/>
      <c r="FH516" s="4"/>
      <c r="FI516" s="4"/>
      <c r="FJ516" s="4"/>
      <c r="FK516" s="4"/>
      <c r="FL516" s="4"/>
      <c r="FM516" s="4"/>
      <c r="FN516" s="4"/>
      <c r="FO516" s="4"/>
      <c r="FP516" s="4"/>
      <c r="FQ516" s="4"/>
      <c r="FR516" s="4"/>
      <c r="FS516" s="4"/>
      <c r="FT516" s="4"/>
      <c r="FU516" s="4"/>
      <c r="FV516" s="4"/>
      <c r="FW516" s="4"/>
      <c r="FX516" s="4"/>
      <c r="FY516" s="4"/>
      <c r="FZ516" s="4"/>
      <c r="GA516" s="4"/>
      <c r="GB516" s="4"/>
      <c r="GC516" s="4"/>
      <c r="GD516" s="4"/>
      <c r="GE516" s="4"/>
      <c r="GF516" s="4"/>
    </row>
    <row r="517">
      <c r="A517" s="2" t="s">
        <v>3493</v>
      </c>
      <c r="B517" s="2" t="s">
        <v>662</v>
      </c>
      <c r="C517" s="2" t="s">
        <v>287</v>
      </c>
      <c r="D517" s="2" t="s">
        <v>684</v>
      </c>
      <c r="E517" s="2" t="s">
        <v>685</v>
      </c>
      <c r="F517" s="2" t="s">
        <v>3483</v>
      </c>
      <c r="G517" s="2" t="s">
        <v>3484</v>
      </c>
      <c r="H517" s="2" t="s">
        <v>3494</v>
      </c>
      <c r="I517" s="2" t="s">
        <v>3495</v>
      </c>
      <c r="J517" s="2" t="s">
        <v>687</v>
      </c>
      <c r="K517" s="2" t="s">
        <v>3496</v>
      </c>
      <c r="L517" s="3">
        <v>17.6</v>
      </c>
      <c r="M517" s="3">
        <v>18.48</v>
      </c>
      <c r="N517" s="3">
        <v>39.99</v>
      </c>
      <c r="O517" s="2" t="s">
        <v>203</v>
      </c>
      <c r="P517" s="2" t="s">
        <v>204</v>
      </c>
      <c r="Q517" s="2" t="s">
        <v>205</v>
      </c>
      <c r="R517" s="2" t="s">
        <v>206</v>
      </c>
      <c r="S517" s="2" t="s">
        <v>3497</v>
      </c>
      <c r="T517" s="2" t="s">
        <v>234</v>
      </c>
      <c r="U517" s="2" t="s">
        <v>206</v>
      </c>
      <c r="V517" s="2" t="s">
        <v>538</v>
      </c>
      <c r="W517" s="2" t="s">
        <v>210</v>
      </c>
      <c r="X517" s="2" t="s">
        <v>206</v>
      </c>
      <c r="Y517" s="2" t="s">
        <v>3498</v>
      </c>
      <c r="Z517" s="4">
        <v>283</v>
      </c>
      <c r="AA517" s="4">
        <f>=ROUNDDOWN(9.75862068965517,0)</f>
      </c>
      <c r="AB517" s="5">
        <v>29</v>
      </c>
      <c r="AC517" s="2" t="s">
        <v>117</v>
      </c>
      <c r="AD517" s="4">
        <v>200</v>
      </c>
      <c r="AE517" s="4">
        <v>940</v>
      </c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206</v>
      </c>
      <c r="AM517" s="4"/>
      <c r="AN517" s="4"/>
      <c r="AO517" s="7"/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 t="s">
        <v>206</v>
      </c>
      <c r="BD517" s="8" t="s">
        <v>206</v>
      </c>
      <c r="BE517" s="4" t="s">
        <v>206</v>
      </c>
      <c r="BF517" s="8" t="s">
        <v>206</v>
      </c>
      <c r="BG517" s="7" t="s">
        <v>206</v>
      </c>
      <c r="BH517" s="7" t="s">
        <v>206</v>
      </c>
      <c r="BI517" s="7"/>
      <c r="BJ517" s="4">
        <v>112</v>
      </c>
      <c r="BK517" s="8">
        <v>2145.75</v>
      </c>
      <c r="BL517" s="2" t="s">
        <v>3499</v>
      </c>
      <c r="BM517" s="7"/>
      <c r="BN517" s="7"/>
      <c r="BO517" s="4"/>
      <c r="BP517" s="8"/>
      <c r="BQ517" s="4"/>
      <c r="BR517" s="8"/>
      <c r="BS517" s="7"/>
      <c r="BT517" s="7"/>
      <c r="BU517" s="2" t="s">
        <v>3500</v>
      </c>
      <c r="BV517" s="2" t="s">
        <v>206</v>
      </c>
      <c r="BW517" s="2" t="s">
        <v>206</v>
      </c>
      <c r="BX517" s="2" t="s">
        <v>214</v>
      </c>
      <c r="BY517" s="2" t="s">
        <v>215</v>
      </c>
      <c r="BZ517" s="2" t="s">
        <v>203</v>
      </c>
      <c r="CA517" s="2" t="s">
        <v>3501</v>
      </c>
      <c r="CB517" s="2" t="s">
        <v>3502</v>
      </c>
      <c r="CC517" s="2" t="s">
        <v>218</v>
      </c>
      <c r="CD517" s="2" t="s">
        <v>206</v>
      </c>
      <c r="CE517" s="4">
        <v>283</v>
      </c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>
        <v>200</v>
      </c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>
        <v>740</v>
      </c>
      <c r="FB517" s="4"/>
      <c r="FC517" s="4"/>
      <c r="FD517" s="4"/>
      <c r="FE517" s="4"/>
      <c r="FF517" s="4"/>
      <c r="FG517" s="4"/>
      <c r="FH517" s="4"/>
      <c r="FI517" s="4"/>
      <c r="FJ517" s="4"/>
      <c r="FK517" s="4"/>
      <c r="FL517" s="4"/>
      <c r="FM517" s="4"/>
      <c r="FN517" s="4"/>
      <c r="FO517" s="4"/>
      <c r="FP517" s="4"/>
      <c r="FQ517" s="4"/>
      <c r="FR517" s="4"/>
      <c r="FS517" s="4"/>
      <c r="FT517" s="4"/>
      <c r="FU517" s="4"/>
      <c r="FV517" s="4"/>
      <c r="FW517" s="4"/>
      <c r="FX517" s="4"/>
      <c r="FY517" s="4"/>
      <c r="FZ517" s="4"/>
      <c r="GA517" s="4"/>
      <c r="GB517" s="4"/>
      <c r="GC517" s="4"/>
      <c r="GD517" s="4"/>
      <c r="GE517" s="4"/>
      <c r="GF517" s="4"/>
    </row>
    <row r="518">
      <c r="A518" s="2" t="s">
        <v>3503</v>
      </c>
      <c r="B518" s="2" t="s">
        <v>546</v>
      </c>
      <c r="C518" s="2" t="s">
        <v>3504</v>
      </c>
      <c r="D518" s="2" t="s">
        <v>529</v>
      </c>
      <c r="E518" s="2" t="s">
        <v>816</v>
      </c>
      <c r="F518" s="2" t="s">
        <v>3483</v>
      </c>
      <c r="G518" s="2" t="s">
        <v>3505</v>
      </c>
      <c r="H518" s="2" t="s">
        <v>3506</v>
      </c>
      <c r="I518" s="2" t="s">
        <v>3507</v>
      </c>
      <c r="J518" s="2" t="s">
        <v>201</v>
      </c>
      <c r="K518" s="2" t="s">
        <v>1390</v>
      </c>
      <c r="L518" s="3">
        <v>38.58</v>
      </c>
      <c r="M518" s="3">
        <v>40.51</v>
      </c>
      <c r="N518" s="3">
        <v>79.99</v>
      </c>
      <c r="O518" s="2" t="s">
        <v>203</v>
      </c>
      <c r="P518" s="2" t="s">
        <v>773</v>
      </c>
      <c r="Q518" s="2" t="s">
        <v>205</v>
      </c>
      <c r="R518" s="2" t="s">
        <v>206</v>
      </c>
      <c r="S518" s="2" t="s">
        <v>3508</v>
      </c>
      <c r="T518" s="2" t="s">
        <v>234</v>
      </c>
      <c r="U518" s="2" t="s">
        <v>235</v>
      </c>
      <c r="V518" s="2" t="s">
        <v>958</v>
      </c>
      <c r="W518" s="2" t="s">
        <v>210</v>
      </c>
      <c r="X518" s="2" t="s">
        <v>206</v>
      </c>
      <c r="Y518" s="2" t="s">
        <v>2790</v>
      </c>
      <c r="Z518" s="4">
        <v>523</v>
      </c>
      <c r="AA518" s="4">
        <f>=ROUNDDOWN(37.3571428571429,0)</f>
      </c>
      <c r="AB518" s="5">
        <v>14</v>
      </c>
      <c r="AC518" s="2" t="s">
        <v>128</v>
      </c>
      <c r="AD518" s="4">
        <v>400</v>
      </c>
      <c r="AE518" s="4">
        <v>590</v>
      </c>
      <c r="AF518" s="6">
        <v>65</v>
      </c>
      <c r="AG518" s="6">
        <v>73</v>
      </c>
      <c r="AH518" s="7">
        <v>1</v>
      </c>
      <c r="AI518" s="4"/>
      <c r="AJ518" s="4">
        <f>=ROUNDDOWN({0},0)</f>
      </c>
      <c r="AK518" s="5"/>
      <c r="AL518" s="2" t="s">
        <v>206</v>
      </c>
      <c r="AM518" s="4"/>
      <c r="AN518" s="4"/>
      <c r="AO518" s="7"/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 t="s">
        <v>206</v>
      </c>
      <c r="BD518" s="8" t="s">
        <v>206</v>
      </c>
      <c r="BE518" s="4" t="s">
        <v>206</v>
      </c>
      <c r="BF518" s="8" t="s">
        <v>206</v>
      </c>
      <c r="BG518" s="7" t="s">
        <v>206</v>
      </c>
      <c r="BH518" s="7" t="s">
        <v>206</v>
      </c>
      <c r="BI518" s="7"/>
      <c r="BJ518" s="4">
        <v>100</v>
      </c>
      <c r="BK518" s="8">
        <v>4562.07</v>
      </c>
      <c r="BL518" s="2" t="s">
        <v>3509</v>
      </c>
      <c r="BM518" s="7"/>
      <c r="BN518" s="7"/>
      <c r="BO518" s="4"/>
      <c r="BP518" s="8"/>
      <c r="BQ518" s="4"/>
      <c r="BR518" s="8"/>
      <c r="BS518" s="7"/>
      <c r="BT518" s="7"/>
      <c r="BU518" s="2" t="s">
        <v>3510</v>
      </c>
      <c r="BV518" s="2" t="s">
        <v>206</v>
      </c>
      <c r="BW518" s="2" t="s">
        <v>206</v>
      </c>
      <c r="BX518" s="2" t="s">
        <v>426</v>
      </c>
      <c r="BY518" s="2" t="s">
        <v>215</v>
      </c>
      <c r="BZ518" s="2" t="s">
        <v>203</v>
      </c>
      <c r="CA518" s="2" t="s">
        <v>3511</v>
      </c>
      <c r="CB518" s="2" t="s">
        <v>2776</v>
      </c>
      <c r="CC518" s="2" t="s">
        <v>218</v>
      </c>
      <c r="CD518" s="2" t="s">
        <v>206</v>
      </c>
      <c r="CE518" s="4">
        <v>245</v>
      </c>
      <c r="CF518" s="4">
        <v>114</v>
      </c>
      <c r="CG518" s="4"/>
      <c r="CH518" s="4">
        <v>164</v>
      </c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>
        <v>400</v>
      </c>
      <c r="DQ518" s="4"/>
      <c r="DR518" s="4"/>
      <c r="DS518" s="4"/>
      <c r="DT518" s="4"/>
      <c r="DU518" s="4"/>
      <c r="DV518" s="4"/>
      <c r="DW518" s="4">
        <v>190</v>
      </c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  <c r="FD518" s="4"/>
      <c r="FE518" s="4"/>
      <c r="FF518" s="4"/>
      <c r="FG518" s="4"/>
      <c r="FH518" s="4"/>
      <c r="FI518" s="4"/>
      <c r="FJ518" s="4"/>
      <c r="FK518" s="4"/>
      <c r="FL518" s="4"/>
      <c r="FM518" s="4"/>
      <c r="FN518" s="4"/>
      <c r="FO518" s="4"/>
      <c r="FP518" s="4"/>
      <c r="FQ518" s="4"/>
      <c r="FR518" s="4"/>
      <c r="FS518" s="4"/>
      <c r="FT518" s="4"/>
      <c r="FU518" s="4"/>
      <c r="FV518" s="4"/>
      <c r="FW518" s="4"/>
      <c r="FX518" s="4"/>
      <c r="FY518" s="4"/>
      <c r="FZ518" s="4"/>
      <c r="GA518" s="4"/>
      <c r="GB518" s="4"/>
      <c r="GC518" s="4"/>
      <c r="GD518" s="4"/>
      <c r="GE518" s="4"/>
      <c r="GF518" s="4"/>
    </row>
    <row r="519">
      <c r="A519" s="2" t="s">
        <v>3512</v>
      </c>
      <c r="B519" s="2" t="s">
        <v>613</v>
      </c>
      <c r="C519" s="2" t="s">
        <v>1145</v>
      </c>
      <c r="D519" s="2" t="s">
        <v>3513</v>
      </c>
      <c r="E519" s="2" t="s">
        <v>3514</v>
      </c>
      <c r="F519" s="2" t="s">
        <v>3515</v>
      </c>
      <c r="G519" s="2" t="s">
        <v>3516</v>
      </c>
      <c r="H519" s="2" t="s">
        <v>3517</v>
      </c>
      <c r="I519" s="2" t="s">
        <v>3518</v>
      </c>
      <c r="J519" s="2" t="s">
        <v>3519</v>
      </c>
      <c r="K519" s="2" t="s">
        <v>315</v>
      </c>
      <c r="L519" s="3">
        <v>18.25</v>
      </c>
      <c r="M519" s="3">
        <v>19.16</v>
      </c>
      <c r="N519" s="3">
        <v>39.99</v>
      </c>
      <c r="O519" s="2" t="s">
        <v>203</v>
      </c>
      <c r="P519" s="2" t="s">
        <v>204</v>
      </c>
      <c r="Q519" s="2" t="s">
        <v>205</v>
      </c>
      <c r="R519" s="2" t="s">
        <v>206</v>
      </c>
      <c r="S519" s="2" t="s">
        <v>3520</v>
      </c>
      <c r="T519" s="2" t="s">
        <v>206</v>
      </c>
      <c r="U519" s="2" t="s">
        <v>437</v>
      </c>
      <c r="V519" s="2" t="s">
        <v>209</v>
      </c>
      <c r="W519" s="2" t="s">
        <v>210</v>
      </c>
      <c r="X519" s="2" t="s">
        <v>206</v>
      </c>
      <c r="Y519" s="2" t="s">
        <v>3521</v>
      </c>
      <c r="Z519" s="4">
        <v>125</v>
      </c>
      <c r="AA519" s="4">
        <f>=ROUNDDOWN(9.61538461538461,0)</f>
      </c>
      <c r="AB519" s="5">
        <v>13</v>
      </c>
      <c r="AC519" s="2" t="s">
        <v>318</v>
      </c>
      <c r="AD519" s="4">
        <v>210</v>
      </c>
      <c r="AE519" s="4">
        <v>210</v>
      </c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206</v>
      </c>
      <c r="AM519" s="4"/>
      <c r="AN519" s="4"/>
      <c r="AO519" s="7"/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 t="s">
        <v>206</v>
      </c>
      <c r="BD519" s="8" t="s">
        <v>206</v>
      </c>
      <c r="BE519" s="4" t="s">
        <v>206</v>
      </c>
      <c r="BF519" s="8" t="s">
        <v>206</v>
      </c>
      <c r="BG519" s="7" t="s">
        <v>206</v>
      </c>
      <c r="BH519" s="7" t="s">
        <v>206</v>
      </c>
      <c r="BI519" s="7"/>
      <c r="BJ519" s="4">
        <v>65</v>
      </c>
      <c r="BK519" s="8">
        <v>1337.83</v>
      </c>
      <c r="BL519" s="2" t="s">
        <v>3522</v>
      </c>
      <c r="BM519" s="7"/>
      <c r="BN519" s="7"/>
      <c r="BO519" s="4"/>
      <c r="BP519" s="8"/>
      <c r="BQ519" s="4"/>
      <c r="BR519" s="8"/>
      <c r="BS519" s="7"/>
      <c r="BT519" s="7"/>
      <c r="BU519" s="2" t="s">
        <v>3523</v>
      </c>
      <c r="BV519" s="2" t="s">
        <v>206</v>
      </c>
      <c r="BW519" s="2" t="s">
        <v>206</v>
      </c>
      <c r="BX519" s="2" t="s">
        <v>214</v>
      </c>
      <c r="BY519" s="2" t="s">
        <v>215</v>
      </c>
      <c r="BZ519" s="2" t="s">
        <v>203</v>
      </c>
      <c r="CA519" s="2" t="s">
        <v>1808</v>
      </c>
      <c r="CB519" s="2" t="s">
        <v>3524</v>
      </c>
      <c r="CC519" s="2" t="s">
        <v>218</v>
      </c>
      <c r="CD519" s="2" t="s">
        <v>206</v>
      </c>
      <c r="CE519" s="4">
        <v>125</v>
      </c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>
        <v>210</v>
      </c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  <c r="FD519" s="4"/>
      <c r="FE519" s="4"/>
      <c r="FF519" s="4"/>
      <c r="FG519" s="4"/>
      <c r="FH519" s="4"/>
      <c r="FI519" s="4"/>
      <c r="FJ519" s="4"/>
      <c r="FK519" s="4"/>
      <c r="FL519" s="4"/>
      <c r="FM519" s="4"/>
      <c r="FN519" s="4"/>
      <c r="FO519" s="4"/>
      <c r="FP519" s="4"/>
      <c r="FQ519" s="4"/>
      <c r="FR519" s="4"/>
      <c r="FS519" s="4"/>
      <c r="FT519" s="4"/>
      <c r="FU519" s="4"/>
      <c r="FV519" s="4"/>
      <c r="FW519" s="4"/>
      <c r="FX519" s="4"/>
      <c r="FY519" s="4"/>
      <c r="FZ519" s="4"/>
      <c r="GA519" s="4"/>
      <c r="GB519" s="4"/>
      <c r="GC519" s="4"/>
      <c r="GD519" s="4"/>
      <c r="GE519" s="4"/>
      <c r="GF519" s="4"/>
    </row>
    <row r="520">
      <c r="A520" s="2" t="s">
        <v>3525</v>
      </c>
      <c r="B520" s="2" t="s">
        <v>613</v>
      </c>
      <c r="C520" s="2" t="s">
        <v>1145</v>
      </c>
      <c r="D520" s="2" t="s">
        <v>3513</v>
      </c>
      <c r="E520" s="2" t="s">
        <v>3514</v>
      </c>
      <c r="F520" s="2" t="s">
        <v>3515</v>
      </c>
      <c r="G520" s="2" t="s">
        <v>3516</v>
      </c>
      <c r="H520" s="2" t="s">
        <v>3517</v>
      </c>
      <c r="I520" s="2" t="s">
        <v>3518</v>
      </c>
      <c r="J520" s="2" t="s">
        <v>3519</v>
      </c>
      <c r="K520" s="2" t="s">
        <v>336</v>
      </c>
      <c r="L520" s="3">
        <v>18.25</v>
      </c>
      <c r="M520" s="3">
        <v>19.16</v>
      </c>
      <c r="N520" s="3">
        <v>39.99</v>
      </c>
      <c r="O520" s="2" t="s">
        <v>203</v>
      </c>
      <c r="P520" s="2" t="s">
        <v>204</v>
      </c>
      <c r="Q520" s="2" t="s">
        <v>205</v>
      </c>
      <c r="R520" s="2" t="s">
        <v>206</v>
      </c>
      <c r="S520" s="2" t="s">
        <v>3526</v>
      </c>
      <c r="T520" s="2" t="s">
        <v>206</v>
      </c>
      <c r="U520" s="2" t="s">
        <v>437</v>
      </c>
      <c r="V520" s="2" t="s">
        <v>209</v>
      </c>
      <c r="W520" s="2" t="s">
        <v>210</v>
      </c>
      <c r="X520" s="2" t="s">
        <v>206</v>
      </c>
      <c r="Y520" s="2" t="s">
        <v>3521</v>
      </c>
      <c r="Z520" s="4">
        <v>278</v>
      </c>
      <c r="AA520" s="4">
        <f>=ROUNDDOWN(27.8,0)</f>
      </c>
      <c r="AB520" s="5">
        <v>10</v>
      </c>
      <c r="AC520" s="2" t="s">
        <v>206</v>
      </c>
      <c r="AD520" s="4"/>
      <c r="AE520" s="4"/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206</v>
      </c>
      <c r="AM520" s="4"/>
      <c r="AN520" s="4"/>
      <c r="AO520" s="7"/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 t="s">
        <v>206</v>
      </c>
      <c r="BD520" s="8" t="s">
        <v>206</v>
      </c>
      <c r="BE520" s="4" t="s">
        <v>206</v>
      </c>
      <c r="BF520" s="8" t="s">
        <v>206</v>
      </c>
      <c r="BG520" s="7" t="s">
        <v>206</v>
      </c>
      <c r="BH520" s="7" t="s">
        <v>206</v>
      </c>
      <c r="BI520" s="7"/>
      <c r="BJ520" s="4">
        <v>29</v>
      </c>
      <c r="BK520" s="8">
        <v>596.6</v>
      </c>
      <c r="BL520" s="2" t="s">
        <v>3527</v>
      </c>
      <c r="BM520" s="7"/>
      <c r="BN520" s="7"/>
      <c r="BO520" s="4"/>
      <c r="BP520" s="8"/>
      <c r="BQ520" s="4"/>
      <c r="BR520" s="8"/>
      <c r="BS520" s="7"/>
      <c r="BT520" s="7"/>
      <c r="BU520" s="2" t="s">
        <v>3528</v>
      </c>
      <c r="BV520" s="2" t="s">
        <v>206</v>
      </c>
      <c r="BW520" s="2" t="s">
        <v>206</v>
      </c>
      <c r="BX520" s="2" t="s">
        <v>214</v>
      </c>
      <c r="BY520" s="2" t="s">
        <v>215</v>
      </c>
      <c r="BZ520" s="2" t="s">
        <v>203</v>
      </c>
      <c r="CA520" s="2" t="s">
        <v>1808</v>
      </c>
      <c r="CB520" s="2" t="s">
        <v>3529</v>
      </c>
      <c r="CC520" s="2" t="s">
        <v>218</v>
      </c>
      <c r="CD520" s="2" t="s">
        <v>206</v>
      </c>
      <c r="CE520" s="4">
        <v>278</v>
      </c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  <c r="FD520" s="4"/>
      <c r="FE520" s="4"/>
      <c r="FF520" s="4"/>
      <c r="FG520" s="4"/>
      <c r="FH520" s="4"/>
      <c r="FI520" s="4"/>
      <c r="FJ520" s="4"/>
      <c r="FK520" s="4"/>
      <c r="FL520" s="4"/>
      <c r="FM520" s="4"/>
      <c r="FN520" s="4"/>
      <c r="FO520" s="4"/>
      <c r="FP520" s="4"/>
      <c r="FQ520" s="4"/>
      <c r="FR520" s="4"/>
      <c r="FS520" s="4"/>
      <c r="FT520" s="4"/>
      <c r="FU520" s="4"/>
      <c r="FV520" s="4"/>
      <c r="FW520" s="4"/>
      <c r="FX520" s="4"/>
      <c r="FY520" s="4"/>
      <c r="FZ520" s="4"/>
      <c r="GA520" s="4"/>
      <c r="GB520" s="4"/>
      <c r="GC520" s="4"/>
      <c r="GD520" s="4"/>
      <c r="GE520" s="4"/>
      <c r="GF520" s="4"/>
    </row>
    <row r="521">
      <c r="A521" s="2" t="s">
        <v>3530</v>
      </c>
      <c r="B521" s="2" t="s">
        <v>546</v>
      </c>
      <c r="C521" s="2" t="s">
        <v>1145</v>
      </c>
      <c r="D521" s="2" t="s">
        <v>529</v>
      </c>
      <c r="E521" s="2" t="s">
        <v>1134</v>
      </c>
      <c r="F521" s="2" t="s">
        <v>3531</v>
      </c>
      <c r="G521" s="2" t="s">
        <v>3532</v>
      </c>
      <c r="H521" s="2" t="s">
        <v>3533</v>
      </c>
      <c r="I521" s="2" t="s">
        <v>3534</v>
      </c>
      <c r="J521" s="2" t="s">
        <v>593</v>
      </c>
      <c r="K521" s="2" t="s">
        <v>262</v>
      </c>
      <c r="L521" s="3">
        <v>38.09</v>
      </c>
      <c r="M521" s="3">
        <v>40</v>
      </c>
      <c r="N521" s="3">
        <v>79.99</v>
      </c>
      <c r="O521" s="2" t="s">
        <v>203</v>
      </c>
      <c r="P521" s="2" t="s">
        <v>204</v>
      </c>
      <c r="Q521" s="2" t="s">
        <v>205</v>
      </c>
      <c r="R521" s="2" t="s">
        <v>206</v>
      </c>
      <c r="S521" s="2" t="s">
        <v>3535</v>
      </c>
      <c r="T521" s="2" t="s">
        <v>2243</v>
      </c>
      <c r="U521" s="2" t="s">
        <v>556</v>
      </c>
      <c r="V521" s="2" t="s">
        <v>209</v>
      </c>
      <c r="W521" s="2" t="s">
        <v>439</v>
      </c>
      <c r="X521" s="2" t="s">
        <v>210</v>
      </c>
      <c r="Y521" s="2" t="s">
        <v>3536</v>
      </c>
      <c r="Z521" s="4">
        <v>482</v>
      </c>
      <c r="AA521" s="4">
        <f>=ROUNDDOWN(48.2,0)</f>
      </c>
      <c r="AB521" s="5">
        <v>10</v>
      </c>
      <c r="AC521" s="2" t="s">
        <v>206</v>
      </c>
      <c r="AD521" s="4"/>
      <c r="AE521" s="4"/>
      <c r="AF521" s="6">
        <v>66</v>
      </c>
      <c r="AG521" s="6"/>
      <c r="AH521" s="7">
        <v>1</v>
      </c>
      <c r="AI521" s="4"/>
      <c r="AJ521" s="4">
        <f>=ROUNDDOWN({0},0)</f>
      </c>
      <c r="AK521" s="5"/>
      <c r="AL521" s="2" t="s">
        <v>206</v>
      </c>
      <c r="AM521" s="4"/>
      <c r="AN521" s="4"/>
      <c r="AO521" s="7"/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 t="s">
        <v>206</v>
      </c>
      <c r="BD521" s="8" t="s">
        <v>206</v>
      </c>
      <c r="BE521" s="4" t="s">
        <v>206</v>
      </c>
      <c r="BF521" s="8" t="s">
        <v>206</v>
      </c>
      <c r="BG521" s="7" t="s">
        <v>206</v>
      </c>
      <c r="BH521" s="7" t="s">
        <v>206</v>
      </c>
      <c r="BI521" s="7"/>
      <c r="BJ521" s="4">
        <v>43</v>
      </c>
      <c r="BK521" s="8">
        <v>1792.37</v>
      </c>
      <c r="BL521" s="2" t="s">
        <v>1881</v>
      </c>
      <c r="BM521" s="7"/>
      <c r="BN521" s="7"/>
      <c r="BO521" s="4"/>
      <c r="BP521" s="8"/>
      <c r="BQ521" s="4"/>
      <c r="BR521" s="8"/>
      <c r="BS521" s="7"/>
      <c r="BT521" s="7"/>
      <c r="BU521" s="2" t="s">
        <v>3537</v>
      </c>
      <c r="BV521" s="2" t="s">
        <v>206</v>
      </c>
      <c r="BW521" s="2" t="s">
        <v>206</v>
      </c>
      <c r="BX521" s="2" t="s">
        <v>426</v>
      </c>
      <c r="BY521" s="2" t="s">
        <v>215</v>
      </c>
      <c r="BZ521" s="2" t="s">
        <v>203</v>
      </c>
      <c r="CA521" s="2" t="s">
        <v>3538</v>
      </c>
      <c r="CB521" s="2" t="s">
        <v>3539</v>
      </c>
      <c r="CC521" s="2" t="s">
        <v>218</v>
      </c>
      <c r="CD521" s="2" t="s">
        <v>206</v>
      </c>
      <c r="CE521" s="4">
        <v>482</v>
      </c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  <c r="FD521" s="4"/>
      <c r="FE521" s="4"/>
      <c r="FF521" s="4"/>
      <c r="FG521" s="4"/>
      <c r="FH521" s="4"/>
      <c r="FI521" s="4"/>
      <c r="FJ521" s="4"/>
      <c r="FK521" s="4"/>
      <c r="FL521" s="4"/>
      <c r="FM521" s="4"/>
      <c r="FN521" s="4"/>
      <c r="FO521" s="4"/>
      <c r="FP521" s="4"/>
      <c r="FQ521" s="4"/>
      <c r="FR521" s="4"/>
      <c r="FS521" s="4"/>
      <c r="FT521" s="4"/>
      <c r="FU521" s="4"/>
      <c r="FV521" s="4"/>
      <c r="FW521" s="4"/>
      <c r="FX521" s="4"/>
      <c r="FY521" s="4"/>
      <c r="FZ521" s="4"/>
      <c r="GA521" s="4"/>
      <c r="GB521" s="4"/>
      <c r="GC521" s="4"/>
      <c r="GD521" s="4"/>
      <c r="GE521" s="4"/>
      <c r="GF521" s="4"/>
    </row>
    <row r="522">
      <c r="A522" s="2" t="s">
        <v>3540</v>
      </c>
      <c r="B522" s="2" t="s">
        <v>546</v>
      </c>
      <c r="C522" s="2" t="s">
        <v>1145</v>
      </c>
      <c r="D522" s="2" t="s">
        <v>529</v>
      </c>
      <c r="E522" s="2" t="s">
        <v>1134</v>
      </c>
      <c r="F522" s="2" t="s">
        <v>3531</v>
      </c>
      <c r="G522" s="2" t="s">
        <v>3532</v>
      </c>
      <c r="H522" s="2" t="s">
        <v>3533</v>
      </c>
      <c r="I522" s="2" t="s">
        <v>3534</v>
      </c>
      <c r="J522" s="2" t="s">
        <v>821</v>
      </c>
      <c r="K522" s="2" t="s">
        <v>336</v>
      </c>
      <c r="L522" s="3">
        <v>33.33</v>
      </c>
      <c r="M522" s="3">
        <v>35</v>
      </c>
      <c r="N522" s="3">
        <v>69.99</v>
      </c>
      <c r="O522" s="2" t="s">
        <v>203</v>
      </c>
      <c r="P522" s="2" t="s">
        <v>204</v>
      </c>
      <c r="Q522" s="2" t="s">
        <v>205</v>
      </c>
      <c r="R522" s="2" t="s">
        <v>206</v>
      </c>
      <c r="S522" s="2" t="s">
        <v>3541</v>
      </c>
      <c r="T522" s="2" t="s">
        <v>2243</v>
      </c>
      <c r="U522" s="2" t="s">
        <v>900</v>
      </c>
      <c r="V522" s="2" t="s">
        <v>209</v>
      </c>
      <c r="W522" s="2" t="s">
        <v>439</v>
      </c>
      <c r="X522" s="2" t="s">
        <v>210</v>
      </c>
      <c r="Y522" s="2" t="s">
        <v>714</v>
      </c>
      <c r="Z522" s="4">
        <v>415</v>
      </c>
      <c r="AA522" s="4">
        <f>=ROUNDDOWN(207.5,0)</f>
      </c>
      <c r="AB522" s="5">
        <v>2</v>
      </c>
      <c r="AC522" s="2" t="s">
        <v>206</v>
      </c>
      <c r="AD522" s="4"/>
      <c r="AE522" s="4"/>
      <c r="AF522" s="6">
        <v>66</v>
      </c>
      <c r="AG522" s="6"/>
      <c r="AH522" s="7">
        <v>1</v>
      </c>
      <c r="AI522" s="4"/>
      <c r="AJ522" s="4">
        <f>=ROUNDDOWN({0},0)</f>
      </c>
      <c r="AK522" s="5"/>
      <c r="AL522" s="2" t="s">
        <v>206</v>
      </c>
      <c r="AM522" s="4"/>
      <c r="AN522" s="4"/>
      <c r="AO522" s="7"/>
      <c r="AP522" s="4"/>
      <c r="AQ522" s="8"/>
      <c r="AR522" s="4"/>
      <c r="AS522" s="8"/>
      <c r="AT522" s="7"/>
      <c r="AU522" s="7"/>
      <c r="AV522" s="4" t="s">
        <v>206</v>
      </c>
      <c r="AW522" s="8" t="s">
        <v>206</v>
      </c>
      <c r="AX522" s="4" t="s">
        <v>206</v>
      </c>
      <c r="AY522" s="8" t="s">
        <v>206</v>
      </c>
      <c r="AZ522" s="7" t="s">
        <v>206</v>
      </c>
      <c r="BA522" s="7" t="s">
        <v>206</v>
      </c>
      <c r="BB522" s="7" t="s">
        <v>206</v>
      </c>
      <c r="BC522" s="4" t="s">
        <v>206</v>
      </c>
      <c r="BD522" s="8" t="s">
        <v>206</v>
      </c>
      <c r="BE522" s="4" t="s">
        <v>206</v>
      </c>
      <c r="BF522" s="8" t="s">
        <v>206</v>
      </c>
      <c r="BG522" s="7" t="s">
        <v>206</v>
      </c>
      <c r="BH522" s="7" t="s">
        <v>206</v>
      </c>
      <c r="BI522" s="7"/>
      <c r="BJ522" s="4">
        <v>5</v>
      </c>
      <c r="BK522" s="8">
        <v>196.09</v>
      </c>
      <c r="BL522" s="2" t="s">
        <v>3542</v>
      </c>
      <c r="BM522" s="7"/>
      <c r="BN522" s="7"/>
      <c r="BO522" s="4"/>
      <c r="BP522" s="8"/>
      <c r="BQ522" s="4"/>
      <c r="BR522" s="8"/>
      <c r="BS522" s="7"/>
      <c r="BT522" s="7"/>
      <c r="BU522" s="2" t="s">
        <v>3543</v>
      </c>
      <c r="BV522" s="2" t="s">
        <v>206</v>
      </c>
      <c r="BW522" s="2" t="s">
        <v>206</v>
      </c>
      <c r="BX522" s="2" t="s">
        <v>426</v>
      </c>
      <c r="BY522" s="2" t="s">
        <v>215</v>
      </c>
      <c r="BZ522" s="2" t="s">
        <v>203</v>
      </c>
      <c r="CA522" s="2" t="s">
        <v>258</v>
      </c>
      <c r="CB522" s="2" t="s">
        <v>3544</v>
      </c>
      <c r="CC522" s="2" t="s">
        <v>218</v>
      </c>
      <c r="CD522" s="2" t="s">
        <v>206</v>
      </c>
      <c r="CE522" s="4">
        <v>415</v>
      </c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/>
      <c r="EY522" s="4"/>
      <c r="EZ522" s="4"/>
      <c r="FA522" s="4"/>
      <c r="FB522" s="4"/>
      <c r="FC522" s="4"/>
      <c r="FD522" s="4"/>
      <c r="FE522" s="4"/>
      <c r="FF522" s="4"/>
      <c r="FG522" s="4"/>
      <c r="FH522" s="4"/>
      <c r="FI522" s="4"/>
      <c r="FJ522" s="4"/>
      <c r="FK522" s="4"/>
      <c r="FL522" s="4"/>
      <c r="FM522" s="4"/>
      <c r="FN522" s="4"/>
      <c r="FO522" s="4"/>
      <c r="FP522" s="4"/>
      <c r="FQ522" s="4"/>
      <c r="FR522" s="4"/>
      <c r="FS522" s="4"/>
      <c r="FT522" s="4"/>
      <c r="FU522" s="4"/>
      <c r="FV522" s="4"/>
      <c r="FW522" s="4"/>
      <c r="FX522" s="4"/>
      <c r="FY522" s="4"/>
      <c r="FZ522" s="4"/>
      <c r="GA522" s="4"/>
      <c r="GB522" s="4"/>
      <c r="GC522" s="4"/>
      <c r="GD522" s="4"/>
      <c r="GE522" s="4"/>
      <c r="GF522" s="4"/>
    </row>
    <row r="523">
      <c r="A523" s="2" t="s">
        <v>3545</v>
      </c>
      <c r="B523" s="2" t="s">
        <v>546</v>
      </c>
      <c r="C523" s="2" t="s">
        <v>1145</v>
      </c>
      <c r="D523" s="2" t="s">
        <v>548</v>
      </c>
      <c r="E523" s="2" t="s">
        <v>579</v>
      </c>
      <c r="F523" s="2" t="s">
        <v>3531</v>
      </c>
      <c r="G523" s="2" t="s">
        <v>3532</v>
      </c>
      <c r="H523" s="2" t="s">
        <v>3533</v>
      </c>
      <c r="I523" s="2" t="s">
        <v>3546</v>
      </c>
      <c r="J523" s="2" t="s">
        <v>821</v>
      </c>
      <c r="K523" s="2" t="s">
        <v>336</v>
      </c>
      <c r="L523" s="3">
        <v>26.19</v>
      </c>
      <c r="M523" s="3">
        <v>27.5</v>
      </c>
      <c r="N523" s="3">
        <v>54.99</v>
      </c>
      <c r="O523" s="2" t="s">
        <v>203</v>
      </c>
      <c r="P523" s="2" t="s">
        <v>204</v>
      </c>
      <c r="Q523" s="2" t="s">
        <v>205</v>
      </c>
      <c r="R523" s="2" t="s">
        <v>206</v>
      </c>
      <c r="S523" s="2" t="s">
        <v>3541</v>
      </c>
      <c r="T523" s="2" t="s">
        <v>2243</v>
      </c>
      <c r="U523" s="2" t="s">
        <v>900</v>
      </c>
      <c r="V523" s="2" t="s">
        <v>209</v>
      </c>
      <c r="W523" s="2" t="s">
        <v>439</v>
      </c>
      <c r="X523" s="2" t="s">
        <v>210</v>
      </c>
      <c r="Y523" s="2" t="s">
        <v>714</v>
      </c>
      <c r="Z523" s="4">
        <v>183</v>
      </c>
      <c r="AA523" s="4">
        <f>=ROUNDDOWN(183,0)</f>
      </c>
      <c r="AB523" s="5">
        <v>1</v>
      </c>
      <c r="AC523" s="2" t="s">
        <v>206</v>
      </c>
      <c r="AD523" s="4"/>
      <c r="AE523" s="4"/>
      <c r="AF523" s="6">
        <v>66</v>
      </c>
      <c r="AG523" s="6"/>
      <c r="AH523" s="7">
        <v>1</v>
      </c>
      <c r="AI523" s="4"/>
      <c r="AJ523" s="4">
        <f>=ROUNDDOWN({0},0)</f>
      </c>
      <c r="AK523" s="5"/>
      <c r="AL523" s="2" t="s">
        <v>206</v>
      </c>
      <c r="AM523" s="4"/>
      <c r="AN523" s="4"/>
      <c r="AO523" s="7"/>
      <c r="AP523" s="4"/>
      <c r="AQ523" s="8"/>
      <c r="AR523" s="4"/>
      <c r="AS523" s="8"/>
      <c r="AT523" s="7"/>
      <c r="AU523" s="7"/>
      <c r="AV523" s="4" t="s">
        <v>206</v>
      </c>
      <c r="AW523" s="8" t="s">
        <v>206</v>
      </c>
      <c r="AX523" s="4" t="s">
        <v>206</v>
      </c>
      <c r="AY523" s="8" t="s">
        <v>206</v>
      </c>
      <c r="AZ523" s="7" t="s">
        <v>206</v>
      </c>
      <c r="BA523" s="7" t="s">
        <v>206</v>
      </c>
      <c r="BB523" s="7" t="s">
        <v>206</v>
      </c>
      <c r="BC523" s="4" t="s">
        <v>206</v>
      </c>
      <c r="BD523" s="8" t="s">
        <v>206</v>
      </c>
      <c r="BE523" s="4" t="s">
        <v>206</v>
      </c>
      <c r="BF523" s="8" t="s">
        <v>206</v>
      </c>
      <c r="BG523" s="7" t="s">
        <v>206</v>
      </c>
      <c r="BH523" s="7" t="s">
        <v>206</v>
      </c>
      <c r="BI523" s="7"/>
      <c r="BJ523" s="4">
        <v>3</v>
      </c>
      <c r="BK523" s="8">
        <v>89.1</v>
      </c>
      <c r="BL523" s="2" t="s">
        <v>3024</v>
      </c>
      <c r="BM523" s="7"/>
      <c r="BN523" s="7"/>
      <c r="BO523" s="4"/>
      <c r="BP523" s="8"/>
      <c r="BQ523" s="4"/>
      <c r="BR523" s="8"/>
      <c r="BS523" s="7"/>
      <c r="BT523" s="7"/>
      <c r="BU523" s="2" t="s">
        <v>3547</v>
      </c>
      <c r="BV523" s="2" t="s">
        <v>206</v>
      </c>
      <c r="BW523" s="2" t="s">
        <v>206</v>
      </c>
      <c r="BX523" s="2" t="s">
        <v>214</v>
      </c>
      <c r="BY523" s="2" t="s">
        <v>215</v>
      </c>
      <c r="BZ523" s="2" t="s">
        <v>203</v>
      </c>
      <c r="CA523" s="2" t="s">
        <v>3033</v>
      </c>
      <c r="CB523" s="2" t="s">
        <v>3548</v>
      </c>
      <c r="CC523" s="2" t="s">
        <v>218</v>
      </c>
      <c r="CD523" s="2" t="s">
        <v>206</v>
      </c>
      <c r="CE523" s="4">
        <v>183</v>
      </c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/>
      <c r="EX523" s="4"/>
      <c r="EY523" s="4"/>
      <c r="EZ523" s="4"/>
      <c r="FA523" s="4"/>
      <c r="FB523" s="4"/>
      <c r="FC523" s="4"/>
      <c r="FD523" s="4"/>
      <c r="FE523" s="4"/>
      <c r="FF523" s="4"/>
      <c r="FG523" s="4"/>
      <c r="FH523" s="4"/>
      <c r="FI523" s="4"/>
      <c r="FJ523" s="4"/>
      <c r="FK523" s="4"/>
      <c r="FL523" s="4"/>
      <c r="FM523" s="4"/>
      <c r="FN523" s="4"/>
      <c r="FO523" s="4"/>
      <c r="FP523" s="4"/>
      <c r="FQ523" s="4"/>
      <c r="FR523" s="4"/>
      <c r="FS523" s="4"/>
      <c r="FT523" s="4"/>
      <c r="FU523" s="4"/>
      <c r="FV523" s="4"/>
      <c r="FW523" s="4"/>
      <c r="FX523" s="4"/>
      <c r="FY523" s="4"/>
      <c r="FZ523" s="4"/>
      <c r="GA523" s="4"/>
      <c r="GB523" s="4"/>
      <c r="GC523" s="4"/>
      <c r="GD523" s="4"/>
      <c r="GE523" s="4"/>
      <c r="GF523" s="4"/>
    </row>
    <row r="524">
      <c r="A524" s="2" t="s">
        <v>3549</v>
      </c>
      <c r="B524" s="2" t="s">
        <v>546</v>
      </c>
      <c r="C524" s="2" t="s">
        <v>1145</v>
      </c>
      <c r="D524" s="2" t="s">
        <v>548</v>
      </c>
      <c r="E524" s="2" t="s">
        <v>579</v>
      </c>
      <c r="F524" s="2" t="s">
        <v>3531</v>
      </c>
      <c r="G524" s="2" t="s">
        <v>3532</v>
      </c>
      <c r="H524" s="2" t="s">
        <v>3533</v>
      </c>
      <c r="I524" s="2" t="s">
        <v>3546</v>
      </c>
      <c r="J524" s="2" t="s">
        <v>593</v>
      </c>
      <c r="K524" s="2" t="s">
        <v>336</v>
      </c>
      <c r="L524" s="3">
        <v>30.95</v>
      </c>
      <c r="M524" s="3">
        <v>32.5</v>
      </c>
      <c r="N524" s="3">
        <v>64.99</v>
      </c>
      <c r="O524" s="2" t="s">
        <v>203</v>
      </c>
      <c r="P524" s="2" t="s">
        <v>204</v>
      </c>
      <c r="Q524" s="2" t="s">
        <v>205</v>
      </c>
      <c r="R524" s="2" t="s">
        <v>206</v>
      </c>
      <c r="S524" s="2" t="s">
        <v>3541</v>
      </c>
      <c r="T524" s="2" t="s">
        <v>2243</v>
      </c>
      <c r="U524" s="2" t="s">
        <v>556</v>
      </c>
      <c r="V524" s="2" t="s">
        <v>209</v>
      </c>
      <c r="W524" s="2" t="s">
        <v>439</v>
      </c>
      <c r="X524" s="2" t="s">
        <v>210</v>
      </c>
      <c r="Y524" s="2" t="s">
        <v>3550</v>
      </c>
      <c r="Z524" s="4">
        <v>193</v>
      </c>
      <c r="AA524" s="4">
        <f>=ROUNDDOWN(96.5,0)</f>
      </c>
      <c r="AB524" s="5">
        <v>2</v>
      </c>
      <c r="AC524" s="2" t="s">
        <v>206</v>
      </c>
      <c r="AD524" s="4"/>
      <c r="AE524" s="4"/>
      <c r="AF524" s="6">
        <v>66</v>
      </c>
      <c r="AG524" s="6"/>
      <c r="AH524" s="7">
        <v>1</v>
      </c>
      <c r="AI524" s="4"/>
      <c r="AJ524" s="4">
        <f>=ROUNDDOWN({0},0)</f>
      </c>
      <c r="AK524" s="5"/>
      <c r="AL524" s="2" t="s">
        <v>206</v>
      </c>
      <c r="AM524" s="4"/>
      <c r="AN524" s="4"/>
      <c r="AO524" s="7"/>
      <c r="AP524" s="4"/>
      <c r="AQ524" s="8"/>
      <c r="AR524" s="4"/>
      <c r="AS524" s="8"/>
      <c r="AT524" s="7"/>
      <c r="AU524" s="7"/>
      <c r="AV524" s="4" t="s">
        <v>206</v>
      </c>
      <c r="AW524" s="8" t="s">
        <v>206</v>
      </c>
      <c r="AX524" s="4" t="s">
        <v>206</v>
      </c>
      <c r="AY524" s="8" t="s">
        <v>206</v>
      </c>
      <c r="AZ524" s="7" t="s">
        <v>206</v>
      </c>
      <c r="BA524" s="7" t="s">
        <v>206</v>
      </c>
      <c r="BB524" s="7"/>
      <c r="BC524" s="4" t="s">
        <v>206</v>
      </c>
      <c r="BD524" s="8" t="s">
        <v>206</v>
      </c>
      <c r="BE524" s="4" t="s">
        <v>206</v>
      </c>
      <c r="BF524" s="8" t="s">
        <v>206</v>
      </c>
      <c r="BG524" s="7" t="s">
        <v>206</v>
      </c>
      <c r="BH524" s="7" t="s">
        <v>206</v>
      </c>
      <c r="BI524" s="7"/>
      <c r="BJ524" s="4">
        <v>5</v>
      </c>
      <c r="BK524" s="8">
        <v>175.99</v>
      </c>
      <c r="BL524" s="2" t="s">
        <v>1297</v>
      </c>
      <c r="BM524" s="7"/>
      <c r="BN524" s="7"/>
      <c r="BO524" s="4"/>
      <c r="BP524" s="8"/>
      <c r="BQ524" s="4"/>
      <c r="BR524" s="8"/>
      <c r="BS524" s="7"/>
      <c r="BT524" s="7"/>
      <c r="BU524" s="2" t="s">
        <v>3551</v>
      </c>
      <c r="BV524" s="2" t="s">
        <v>206</v>
      </c>
      <c r="BW524" s="2" t="s">
        <v>206</v>
      </c>
      <c r="BX524" s="2" t="s">
        <v>214</v>
      </c>
      <c r="BY524" s="2" t="s">
        <v>215</v>
      </c>
      <c r="BZ524" s="2" t="s">
        <v>203</v>
      </c>
      <c r="CA524" s="2" t="s">
        <v>3033</v>
      </c>
      <c r="CB524" s="2" t="s">
        <v>1527</v>
      </c>
      <c r="CC524" s="2" t="s">
        <v>218</v>
      </c>
      <c r="CD524" s="2" t="s">
        <v>206</v>
      </c>
      <c r="CE524" s="4">
        <v>193</v>
      </c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/>
      <c r="FD524" s="4"/>
      <c r="FE524" s="4"/>
      <c r="FF524" s="4"/>
      <c r="FG524" s="4"/>
      <c r="FH524" s="4"/>
      <c r="FI524" s="4"/>
      <c r="FJ524" s="4"/>
      <c r="FK524" s="4"/>
      <c r="FL524" s="4"/>
      <c r="FM524" s="4"/>
      <c r="FN524" s="4"/>
      <c r="FO524" s="4"/>
      <c r="FP524" s="4"/>
      <c r="FQ524" s="4"/>
      <c r="FR524" s="4"/>
      <c r="FS524" s="4"/>
      <c r="FT524" s="4"/>
      <c r="FU524" s="4"/>
      <c r="FV524" s="4"/>
      <c r="FW524" s="4"/>
      <c r="FX524" s="4"/>
      <c r="FY524" s="4"/>
      <c r="FZ524" s="4"/>
      <c r="GA524" s="4"/>
      <c r="GB524" s="4"/>
      <c r="GC524" s="4"/>
      <c r="GD524" s="4"/>
      <c r="GE524" s="4"/>
      <c r="GF524" s="4"/>
    </row>
    <row r="525">
      <c r="A525" s="2" t="s">
        <v>3552</v>
      </c>
      <c r="B525" s="2" t="s">
        <v>546</v>
      </c>
      <c r="C525" s="2" t="s">
        <v>1145</v>
      </c>
      <c r="D525" s="2" t="s">
        <v>529</v>
      </c>
      <c r="E525" s="2" t="s">
        <v>1134</v>
      </c>
      <c r="F525" s="2" t="s">
        <v>3531</v>
      </c>
      <c r="G525" s="2" t="s">
        <v>3532</v>
      </c>
      <c r="H525" s="2" t="s">
        <v>3533</v>
      </c>
      <c r="I525" s="2" t="s">
        <v>3534</v>
      </c>
      <c r="J525" s="2" t="s">
        <v>582</v>
      </c>
      <c r="K525" s="2" t="s">
        <v>336</v>
      </c>
      <c r="L525" s="3">
        <v>42.85</v>
      </c>
      <c r="M525" s="3">
        <v>44.99</v>
      </c>
      <c r="N525" s="3">
        <v>89.99</v>
      </c>
      <c r="O525" s="2" t="s">
        <v>203</v>
      </c>
      <c r="P525" s="2" t="s">
        <v>204</v>
      </c>
      <c r="Q525" s="2" t="s">
        <v>205</v>
      </c>
      <c r="R525" s="2" t="s">
        <v>206</v>
      </c>
      <c r="S525" s="2" t="s">
        <v>3541</v>
      </c>
      <c r="T525" s="2" t="s">
        <v>2243</v>
      </c>
      <c r="U525" s="2" t="s">
        <v>556</v>
      </c>
      <c r="V525" s="2" t="s">
        <v>209</v>
      </c>
      <c r="W525" s="2" t="s">
        <v>439</v>
      </c>
      <c r="X525" s="2" t="s">
        <v>210</v>
      </c>
      <c r="Y525" s="2" t="s">
        <v>1299</v>
      </c>
      <c r="Z525" s="4">
        <v>269</v>
      </c>
      <c r="AA525" s="4">
        <f>=ROUNDDOWN(67.25,0)</f>
      </c>
      <c r="AB525" s="5">
        <v>4</v>
      </c>
      <c r="AC525" s="2" t="s">
        <v>206</v>
      </c>
      <c r="AD525" s="4"/>
      <c r="AE525" s="4"/>
      <c r="AF525" s="6">
        <v>66</v>
      </c>
      <c r="AG525" s="6"/>
      <c r="AH525" s="7">
        <v>1</v>
      </c>
      <c r="AI525" s="4"/>
      <c r="AJ525" s="4">
        <f>=ROUNDDOWN({0},0)</f>
      </c>
      <c r="AK525" s="5"/>
      <c r="AL525" s="2" t="s">
        <v>206</v>
      </c>
      <c r="AM525" s="4"/>
      <c r="AN525" s="4"/>
      <c r="AO525" s="7"/>
      <c r="AP525" s="4"/>
      <c r="AQ525" s="8"/>
      <c r="AR525" s="4"/>
      <c r="AS525" s="8"/>
      <c r="AT525" s="7"/>
      <c r="AU525" s="7"/>
      <c r="AV525" s="4" t="s">
        <v>206</v>
      </c>
      <c r="AW525" s="8" t="s">
        <v>206</v>
      </c>
      <c r="AX525" s="4" t="s">
        <v>206</v>
      </c>
      <c r="AY525" s="8" t="s">
        <v>206</v>
      </c>
      <c r="AZ525" s="7" t="s">
        <v>206</v>
      </c>
      <c r="BA525" s="7" t="s">
        <v>206</v>
      </c>
      <c r="BB525" s="7"/>
      <c r="BC525" s="4" t="s">
        <v>206</v>
      </c>
      <c r="BD525" s="8" t="s">
        <v>206</v>
      </c>
      <c r="BE525" s="4" t="s">
        <v>206</v>
      </c>
      <c r="BF525" s="8" t="s">
        <v>206</v>
      </c>
      <c r="BG525" s="7" t="s">
        <v>206</v>
      </c>
      <c r="BH525" s="7" t="s">
        <v>206</v>
      </c>
      <c r="BI525" s="7"/>
      <c r="BJ525" s="4">
        <v>14</v>
      </c>
      <c r="BK525" s="8">
        <v>642.01</v>
      </c>
      <c r="BL525" s="2" t="s">
        <v>1881</v>
      </c>
      <c r="BM525" s="7"/>
      <c r="BN525" s="7"/>
      <c r="BO525" s="4"/>
      <c r="BP525" s="8"/>
      <c r="BQ525" s="4"/>
      <c r="BR525" s="8"/>
      <c r="BS525" s="7"/>
      <c r="BT525" s="7"/>
      <c r="BU525" s="2" t="s">
        <v>3553</v>
      </c>
      <c r="BV525" s="2" t="s">
        <v>206</v>
      </c>
      <c r="BW525" s="2" t="s">
        <v>206</v>
      </c>
      <c r="BX525" s="2" t="s">
        <v>426</v>
      </c>
      <c r="BY525" s="2" t="s">
        <v>215</v>
      </c>
      <c r="BZ525" s="2" t="s">
        <v>203</v>
      </c>
      <c r="CA525" s="2" t="s">
        <v>258</v>
      </c>
      <c r="CB525" s="2" t="s">
        <v>1260</v>
      </c>
      <c r="CC525" s="2" t="s">
        <v>218</v>
      </c>
      <c r="CD525" s="2" t="s">
        <v>206</v>
      </c>
      <c r="CE525" s="4">
        <v>269</v>
      </c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  <c r="FD525" s="4"/>
      <c r="FE525" s="4"/>
      <c r="FF525" s="4"/>
      <c r="FG525" s="4"/>
      <c r="FH525" s="4"/>
      <c r="FI525" s="4"/>
      <c r="FJ525" s="4"/>
      <c r="FK525" s="4"/>
      <c r="FL525" s="4"/>
      <c r="FM525" s="4"/>
      <c r="FN525" s="4"/>
      <c r="FO525" s="4"/>
      <c r="FP525" s="4"/>
      <c r="FQ525" s="4"/>
      <c r="FR525" s="4"/>
      <c r="FS525" s="4"/>
      <c r="FT525" s="4"/>
      <c r="FU525" s="4"/>
      <c r="FV525" s="4"/>
      <c r="FW525" s="4"/>
      <c r="FX525" s="4"/>
      <c r="FY525" s="4"/>
      <c r="FZ525" s="4"/>
      <c r="GA525" s="4"/>
      <c r="GB525" s="4"/>
      <c r="GC525" s="4"/>
      <c r="GD525" s="4"/>
      <c r="GE525" s="4"/>
      <c r="GF525" s="4"/>
    </row>
    <row r="526">
      <c r="A526" s="2" t="s">
        <v>3554</v>
      </c>
      <c r="B526" s="2" t="s">
        <v>546</v>
      </c>
      <c r="C526" s="2" t="s">
        <v>1145</v>
      </c>
      <c r="D526" s="2" t="s">
        <v>548</v>
      </c>
      <c r="E526" s="2" t="s">
        <v>579</v>
      </c>
      <c r="F526" s="2" t="s">
        <v>3531</v>
      </c>
      <c r="G526" s="2" t="s">
        <v>3532</v>
      </c>
      <c r="H526" s="2" t="s">
        <v>3533</v>
      </c>
      <c r="I526" s="2" t="s">
        <v>3546</v>
      </c>
      <c r="J526" s="2" t="s">
        <v>821</v>
      </c>
      <c r="K526" s="2" t="s">
        <v>353</v>
      </c>
      <c r="L526" s="3">
        <v>26.19</v>
      </c>
      <c r="M526" s="3">
        <v>27.5</v>
      </c>
      <c r="N526" s="3">
        <v>54.99</v>
      </c>
      <c r="O526" s="2" t="s">
        <v>203</v>
      </c>
      <c r="P526" s="2" t="s">
        <v>204</v>
      </c>
      <c r="Q526" s="2" t="s">
        <v>205</v>
      </c>
      <c r="R526" s="2" t="s">
        <v>206</v>
      </c>
      <c r="S526" s="2" t="s">
        <v>3555</v>
      </c>
      <c r="T526" s="2" t="s">
        <v>2243</v>
      </c>
      <c r="U526" s="2" t="s">
        <v>900</v>
      </c>
      <c r="V526" s="2" t="s">
        <v>209</v>
      </c>
      <c r="W526" s="2" t="s">
        <v>439</v>
      </c>
      <c r="X526" s="2" t="s">
        <v>210</v>
      </c>
      <c r="Y526" s="2" t="s">
        <v>3556</v>
      </c>
      <c r="Z526" s="4">
        <v>182</v>
      </c>
      <c r="AA526" s="4">
        <f>=ROUNDDOWN(60.6666666666667,0)</f>
      </c>
      <c r="AB526" s="5">
        <v>3</v>
      </c>
      <c r="AC526" s="2" t="s">
        <v>206</v>
      </c>
      <c r="AD526" s="4"/>
      <c r="AE526" s="4"/>
      <c r="AF526" s="6">
        <v>66</v>
      </c>
      <c r="AG526" s="6"/>
      <c r="AH526" s="7">
        <v>1</v>
      </c>
      <c r="AI526" s="4"/>
      <c r="AJ526" s="4">
        <f>=ROUNDDOWN({0},0)</f>
      </c>
      <c r="AK526" s="5"/>
      <c r="AL526" s="2" t="s">
        <v>206</v>
      </c>
      <c r="AM526" s="4"/>
      <c r="AN526" s="4"/>
      <c r="AO526" s="7"/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206</v>
      </c>
      <c r="BD526" s="8" t="s">
        <v>206</v>
      </c>
      <c r="BE526" s="4" t="s">
        <v>206</v>
      </c>
      <c r="BF526" s="8" t="s">
        <v>206</v>
      </c>
      <c r="BG526" s="7" t="s">
        <v>206</v>
      </c>
      <c r="BH526" s="7" t="s">
        <v>206</v>
      </c>
      <c r="BI526" s="7"/>
      <c r="BJ526" s="4">
        <v>7</v>
      </c>
      <c r="BK526" s="8">
        <v>194.11</v>
      </c>
      <c r="BL526" s="2" t="s">
        <v>3557</v>
      </c>
      <c r="BM526" s="7"/>
      <c r="BN526" s="7"/>
      <c r="BO526" s="4"/>
      <c r="BP526" s="8"/>
      <c r="BQ526" s="4"/>
      <c r="BR526" s="8"/>
      <c r="BS526" s="7"/>
      <c r="BT526" s="7"/>
      <c r="BU526" s="2" t="s">
        <v>3558</v>
      </c>
      <c r="BV526" s="2" t="s">
        <v>206</v>
      </c>
      <c r="BW526" s="2" t="s">
        <v>206</v>
      </c>
      <c r="BX526" s="2" t="s">
        <v>214</v>
      </c>
      <c r="BY526" s="2" t="s">
        <v>215</v>
      </c>
      <c r="BZ526" s="2" t="s">
        <v>203</v>
      </c>
      <c r="CA526" s="2" t="s">
        <v>3559</v>
      </c>
      <c r="CB526" s="2" t="s">
        <v>3560</v>
      </c>
      <c r="CC526" s="2" t="s">
        <v>218</v>
      </c>
      <c r="CD526" s="2" t="s">
        <v>206</v>
      </c>
      <c r="CE526" s="4">
        <v>182</v>
      </c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/>
      <c r="FC526" s="4"/>
      <c r="FD526" s="4"/>
      <c r="FE526" s="4"/>
      <c r="FF526" s="4"/>
      <c r="FG526" s="4"/>
      <c r="FH526" s="4"/>
      <c r="FI526" s="4"/>
      <c r="FJ526" s="4"/>
      <c r="FK526" s="4"/>
      <c r="FL526" s="4"/>
      <c r="FM526" s="4"/>
      <c r="FN526" s="4"/>
      <c r="FO526" s="4"/>
      <c r="FP526" s="4"/>
      <c r="FQ526" s="4"/>
      <c r="FR526" s="4"/>
      <c r="FS526" s="4"/>
      <c r="FT526" s="4"/>
      <c r="FU526" s="4"/>
      <c r="FV526" s="4"/>
      <c r="FW526" s="4"/>
      <c r="FX526" s="4"/>
      <c r="FY526" s="4"/>
      <c r="FZ526" s="4"/>
      <c r="GA526" s="4"/>
      <c r="GB526" s="4"/>
      <c r="GC526" s="4"/>
      <c r="GD526" s="4"/>
      <c r="GE526" s="4"/>
      <c r="GF526" s="4"/>
    </row>
    <row r="527">
      <c r="A527" s="2" t="s">
        <v>3561</v>
      </c>
      <c r="B527" s="2" t="s">
        <v>546</v>
      </c>
      <c r="C527" s="2" t="s">
        <v>1145</v>
      </c>
      <c r="D527" s="2" t="s">
        <v>548</v>
      </c>
      <c r="E527" s="2" t="s">
        <v>579</v>
      </c>
      <c r="F527" s="2" t="s">
        <v>3531</v>
      </c>
      <c r="G527" s="2" t="s">
        <v>3532</v>
      </c>
      <c r="H527" s="2" t="s">
        <v>3533</v>
      </c>
      <c r="I527" s="2" t="s">
        <v>3546</v>
      </c>
      <c r="J527" s="2" t="s">
        <v>821</v>
      </c>
      <c r="K527" s="2" t="s">
        <v>605</v>
      </c>
      <c r="L527" s="3">
        <v>26.19</v>
      </c>
      <c r="M527" s="3">
        <v>27.5</v>
      </c>
      <c r="N527" s="3">
        <v>54.99</v>
      </c>
      <c r="O527" s="2" t="s">
        <v>203</v>
      </c>
      <c r="P527" s="2" t="s">
        <v>204</v>
      </c>
      <c r="Q527" s="2" t="s">
        <v>205</v>
      </c>
      <c r="R527" s="2" t="s">
        <v>206</v>
      </c>
      <c r="S527" s="2" t="s">
        <v>3562</v>
      </c>
      <c r="T527" s="2" t="s">
        <v>2243</v>
      </c>
      <c r="U527" s="2" t="s">
        <v>900</v>
      </c>
      <c r="V527" s="2" t="s">
        <v>209</v>
      </c>
      <c r="W527" s="2" t="s">
        <v>439</v>
      </c>
      <c r="X527" s="2" t="s">
        <v>210</v>
      </c>
      <c r="Y527" s="2" t="s">
        <v>3550</v>
      </c>
      <c r="Z527" s="4">
        <v>267</v>
      </c>
      <c r="AA527" s="4">
        <f>=ROUNDDOWN(267,0)</f>
      </c>
      <c r="AB527" s="5">
        <v>1</v>
      </c>
      <c r="AC527" s="2" t="s">
        <v>206</v>
      </c>
      <c r="AD527" s="4"/>
      <c r="AE527" s="4"/>
      <c r="AF527" s="6">
        <v>66</v>
      </c>
      <c r="AG527" s="6"/>
      <c r="AH527" s="7">
        <v>1</v>
      </c>
      <c r="AI527" s="4"/>
      <c r="AJ527" s="4">
        <f>=ROUNDDOWN({0},0)</f>
      </c>
      <c r="AK527" s="5"/>
      <c r="AL527" s="2" t="s">
        <v>206</v>
      </c>
      <c r="AM527" s="4"/>
      <c r="AN527" s="4"/>
      <c r="AO527" s="7"/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 t="s">
        <v>206</v>
      </c>
      <c r="BD527" s="8" t="s">
        <v>206</v>
      </c>
      <c r="BE527" s="4" t="s">
        <v>206</v>
      </c>
      <c r="BF527" s="8" t="s">
        <v>206</v>
      </c>
      <c r="BG527" s="7" t="s">
        <v>206</v>
      </c>
      <c r="BH527" s="7" t="s">
        <v>206</v>
      </c>
      <c r="BI527" s="7"/>
      <c r="BJ527" s="4">
        <v>3</v>
      </c>
      <c r="BK527" s="8">
        <v>89.52</v>
      </c>
      <c r="BL527" s="2" t="s">
        <v>3563</v>
      </c>
      <c r="BM527" s="7"/>
      <c r="BN527" s="7"/>
      <c r="BO527" s="4"/>
      <c r="BP527" s="8"/>
      <c r="BQ527" s="4"/>
      <c r="BR527" s="8"/>
      <c r="BS527" s="7"/>
      <c r="BT527" s="7"/>
      <c r="BU527" s="2" t="s">
        <v>3564</v>
      </c>
      <c r="BV527" s="2" t="s">
        <v>206</v>
      </c>
      <c r="BW527" s="2" t="s">
        <v>206</v>
      </c>
      <c r="BX527" s="2" t="s">
        <v>214</v>
      </c>
      <c r="BY527" s="2" t="s">
        <v>215</v>
      </c>
      <c r="BZ527" s="2" t="s">
        <v>203</v>
      </c>
      <c r="CA527" s="2" t="s">
        <v>3033</v>
      </c>
      <c r="CB527" s="2" t="s">
        <v>1548</v>
      </c>
      <c r="CC527" s="2" t="s">
        <v>218</v>
      </c>
      <c r="CD527" s="2" t="s">
        <v>206</v>
      </c>
      <c r="CE527" s="4">
        <v>267</v>
      </c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  <c r="FE527" s="4"/>
      <c r="FF527" s="4"/>
      <c r="FG527" s="4"/>
      <c r="FH527" s="4"/>
      <c r="FI527" s="4"/>
      <c r="FJ527" s="4"/>
      <c r="FK527" s="4"/>
      <c r="FL527" s="4"/>
      <c r="FM527" s="4"/>
      <c r="FN527" s="4"/>
      <c r="FO527" s="4"/>
      <c r="FP527" s="4"/>
      <c r="FQ527" s="4"/>
      <c r="FR527" s="4"/>
      <c r="FS527" s="4"/>
      <c r="FT527" s="4"/>
      <c r="FU527" s="4"/>
      <c r="FV527" s="4"/>
      <c r="FW527" s="4"/>
      <c r="FX527" s="4"/>
      <c r="FY527" s="4"/>
      <c r="FZ527" s="4"/>
      <c r="GA527" s="4"/>
      <c r="GB527" s="4"/>
      <c r="GC527" s="4"/>
      <c r="GD527" s="4"/>
      <c r="GE527" s="4"/>
      <c r="GF527" s="4"/>
    </row>
    <row r="528">
      <c r="A528" s="2" t="s">
        <v>3565</v>
      </c>
      <c r="B528" s="2" t="s">
        <v>546</v>
      </c>
      <c r="C528" s="2" t="s">
        <v>1145</v>
      </c>
      <c r="D528" s="2" t="s">
        <v>529</v>
      </c>
      <c r="E528" s="2" t="s">
        <v>1134</v>
      </c>
      <c r="F528" s="2" t="s">
        <v>3531</v>
      </c>
      <c r="G528" s="2" t="s">
        <v>3532</v>
      </c>
      <c r="H528" s="2" t="s">
        <v>3533</v>
      </c>
      <c r="I528" s="2" t="s">
        <v>3534</v>
      </c>
      <c r="J528" s="2" t="s">
        <v>582</v>
      </c>
      <c r="K528" s="2" t="s">
        <v>1390</v>
      </c>
      <c r="L528" s="3">
        <v>42.85</v>
      </c>
      <c r="M528" s="3">
        <v>44.99</v>
      </c>
      <c r="N528" s="3">
        <v>89.99</v>
      </c>
      <c r="O528" s="2" t="s">
        <v>203</v>
      </c>
      <c r="P528" s="2" t="s">
        <v>492</v>
      </c>
      <c r="Q528" s="2" t="s">
        <v>205</v>
      </c>
      <c r="R528" s="2" t="s">
        <v>206</v>
      </c>
      <c r="S528" s="2" t="s">
        <v>3566</v>
      </c>
      <c r="T528" s="2" t="s">
        <v>2243</v>
      </c>
      <c r="U528" s="2" t="s">
        <v>556</v>
      </c>
      <c r="V528" s="2" t="s">
        <v>209</v>
      </c>
      <c r="W528" s="2" t="s">
        <v>439</v>
      </c>
      <c r="X528" s="2" t="s">
        <v>210</v>
      </c>
      <c r="Y528" s="2" t="s">
        <v>714</v>
      </c>
      <c r="Z528" s="4">
        <v>425</v>
      </c>
      <c r="AA528" s="4">
        <f>=ROUNDDOWN(53.125,0)</f>
      </c>
      <c r="AB528" s="5">
        <v>8</v>
      </c>
      <c r="AC528" s="2" t="s">
        <v>109</v>
      </c>
      <c r="AD528" s="4">
        <v>120</v>
      </c>
      <c r="AE528" s="4">
        <v>120</v>
      </c>
      <c r="AF528" s="6">
        <v>66</v>
      </c>
      <c r="AG528" s="6"/>
      <c r="AH528" s="7">
        <v>1</v>
      </c>
      <c r="AI528" s="4"/>
      <c r="AJ528" s="4">
        <f>=ROUNDDOWN({0},0)</f>
      </c>
      <c r="AK528" s="5"/>
      <c r="AL528" s="2" t="s">
        <v>206</v>
      </c>
      <c r="AM528" s="4"/>
      <c r="AN528" s="4"/>
      <c r="AO528" s="7"/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206</v>
      </c>
      <c r="BD528" s="8" t="s">
        <v>206</v>
      </c>
      <c r="BE528" s="4" t="s">
        <v>206</v>
      </c>
      <c r="BF528" s="8" t="s">
        <v>206</v>
      </c>
      <c r="BG528" s="7" t="s">
        <v>206</v>
      </c>
      <c r="BH528" s="7" t="s">
        <v>206</v>
      </c>
      <c r="BI528" s="7"/>
      <c r="BJ528" s="4">
        <v>17</v>
      </c>
      <c r="BK528" s="8">
        <v>800.24</v>
      </c>
      <c r="BL528" s="2" t="s">
        <v>3567</v>
      </c>
      <c r="BM528" s="7"/>
      <c r="BN528" s="7"/>
      <c r="BO528" s="4"/>
      <c r="BP528" s="8"/>
      <c r="BQ528" s="4"/>
      <c r="BR528" s="8"/>
      <c r="BS528" s="7"/>
      <c r="BT528" s="7"/>
      <c r="BU528" s="2" t="s">
        <v>3568</v>
      </c>
      <c r="BV528" s="2" t="s">
        <v>206</v>
      </c>
      <c r="BW528" s="2" t="s">
        <v>206</v>
      </c>
      <c r="BX528" s="2" t="s">
        <v>426</v>
      </c>
      <c r="BY528" s="2" t="s">
        <v>215</v>
      </c>
      <c r="BZ528" s="2" t="s">
        <v>203</v>
      </c>
      <c r="CA528" s="2" t="s">
        <v>258</v>
      </c>
      <c r="CB528" s="2" t="s">
        <v>2003</v>
      </c>
      <c r="CC528" s="2" t="s">
        <v>218</v>
      </c>
      <c r="CD528" s="2" t="s">
        <v>206</v>
      </c>
      <c r="CE528" s="4">
        <v>425</v>
      </c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>
        <v>120</v>
      </c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  <c r="FD528" s="4"/>
      <c r="FE528" s="4"/>
      <c r="FF528" s="4"/>
      <c r="FG528" s="4"/>
      <c r="FH528" s="4"/>
      <c r="FI528" s="4"/>
      <c r="FJ528" s="4"/>
      <c r="FK528" s="4"/>
      <c r="FL528" s="4"/>
      <c r="FM528" s="4"/>
      <c r="FN528" s="4"/>
      <c r="FO528" s="4"/>
      <c r="FP528" s="4"/>
      <c r="FQ528" s="4"/>
      <c r="FR528" s="4"/>
      <c r="FS528" s="4"/>
      <c r="FT528" s="4"/>
      <c r="FU528" s="4"/>
      <c r="FV528" s="4"/>
      <c r="FW528" s="4"/>
      <c r="FX528" s="4"/>
      <c r="FY528" s="4"/>
      <c r="FZ528" s="4"/>
      <c r="GA528" s="4"/>
      <c r="GB528" s="4"/>
      <c r="GC528" s="4"/>
      <c r="GD528" s="4"/>
      <c r="GE528" s="4"/>
      <c r="GF528" s="4"/>
    </row>
    <row r="529">
      <c r="A529" s="2" t="s">
        <v>3569</v>
      </c>
      <c r="B529" s="2" t="s">
        <v>546</v>
      </c>
      <c r="C529" s="2" t="s">
        <v>1145</v>
      </c>
      <c r="D529" s="2" t="s">
        <v>548</v>
      </c>
      <c r="E529" s="2" t="s">
        <v>579</v>
      </c>
      <c r="F529" s="2" t="s">
        <v>3531</v>
      </c>
      <c r="G529" s="2" t="s">
        <v>3532</v>
      </c>
      <c r="H529" s="2" t="s">
        <v>3533</v>
      </c>
      <c r="I529" s="2" t="s">
        <v>3546</v>
      </c>
      <c r="J529" s="2" t="s">
        <v>821</v>
      </c>
      <c r="K529" s="2" t="s">
        <v>1410</v>
      </c>
      <c r="L529" s="3">
        <v>26.19</v>
      </c>
      <c r="M529" s="3">
        <v>27.5</v>
      </c>
      <c r="N529" s="3">
        <v>54.99</v>
      </c>
      <c r="O529" s="2" t="s">
        <v>203</v>
      </c>
      <c r="P529" s="2" t="s">
        <v>204</v>
      </c>
      <c r="Q529" s="2" t="s">
        <v>205</v>
      </c>
      <c r="R529" s="2" t="s">
        <v>206</v>
      </c>
      <c r="S529" s="2" t="s">
        <v>3570</v>
      </c>
      <c r="T529" s="2" t="s">
        <v>2243</v>
      </c>
      <c r="U529" s="2" t="s">
        <v>900</v>
      </c>
      <c r="V529" s="2" t="s">
        <v>209</v>
      </c>
      <c r="W529" s="2" t="s">
        <v>439</v>
      </c>
      <c r="X529" s="2" t="s">
        <v>210</v>
      </c>
      <c r="Y529" s="2" t="s">
        <v>3550</v>
      </c>
      <c r="Z529" s="4">
        <v>244</v>
      </c>
      <c r="AA529" s="4">
        <f>=ROUNDDOWN(122,0)</f>
      </c>
      <c r="AB529" s="5">
        <v>2</v>
      </c>
      <c r="AC529" s="2" t="s">
        <v>206</v>
      </c>
      <c r="AD529" s="4"/>
      <c r="AE529" s="4"/>
      <c r="AF529" s="6">
        <v>66</v>
      </c>
      <c r="AG529" s="6"/>
      <c r="AH529" s="7">
        <v>1</v>
      </c>
      <c r="AI529" s="4"/>
      <c r="AJ529" s="4">
        <f>=ROUNDDOWN({0},0)</f>
      </c>
      <c r="AK529" s="5"/>
      <c r="AL529" s="2" t="s">
        <v>206</v>
      </c>
      <c r="AM529" s="4"/>
      <c r="AN529" s="4"/>
      <c r="AO529" s="7"/>
      <c r="AP529" s="4"/>
      <c r="AQ529" s="8"/>
      <c r="AR529" s="4"/>
      <c r="AS529" s="8"/>
      <c r="AT529" s="7"/>
      <c r="AU529" s="7"/>
      <c r="AV529" s="4" t="s">
        <v>206</v>
      </c>
      <c r="AW529" s="8" t="s">
        <v>206</v>
      </c>
      <c r="AX529" s="4" t="s">
        <v>206</v>
      </c>
      <c r="AY529" s="8" t="s">
        <v>206</v>
      </c>
      <c r="AZ529" s="7" t="s">
        <v>206</v>
      </c>
      <c r="BA529" s="7" t="s">
        <v>206</v>
      </c>
      <c r="BB529" s="7"/>
      <c r="BC529" s="4" t="s">
        <v>206</v>
      </c>
      <c r="BD529" s="8" t="s">
        <v>206</v>
      </c>
      <c r="BE529" s="4" t="s">
        <v>206</v>
      </c>
      <c r="BF529" s="8" t="s">
        <v>206</v>
      </c>
      <c r="BG529" s="7" t="s">
        <v>206</v>
      </c>
      <c r="BH529" s="7" t="s">
        <v>206</v>
      </c>
      <c r="BI529" s="7"/>
      <c r="BJ529" s="4">
        <v>3</v>
      </c>
      <c r="BK529" s="8">
        <v>89.1</v>
      </c>
      <c r="BL529" s="2" t="s">
        <v>3571</v>
      </c>
      <c r="BM529" s="7"/>
      <c r="BN529" s="7"/>
      <c r="BO529" s="4"/>
      <c r="BP529" s="8"/>
      <c r="BQ529" s="4"/>
      <c r="BR529" s="8"/>
      <c r="BS529" s="7"/>
      <c r="BT529" s="7"/>
      <c r="BU529" s="2" t="s">
        <v>3572</v>
      </c>
      <c r="BV529" s="2" t="s">
        <v>206</v>
      </c>
      <c r="BW529" s="2" t="s">
        <v>206</v>
      </c>
      <c r="BX529" s="2" t="s">
        <v>214</v>
      </c>
      <c r="BY529" s="2" t="s">
        <v>215</v>
      </c>
      <c r="BZ529" s="2" t="s">
        <v>203</v>
      </c>
      <c r="CA529" s="2" t="s">
        <v>3033</v>
      </c>
      <c r="CB529" s="2" t="s">
        <v>3573</v>
      </c>
      <c r="CC529" s="2" t="s">
        <v>218</v>
      </c>
      <c r="CD529" s="2" t="s">
        <v>206</v>
      </c>
      <c r="CE529" s="4">
        <v>244</v>
      </c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  <c r="FG529" s="4"/>
      <c r="FH529" s="4"/>
      <c r="FI529" s="4"/>
      <c r="FJ529" s="4"/>
      <c r="FK529" s="4"/>
      <c r="FL529" s="4"/>
      <c r="FM529" s="4"/>
      <c r="FN529" s="4"/>
      <c r="FO529" s="4"/>
      <c r="FP529" s="4"/>
      <c r="FQ529" s="4"/>
      <c r="FR529" s="4"/>
      <c r="FS529" s="4"/>
      <c r="FT529" s="4"/>
      <c r="FU529" s="4"/>
      <c r="FV529" s="4"/>
      <c r="FW529" s="4"/>
      <c r="FX529" s="4"/>
      <c r="FY529" s="4"/>
      <c r="FZ529" s="4"/>
      <c r="GA529" s="4"/>
      <c r="GB529" s="4"/>
      <c r="GC529" s="4"/>
      <c r="GD529" s="4"/>
      <c r="GE529" s="4"/>
      <c r="GF529" s="4"/>
    </row>
    <row r="530">
      <c r="A530" s="2" t="s">
        <v>3574</v>
      </c>
      <c r="B530" s="2" t="s">
        <v>546</v>
      </c>
      <c r="C530" s="2" t="s">
        <v>1145</v>
      </c>
      <c r="D530" s="2" t="s">
        <v>529</v>
      </c>
      <c r="E530" s="2" t="s">
        <v>1134</v>
      </c>
      <c r="F530" s="2" t="s">
        <v>3531</v>
      </c>
      <c r="G530" s="2" t="s">
        <v>3532</v>
      </c>
      <c r="H530" s="2" t="s">
        <v>3533</v>
      </c>
      <c r="I530" s="2" t="s">
        <v>3534</v>
      </c>
      <c r="J530" s="2" t="s">
        <v>593</v>
      </c>
      <c r="K530" s="2" t="s">
        <v>1410</v>
      </c>
      <c r="L530" s="3">
        <v>38.09</v>
      </c>
      <c r="M530" s="3">
        <v>40</v>
      </c>
      <c r="N530" s="3">
        <v>79.99</v>
      </c>
      <c r="O530" s="2" t="s">
        <v>203</v>
      </c>
      <c r="P530" s="2" t="s">
        <v>204</v>
      </c>
      <c r="Q530" s="2" t="s">
        <v>205</v>
      </c>
      <c r="R530" s="2" t="s">
        <v>206</v>
      </c>
      <c r="S530" s="2" t="s">
        <v>3570</v>
      </c>
      <c r="T530" s="2" t="s">
        <v>2243</v>
      </c>
      <c r="U530" s="2" t="s">
        <v>556</v>
      </c>
      <c r="V530" s="2" t="s">
        <v>209</v>
      </c>
      <c r="W530" s="2" t="s">
        <v>439</v>
      </c>
      <c r="X530" s="2" t="s">
        <v>210</v>
      </c>
      <c r="Y530" s="2" t="s">
        <v>714</v>
      </c>
      <c r="Z530" s="4">
        <v>840</v>
      </c>
      <c r="AA530" s="4">
        <f>=ROUNDDOWN({0},0)</f>
      </c>
      <c r="AB530" s="5"/>
      <c r="AC530" s="2" t="s">
        <v>109</v>
      </c>
      <c r="AD530" s="4">
        <v>240</v>
      </c>
      <c r="AE530" s="4">
        <v>240</v>
      </c>
      <c r="AF530" s="6">
        <v>66</v>
      </c>
      <c r="AG530" s="6"/>
      <c r="AH530" s="7">
        <v>1</v>
      </c>
      <c r="AI530" s="4"/>
      <c r="AJ530" s="4">
        <f>=ROUNDDOWN({0},0)</f>
      </c>
      <c r="AK530" s="5"/>
      <c r="AL530" s="2" t="s">
        <v>206</v>
      </c>
      <c r="AM530" s="4"/>
      <c r="AN530" s="4"/>
      <c r="AO530" s="7"/>
      <c r="AP530" s="4"/>
      <c r="AQ530" s="8"/>
      <c r="AR530" s="4"/>
      <c r="AS530" s="8"/>
      <c r="AT530" s="7"/>
      <c r="AU530" s="7"/>
      <c r="AV530" s="4" t="s">
        <v>206</v>
      </c>
      <c r="AW530" s="8" t="s">
        <v>206</v>
      </c>
      <c r="AX530" s="4" t="s">
        <v>206</v>
      </c>
      <c r="AY530" s="8" t="s">
        <v>206</v>
      </c>
      <c r="AZ530" s="7" t="s">
        <v>206</v>
      </c>
      <c r="BA530" s="7" t="s">
        <v>206</v>
      </c>
      <c r="BB530" s="7"/>
      <c r="BC530" s="4" t="s">
        <v>206</v>
      </c>
      <c r="BD530" s="8" t="s">
        <v>206</v>
      </c>
      <c r="BE530" s="4" t="s">
        <v>206</v>
      </c>
      <c r="BF530" s="8" t="s">
        <v>206</v>
      </c>
      <c r="BG530" s="7" t="s">
        <v>206</v>
      </c>
      <c r="BH530" s="7" t="s">
        <v>206</v>
      </c>
      <c r="BI530" s="7"/>
      <c r="BJ530" s="4">
        <v>58</v>
      </c>
      <c r="BK530" s="8">
        <v>2460.99</v>
      </c>
      <c r="BL530" s="2" t="s">
        <v>3575</v>
      </c>
      <c r="BM530" s="7"/>
      <c r="BN530" s="7"/>
      <c r="BO530" s="4"/>
      <c r="BP530" s="8"/>
      <c r="BQ530" s="4"/>
      <c r="BR530" s="8"/>
      <c r="BS530" s="7"/>
      <c r="BT530" s="7"/>
      <c r="BU530" s="2" t="s">
        <v>3576</v>
      </c>
      <c r="BV530" s="2" t="s">
        <v>206</v>
      </c>
      <c r="BW530" s="2" t="s">
        <v>206</v>
      </c>
      <c r="BX530" s="2" t="s">
        <v>426</v>
      </c>
      <c r="BY530" s="2" t="s">
        <v>215</v>
      </c>
      <c r="BZ530" s="2" t="s">
        <v>203</v>
      </c>
      <c r="CA530" s="2" t="s">
        <v>258</v>
      </c>
      <c r="CB530" s="2" t="s">
        <v>2912</v>
      </c>
      <c r="CC530" s="2" t="s">
        <v>218</v>
      </c>
      <c r="CD530" s="2" t="s">
        <v>206</v>
      </c>
      <c r="CE530" s="4">
        <v>840</v>
      </c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>
        <v>240</v>
      </c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  <c r="FD530" s="4"/>
      <c r="FE530" s="4"/>
      <c r="FF530" s="4"/>
      <c r="FG530" s="4"/>
      <c r="FH530" s="4"/>
      <c r="FI530" s="4"/>
      <c r="FJ530" s="4"/>
      <c r="FK530" s="4"/>
      <c r="FL530" s="4"/>
      <c r="FM530" s="4"/>
      <c r="FN530" s="4"/>
      <c r="FO530" s="4"/>
      <c r="FP530" s="4"/>
      <c r="FQ530" s="4"/>
      <c r="FR530" s="4"/>
      <c r="FS530" s="4"/>
      <c r="FT530" s="4"/>
      <c r="FU530" s="4"/>
      <c r="FV530" s="4"/>
      <c r="FW530" s="4"/>
      <c r="FX530" s="4"/>
      <c r="FY530" s="4"/>
      <c r="FZ530" s="4"/>
      <c r="GA530" s="4"/>
      <c r="GB530" s="4"/>
      <c r="GC530" s="4"/>
      <c r="GD530" s="4"/>
      <c r="GE530" s="4"/>
      <c r="GF530" s="4"/>
    </row>
    <row r="531">
      <c r="A531" s="2" t="s">
        <v>3577</v>
      </c>
      <c r="B531" s="2" t="s">
        <v>546</v>
      </c>
      <c r="C531" s="2" t="s">
        <v>3504</v>
      </c>
      <c r="D531" s="2" t="s">
        <v>548</v>
      </c>
      <c r="E531" s="2" t="s">
        <v>549</v>
      </c>
      <c r="F531" s="2" t="s">
        <v>3578</v>
      </c>
      <c r="G531" s="2" t="s">
        <v>3579</v>
      </c>
      <c r="H531" s="2" t="s">
        <v>3580</v>
      </c>
      <c r="I531" s="2" t="s">
        <v>3581</v>
      </c>
      <c r="J531" s="2" t="s">
        <v>593</v>
      </c>
      <c r="K531" s="2" t="s">
        <v>1915</v>
      </c>
      <c r="L531" s="3">
        <v>33.33</v>
      </c>
      <c r="M531" s="3">
        <v>35</v>
      </c>
      <c r="N531" s="3">
        <v>69.99</v>
      </c>
      <c r="O531" s="2" t="s">
        <v>203</v>
      </c>
      <c r="P531" s="2" t="s">
        <v>204</v>
      </c>
      <c r="Q531" s="2" t="s">
        <v>205</v>
      </c>
      <c r="R531" s="2" t="s">
        <v>206</v>
      </c>
      <c r="S531" s="2" t="s">
        <v>3582</v>
      </c>
      <c r="T531" s="2" t="s">
        <v>234</v>
      </c>
      <c r="U531" s="2" t="s">
        <v>235</v>
      </c>
      <c r="V531" s="2" t="s">
        <v>538</v>
      </c>
      <c r="W531" s="2" t="s">
        <v>210</v>
      </c>
      <c r="X531" s="2" t="s">
        <v>206</v>
      </c>
      <c r="Y531" s="2" t="s">
        <v>3090</v>
      </c>
      <c r="Z531" s="4">
        <v>183</v>
      </c>
      <c r="AA531" s="4">
        <f>=ROUNDDOWN(36.6,0)</f>
      </c>
      <c r="AB531" s="5">
        <v>5</v>
      </c>
      <c r="AC531" s="2" t="s">
        <v>124</v>
      </c>
      <c r="AD531" s="4">
        <v>100</v>
      </c>
      <c r="AE531" s="4">
        <v>100</v>
      </c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206</v>
      </c>
      <c r="AM531" s="4"/>
      <c r="AN531" s="4"/>
      <c r="AO531" s="7"/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/>
      <c r="BD531" s="8"/>
      <c r="BE531" s="4"/>
      <c r="BF531" s="8"/>
      <c r="BG531" s="7"/>
      <c r="BH531" s="7"/>
      <c r="BI531" s="7"/>
      <c r="BJ531" s="4">
        <v>16</v>
      </c>
      <c r="BK531" s="8">
        <v>590.85</v>
      </c>
      <c r="BL531" s="2" t="s">
        <v>1924</v>
      </c>
      <c r="BM531" s="7"/>
      <c r="BN531" s="7"/>
      <c r="BO531" s="4"/>
      <c r="BP531" s="8"/>
      <c r="BQ531" s="4"/>
      <c r="BR531" s="8"/>
      <c r="BS531" s="7"/>
      <c r="BT531" s="7"/>
      <c r="BU531" s="2" t="s">
        <v>3583</v>
      </c>
      <c r="BV531" s="2" t="s">
        <v>206</v>
      </c>
      <c r="BW531" s="2" t="s">
        <v>206</v>
      </c>
      <c r="BX531" s="2" t="s">
        <v>214</v>
      </c>
      <c r="BY531" s="2" t="s">
        <v>215</v>
      </c>
      <c r="BZ531" s="2" t="s">
        <v>203</v>
      </c>
      <c r="CA531" s="2" t="s">
        <v>3584</v>
      </c>
      <c r="CB531" s="2" t="s">
        <v>3585</v>
      </c>
      <c r="CC531" s="2" t="s">
        <v>218</v>
      </c>
      <c r="CD531" s="2" t="s">
        <v>206</v>
      </c>
      <c r="CE531" s="4">
        <v>183</v>
      </c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>
        <v>100</v>
      </c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  <c r="FE531" s="4"/>
      <c r="FF531" s="4"/>
      <c r="FG531" s="4"/>
      <c r="FH531" s="4"/>
      <c r="FI531" s="4"/>
      <c r="FJ531" s="4"/>
      <c r="FK531" s="4"/>
      <c r="FL531" s="4"/>
      <c r="FM531" s="4"/>
      <c r="FN531" s="4"/>
      <c r="FO531" s="4"/>
      <c r="FP531" s="4"/>
      <c r="FQ531" s="4"/>
      <c r="FR531" s="4"/>
      <c r="FS531" s="4"/>
      <c r="FT531" s="4"/>
      <c r="FU531" s="4"/>
      <c r="FV531" s="4"/>
      <c r="FW531" s="4"/>
      <c r="FX531" s="4"/>
      <c r="FY531" s="4"/>
      <c r="FZ531" s="4"/>
      <c r="GA531" s="4"/>
      <c r="GB531" s="4"/>
      <c r="GC531" s="4"/>
      <c r="GD531" s="4"/>
      <c r="GE531" s="4"/>
      <c r="GF531" s="4"/>
    </row>
    <row r="532">
      <c r="A532" s="2" t="s">
        <v>3586</v>
      </c>
      <c r="B532" s="2" t="s">
        <v>429</v>
      </c>
      <c r="C532" s="2" t="s">
        <v>287</v>
      </c>
      <c r="D532" s="2" t="s">
        <v>909</v>
      </c>
      <c r="E532" s="2" t="s">
        <v>910</v>
      </c>
      <c r="F532" s="2" t="s">
        <v>3587</v>
      </c>
      <c r="G532" s="2" t="s">
        <v>3587</v>
      </c>
      <c r="H532" s="2" t="s">
        <v>3587</v>
      </c>
      <c r="I532" s="2" t="s">
        <v>3588</v>
      </c>
      <c r="J532" s="2" t="s">
        <v>434</v>
      </c>
      <c r="K532" s="2" t="s">
        <v>262</v>
      </c>
      <c r="L532" s="3">
        <v>63.6</v>
      </c>
      <c r="M532" s="3">
        <v>66.78</v>
      </c>
      <c r="N532" s="3">
        <v>124.94</v>
      </c>
      <c r="O532" s="2" t="s">
        <v>203</v>
      </c>
      <c r="P532" s="2" t="s">
        <v>492</v>
      </c>
      <c r="Q532" s="2" t="s">
        <v>205</v>
      </c>
      <c r="R532" s="2" t="s">
        <v>206</v>
      </c>
      <c r="S532" s="2" t="s">
        <v>3589</v>
      </c>
      <c r="T532" s="2" t="s">
        <v>206</v>
      </c>
      <c r="U532" s="2" t="s">
        <v>556</v>
      </c>
      <c r="V532" s="2" t="s">
        <v>438</v>
      </c>
      <c r="W532" s="2" t="s">
        <v>914</v>
      </c>
      <c r="X532" s="2" t="s">
        <v>206</v>
      </c>
      <c r="Y532" s="2" t="s">
        <v>3590</v>
      </c>
      <c r="Z532" s="4">
        <v>142</v>
      </c>
      <c r="AA532" s="4">
        <f>=ROUNDDOWN(20.2857142857143,0)</f>
      </c>
      <c r="AB532" s="5">
        <v>7</v>
      </c>
      <c r="AC532" s="2" t="s">
        <v>293</v>
      </c>
      <c r="AD532" s="4">
        <v>100</v>
      </c>
      <c r="AE532" s="4">
        <v>100</v>
      </c>
      <c r="AF532" s="6">
        <v>63</v>
      </c>
      <c r="AG532" s="6"/>
      <c r="AH532" s="7">
        <v>0.3226</v>
      </c>
      <c r="AI532" s="4"/>
      <c r="AJ532" s="4">
        <f>=ROUNDDOWN({0},0)</f>
      </c>
      <c r="AK532" s="5"/>
      <c r="AL532" s="2" t="s">
        <v>206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 t="s">
        <v>206</v>
      </c>
      <c r="BD532" s="8" t="s">
        <v>206</v>
      </c>
      <c r="BE532" s="4" t="s">
        <v>206</v>
      </c>
      <c r="BF532" s="8" t="s">
        <v>206</v>
      </c>
      <c r="BG532" s="7" t="s">
        <v>206</v>
      </c>
      <c r="BH532" s="7" t="s">
        <v>206</v>
      </c>
      <c r="BI532" s="7"/>
      <c r="BJ532" s="4">
        <v>5</v>
      </c>
      <c r="BK532" s="8">
        <v>364.68</v>
      </c>
      <c r="BL532" s="2" t="s">
        <v>3591</v>
      </c>
      <c r="BM532" s="7"/>
      <c r="BN532" s="7"/>
      <c r="BO532" s="4"/>
      <c r="BP532" s="8"/>
      <c r="BQ532" s="4"/>
      <c r="BR532" s="8"/>
      <c r="BS532" s="7"/>
      <c r="BT532" s="7"/>
      <c r="BU532" s="2" t="s">
        <v>3592</v>
      </c>
      <c r="BV532" s="2" t="s">
        <v>206</v>
      </c>
      <c r="BW532" s="2" t="s">
        <v>206</v>
      </c>
      <c r="BX532" s="2" t="s">
        <v>426</v>
      </c>
      <c r="BY532" s="2" t="s">
        <v>215</v>
      </c>
      <c r="BZ532" s="2" t="s">
        <v>203</v>
      </c>
      <c r="CA532" s="2" t="s">
        <v>996</v>
      </c>
      <c r="CB532" s="2" t="s">
        <v>3593</v>
      </c>
      <c r="CC532" s="2" t="s">
        <v>218</v>
      </c>
      <c r="CD532" s="2" t="s">
        <v>206</v>
      </c>
      <c r="CE532" s="4"/>
      <c r="CF532" s="4">
        <v>142</v>
      </c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/>
      <c r="EU532" s="4"/>
      <c r="EV532" s="4"/>
      <c r="EW532" s="4"/>
      <c r="EX532" s="4"/>
      <c r="EY532" s="4"/>
      <c r="EZ532" s="4"/>
      <c r="FA532" s="4">
        <v>100</v>
      </c>
      <c r="FB532" s="4"/>
      <c r="FC532" s="4"/>
      <c r="FD532" s="4"/>
      <c r="FE532" s="4"/>
      <c r="FF532" s="4"/>
      <c r="FG532" s="4"/>
      <c r="FH532" s="4"/>
      <c r="FI532" s="4"/>
      <c r="FJ532" s="4"/>
      <c r="FK532" s="4"/>
      <c r="FL532" s="4"/>
      <c r="FM532" s="4"/>
      <c r="FN532" s="4"/>
      <c r="FO532" s="4"/>
      <c r="FP532" s="4"/>
      <c r="FQ532" s="4"/>
      <c r="FR532" s="4"/>
      <c r="FS532" s="4"/>
      <c r="FT532" s="4"/>
      <c r="FU532" s="4"/>
      <c r="FV532" s="4"/>
      <c r="FW532" s="4"/>
      <c r="FX532" s="4"/>
      <c r="FY532" s="4"/>
      <c r="FZ532" s="4"/>
      <c r="GA532" s="4"/>
      <c r="GB532" s="4"/>
      <c r="GC532" s="4"/>
      <c r="GD532" s="4"/>
      <c r="GE532" s="4"/>
      <c r="GF532" s="4"/>
    </row>
    <row r="533">
      <c r="A533" s="2" t="s">
        <v>3594</v>
      </c>
      <c r="B533" s="2" t="s">
        <v>429</v>
      </c>
      <c r="C533" s="2" t="s">
        <v>287</v>
      </c>
      <c r="D533" s="2" t="s">
        <v>909</v>
      </c>
      <c r="E533" s="2" t="s">
        <v>910</v>
      </c>
      <c r="F533" s="2" t="s">
        <v>3587</v>
      </c>
      <c r="G533" s="2" t="s">
        <v>3587</v>
      </c>
      <c r="H533" s="2" t="s">
        <v>3587</v>
      </c>
      <c r="I533" s="2" t="s">
        <v>3588</v>
      </c>
      <c r="J533" s="2" t="s">
        <v>434</v>
      </c>
      <c r="K533" s="2" t="s">
        <v>336</v>
      </c>
      <c r="L533" s="3">
        <v>67.34</v>
      </c>
      <c r="M533" s="3">
        <v>70.71</v>
      </c>
      <c r="N533" s="3">
        <v>124.94</v>
      </c>
      <c r="O533" s="2" t="s">
        <v>203</v>
      </c>
      <c r="P533" s="2" t="s">
        <v>492</v>
      </c>
      <c r="Q533" s="2" t="s">
        <v>205</v>
      </c>
      <c r="R533" s="2" t="s">
        <v>206</v>
      </c>
      <c r="S533" s="2" t="s">
        <v>206</v>
      </c>
      <c r="T533" s="2" t="s">
        <v>206</v>
      </c>
      <c r="U533" s="2" t="s">
        <v>556</v>
      </c>
      <c r="V533" s="2" t="s">
        <v>438</v>
      </c>
      <c r="W533" s="2" t="s">
        <v>914</v>
      </c>
      <c r="X533" s="2" t="s">
        <v>439</v>
      </c>
      <c r="Y533" s="2" t="s">
        <v>2779</v>
      </c>
      <c r="Z533" s="4">
        <v>101</v>
      </c>
      <c r="AA533" s="4">
        <f>=ROUNDDOWN(20.2,0)</f>
      </c>
      <c r="AB533" s="5">
        <v>5</v>
      </c>
      <c r="AC533" s="2" t="s">
        <v>293</v>
      </c>
      <c r="AD533" s="4">
        <v>100</v>
      </c>
      <c r="AE533" s="4">
        <v>100</v>
      </c>
      <c r="AF533" s="6">
        <v>63</v>
      </c>
      <c r="AG533" s="6"/>
      <c r="AH533" s="7">
        <v>1</v>
      </c>
      <c r="AI533" s="4"/>
      <c r="AJ533" s="4">
        <f>=ROUNDDOWN({0},0)</f>
      </c>
      <c r="AK533" s="5"/>
      <c r="AL533" s="2" t="s">
        <v>206</v>
      </c>
      <c r="AM533" s="4"/>
      <c r="AN533" s="4"/>
      <c r="AO533" s="7"/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 t="s">
        <v>206</v>
      </c>
      <c r="BD533" s="8" t="s">
        <v>206</v>
      </c>
      <c r="BE533" s="4" t="s">
        <v>206</v>
      </c>
      <c r="BF533" s="8" t="s">
        <v>206</v>
      </c>
      <c r="BG533" s="7" t="s">
        <v>206</v>
      </c>
      <c r="BH533" s="7" t="s">
        <v>206</v>
      </c>
      <c r="BI533" s="7"/>
      <c r="BJ533" s="4">
        <v>14</v>
      </c>
      <c r="BK533" s="8">
        <v>1082.1</v>
      </c>
      <c r="BL533" s="2" t="s">
        <v>3595</v>
      </c>
      <c r="BM533" s="7"/>
      <c r="BN533" s="7"/>
      <c r="BO533" s="4"/>
      <c r="BP533" s="8"/>
      <c r="BQ533" s="4"/>
      <c r="BR533" s="8"/>
      <c r="BS533" s="7"/>
      <c r="BT533" s="7"/>
      <c r="BU533" s="2" t="s">
        <v>3596</v>
      </c>
      <c r="BV533" s="2" t="s">
        <v>206</v>
      </c>
      <c r="BW533" s="2" t="s">
        <v>206</v>
      </c>
      <c r="BX533" s="2" t="s">
        <v>426</v>
      </c>
      <c r="BY533" s="2" t="s">
        <v>215</v>
      </c>
      <c r="BZ533" s="2" t="s">
        <v>203</v>
      </c>
      <c r="CA533" s="2" t="s">
        <v>2782</v>
      </c>
      <c r="CB533" s="2" t="s">
        <v>1846</v>
      </c>
      <c r="CC533" s="2" t="s">
        <v>218</v>
      </c>
      <c r="CD533" s="2" t="s">
        <v>206</v>
      </c>
      <c r="CE533" s="4"/>
      <c r="CF533" s="4">
        <v>101</v>
      </c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/>
      <c r="EU533" s="4"/>
      <c r="EV533" s="4"/>
      <c r="EW533" s="4"/>
      <c r="EX533" s="4"/>
      <c r="EY533" s="4"/>
      <c r="EZ533" s="4"/>
      <c r="FA533" s="4">
        <v>100</v>
      </c>
      <c r="FB533" s="4"/>
      <c r="FC533" s="4"/>
      <c r="FD533" s="4"/>
      <c r="FE533" s="4"/>
      <c r="FF533" s="4"/>
      <c r="FG533" s="4"/>
      <c r="FH533" s="4"/>
      <c r="FI533" s="4"/>
      <c r="FJ533" s="4"/>
      <c r="FK533" s="4"/>
      <c r="FL533" s="4"/>
      <c r="FM533" s="4"/>
      <c r="FN533" s="4"/>
      <c r="FO533" s="4"/>
      <c r="FP533" s="4"/>
      <c r="FQ533" s="4"/>
      <c r="FR533" s="4"/>
      <c r="FS533" s="4"/>
      <c r="FT533" s="4"/>
      <c r="FU533" s="4"/>
      <c r="FV533" s="4"/>
      <c r="FW533" s="4"/>
      <c r="FX533" s="4"/>
      <c r="FY533" s="4"/>
      <c r="FZ533" s="4"/>
      <c r="GA533" s="4"/>
      <c r="GB533" s="4"/>
      <c r="GC533" s="4"/>
      <c r="GD533" s="4"/>
      <c r="GE533" s="4"/>
      <c r="GF533" s="4"/>
    </row>
    <row r="534">
      <c r="A534" s="2" t="s">
        <v>3597</v>
      </c>
      <c r="B534" s="2" t="s">
        <v>429</v>
      </c>
      <c r="C534" s="2" t="s">
        <v>287</v>
      </c>
      <c r="D534" s="2" t="s">
        <v>909</v>
      </c>
      <c r="E534" s="2" t="s">
        <v>910</v>
      </c>
      <c r="F534" s="2" t="s">
        <v>3598</v>
      </c>
      <c r="G534" s="2" t="s">
        <v>3598</v>
      </c>
      <c r="H534" s="2" t="s">
        <v>3598</v>
      </c>
      <c r="I534" s="2" t="s">
        <v>3599</v>
      </c>
      <c r="J534" s="2" t="s">
        <v>434</v>
      </c>
      <c r="K534" s="2" t="s">
        <v>262</v>
      </c>
      <c r="L534" s="3">
        <v>24.48</v>
      </c>
      <c r="M534" s="3">
        <v>25.7</v>
      </c>
      <c r="N534" s="3">
        <v>59.49</v>
      </c>
      <c r="O534" s="2" t="s">
        <v>203</v>
      </c>
      <c r="P534" s="2" t="s">
        <v>467</v>
      </c>
      <c r="Q534" s="2" t="s">
        <v>205</v>
      </c>
      <c r="R534" s="2" t="s">
        <v>206</v>
      </c>
      <c r="S534" s="2" t="s">
        <v>206</v>
      </c>
      <c r="T534" s="2" t="s">
        <v>206</v>
      </c>
      <c r="U534" s="2" t="s">
        <v>437</v>
      </c>
      <c r="V534" s="2" t="s">
        <v>538</v>
      </c>
      <c r="W534" s="2" t="s">
        <v>539</v>
      </c>
      <c r="X534" s="2" t="s">
        <v>206</v>
      </c>
      <c r="Y534" s="2" t="s">
        <v>922</v>
      </c>
      <c r="Z534" s="4">
        <v>92</v>
      </c>
      <c r="AA534" s="4">
        <f>=ROUNDDOWN(40,0)</f>
      </c>
      <c r="AB534" s="5">
        <v>2.3</v>
      </c>
      <c r="AC534" s="2" t="s">
        <v>206</v>
      </c>
      <c r="AD534" s="4"/>
      <c r="AE534" s="4"/>
      <c r="AF534" s="6">
        <v>63</v>
      </c>
      <c r="AG534" s="6"/>
      <c r="AH534" s="7">
        <v>1</v>
      </c>
      <c r="AI534" s="4"/>
      <c r="AJ534" s="4">
        <f>=ROUNDDOWN({0},0)</f>
      </c>
      <c r="AK534" s="5"/>
      <c r="AL534" s="2" t="s">
        <v>206</v>
      </c>
      <c r="AM534" s="4"/>
      <c r="AN534" s="4"/>
      <c r="AO534" s="7"/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/>
      <c r="BD534" s="8"/>
      <c r="BE534" s="4"/>
      <c r="BF534" s="8"/>
      <c r="BG534" s="7"/>
      <c r="BH534" s="7"/>
      <c r="BI534" s="7"/>
      <c r="BJ534" s="4">
        <v>13</v>
      </c>
      <c r="BK534" s="8">
        <v>376.6</v>
      </c>
      <c r="BL534" s="2" t="s">
        <v>3600</v>
      </c>
      <c r="BM534" s="7"/>
      <c r="BN534" s="7"/>
      <c r="BO534" s="4"/>
      <c r="BP534" s="8"/>
      <c r="BQ534" s="4"/>
      <c r="BR534" s="8"/>
      <c r="BS534" s="7"/>
      <c r="BT534" s="7"/>
      <c r="BU534" s="2" t="s">
        <v>3601</v>
      </c>
      <c r="BV534" s="2" t="s">
        <v>206</v>
      </c>
      <c r="BW534" s="2" t="s">
        <v>206</v>
      </c>
      <c r="BX534" s="2" t="s">
        <v>214</v>
      </c>
      <c r="BY534" s="2" t="s">
        <v>215</v>
      </c>
      <c r="BZ534" s="2" t="s">
        <v>203</v>
      </c>
      <c r="CA534" s="2" t="s">
        <v>3602</v>
      </c>
      <c r="CB534" s="2" t="s">
        <v>3603</v>
      </c>
      <c r="CC534" s="2" t="s">
        <v>218</v>
      </c>
      <c r="CD534" s="2" t="s">
        <v>206</v>
      </c>
      <c r="CE534" s="4"/>
      <c r="CF534" s="4">
        <v>92</v>
      </c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  <c r="FD534" s="4"/>
      <c r="FE534" s="4"/>
      <c r="FF534" s="4"/>
      <c r="FG534" s="4"/>
      <c r="FH534" s="4"/>
      <c r="FI534" s="4"/>
      <c r="FJ534" s="4"/>
      <c r="FK534" s="4"/>
      <c r="FL534" s="4"/>
      <c r="FM534" s="4"/>
      <c r="FN534" s="4"/>
      <c r="FO534" s="4"/>
      <c r="FP534" s="4"/>
      <c r="FQ534" s="4"/>
      <c r="FR534" s="4"/>
      <c r="FS534" s="4"/>
      <c r="FT534" s="4"/>
      <c r="FU534" s="4"/>
      <c r="FV534" s="4"/>
      <c r="FW534" s="4"/>
      <c r="FX534" s="4"/>
      <c r="FY534" s="4"/>
      <c r="FZ534" s="4"/>
      <c r="GA534" s="4"/>
      <c r="GB534" s="4"/>
      <c r="GC534" s="4"/>
      <c r="GD534" s="4"/>
      <c r="GE534" s="4"/>
      <c r="GF534" s="4"/>
    </row>
    <row r="535">
      <c r="A535" s="2" t="s">
        <v>3604</v>
      </c>
      <c r="B535" s="2" t="s">
        <v>507</v>
      </c>
      <c r="C535" s="2" t="s">
        <v>828</v>
      </c>
      <c r="D535" s="2" t="s">
        <v>508</v>
      </c>
      <c r="E535" s="2" t="s">
        <v>509</v>
      </c>
      <c r="F535" s="2" t="s">
        <v>3605</v>
      </c>
      <c r="G535" s="2" t="s">
        <v>3605</v>
      </c>
      <c r="H535" s="2" t="s">
        <v>3605</v>
      </c>
      <c r="I535" s="2" t="s">
        <v>3606</v>
      </c>
      <c r="J535" s="2" t="s">
        <v>434</v>
      </c>
      <c r="K535" s="2" t="s">
        <v>3607</v>
      </c>
      <c r="L535" s="3">
        <v>62</v>
      </c>
      <c r="M535" s="3">
        <v>65.1</v>
      </c>
      <c r="N535" s="3">
        <v>129.99</v>
      </c>
      <c r="O535" s="2" t="s">
        <v>203</v>
      </c>
      <c r="P535" s="2" t="s">
        <v>467</v>
      </c>
      <c r="Q535" s="2" t="s">
        <v>205</v>
      </c>
      <c r="R535" s="2" t="s">
        <v>206</v>
      </c>
      <c r="S535" s="2" t="s">
        <v>206</v>
      </c>
      <c r="T535" s="2" t="s">
        <v>206</v>
      </c>
      <c r="U535" s="2" t="s">
        <v>437</v>
      </c>
      <c r="V535" s="2" t="s">
        <v>468</v>
      </c>
      <c r="W535" s="2" t="s">
        <v>210</v>
      </c>
      <c r="X535" s="2" t="s">
        <v>453</v>
      </c>
      <c r="Y535" s="2" t="s">
        <v>1771</v>
      </c>
      <c r="Z535" s="4">
        <v>81</v>
      </c>
      <c r="AA535" s="4">
        <f>=ROUNDDOWN(162,0)</f>
      </c>
      <c r="AB535" s="5">
        <v>0.5</v>
      </c>
      <c r="AC535" s="2" t="s">
        <v>206</v>
      </c>
      <c r="AD535" s="4"/>
      <c r="AE535" s="4"/>
      <c r="AF535" s="6">
        <v>63</v>
      </c>
      <c r="AG535" s="6"/>
      <c r="AH535" s="7">
        <v>1</v>
      </c>
      <c r="AI535" s="4"/>
      <c r="AJ535" s="4">
        <f>=ROUNDDOWN({0},0)</f>
      </c>
      <c r="AK535" s="5"/>
      <c r="AL535" s="2" t="s">
        <v>206</v>
      </c>
      <c r="AM535" s="4"/>
      <c r="AN535" s="4"/>
      <c r="AO535" s="7"/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>
        <v>2</v>
      </c>
      <c r="BK535" s="8">
        <v>136.72</v>
      </c>
      <c r="BL535" s="2" t="s">
        <v>2587</v>
      </c>
      <c r="BM535" s="7"/>
      <c r="BN535" s="7"/>
      <c r="BO535" s="4"/>
      <c r="BP535" s="8"/>
      <c r="BQ535" s="4"/>
      <c r="BR535" s="8"/>
      <c r="BS535" s="7"/>
      <c r="BT535" s="7"/>
      <c r="BU535" s="2" t="s">
        <v>3608</v>
      </c>
      <c r="BV535" s="2" t="s">
        <v>206</v>
      </c>
      <c r="BW535" s="2" t="s">
        <v>206</v>
      </c>
      <c r="BX535" s="2" t="s">
        <v>214</v>
      </c>
      <c r="BY535" s="2" t="s">
        <v>215</v>
      </c>
      <c r="BZ535" s="2" t="s">
        <v>203</v>
      </c>
      <c r="CA535" s="2" t="s">
        <v>1419</v>
      </c>
      <c r="CB535" s="2" t="s">
        <v>206</v>
      </c>
      <c r="CC535" s="2" t="s">
        <v>218</v>
      </c>
      <c r="CD535" s="2" t="s">
        <v>206</v>
      </c>
      <c r="CE535" s="4"/>
      <c r="CF535" s="4">
        <v>81</v>
      </c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  <c r="FE535" s="4"/>
      <c r="FF535" s="4"/>
      <c r="FG535" s="4"/>
      <c r="FH535" s="4"/>
      <c r="FI535" s="4"/>
      <c r="FJ535" s="4"/>
      <c r="FK535" s="4"/>
      <c r="FL535" s="4"/>
      <c r="FM535" s="4"/>
      <c r="FN535" s="4"/>
      <c r="FO535" s="4"/>
      <c r="FP535" s="4"/>
      <c r="FQ535" s="4"/>
      <c r="FR535" s="4"/>
      <c r="FS535" s="4"/>
      <c r="FT535" s="4"/>
      <c r="FU535" s="4"/>
      <c r="FV535" s="4"/>
      <c r="FW535" s="4"/>
      <c r="FX535" s="4"/>
      <c r="FY535" s="4"/>
      <c r="FZ535" s="4"/>
      <c r="GA535" s="4"/>
      <c r="GB535" s="4"/>
      <c r="GC535" s="4"/>
      <c r="GD535" s="4"/>
      <c r="GE535" s="4"/>
      <c r="GF535" s="4"/>
    </row>
    <row r="536">
      <c r="A536" s="2" t="s">
        <v>3609</v>
      </c>
      <c r="B536" s="2" t="s">
        <v>225</v>
      </c>
      <c r="C536" s="2" t="s">
        <v>3610</v>
      </c>
      <c r="D536" s="2" t="s">
        <v>227</v>
      </c>
      <c r="E536" s="2" t="s">
        <v>228</v>
      </c>
      <c r="F536" s="2" t="s">
        <v>3611</v>
      </c>
      <c r="G536" s="2" t="s">
        <v>3611</v>
      </c>
      <c r="H536" s="2" t="s">
        <v>3611</v>
      </c>
      <c r="I536" s="2" t="s">
        <v>3612</v>
      </c>
      <c r="J536" s="2" t="s">
        <v>231</v>
      </c>
      <c r="K536" s="2" t="s">
        <v>336</v>
      </c>
      <c r="L536" s="3">
        <v>22.28</v>
      </c>
      <c r="M536" s="3">
        <v>23.39</v>
      </c>
      <c r="N536" s="3">
        <v>59.99</v>
      </c>
      <c r="O536" s="2" t="s">
        <v>203</v>
      </c>
      <c r="P536" s="2" t="s">
        <v>204</v>
      </c>
      <c r="Q536" s="2" t="s">
        <v>205</v>
      </c>
      <c r="R536" s="2" t="s">
        <v>206</v>
      </c>
      <c r="S536" s="2" t="s">
        <v>206</v>
      </c>
      <c r="T536" s="2" t="s">
        <v>234</v>
      </c>
      <c r="U536" s="2" t="s">
        <v>206</v>
      </c>
      <c r="V536" s="2" t="s">
        <v>209</v>
      </c>
      <c r="W536" s="2" t="s">
        <v>914</v>
      </c>
      <c r="X536" s="2" t="s">
        <v>206</v>
      </c>
      <c r="Y536" s="2" t="s">
        <v>3613</v>
      </c>
      <c r="Z536" s="4">
        <v>2</v>
      </c>
      <c r="AA536" s="4">
        <f>=ROUNDDOWN(0.666666666666667,0)</f>
      </c>
      <c r="AB536" s="5">
        <v>3</v>
      </c>
      <c r="AC536" s="2" t="s">
        <v>140</v>
      </c>
      <c r="AD536" s="4">
        <v>32</v>
      </c>
      <c r="AE536" s="4">
        <v>52</v>
      </c>
      <c r="AF536" s="6">
        <v>65</v>
      </c>
      <c r="AG536" s="6"/>
      <c r="AH536" s="7">
        <v>0</v>
      </c>
      <c r="AI536" s="4"/>
      <c r="AJ536" s="4">
        <f>=ROUNDDOWN({0},0)</f>
      </c>
      <c r="AK536" s="5"/>
      <c r="AL536" s="2" t="s">
        <v>206</v>
      </c>
      <c r="AM536" s="4"/>
      <c r="AN536" s="4"/>
      <c r="AO536" s="7"/>
      <c r="AP536" s="4"/>
      <c r="AQ536" s="8"/>
      <c r="AR536" s="4"/>
      <c r="AS536" s="8"/>
      <c r="AT536" s="7"/>
      <c r="AU536" s="7"/>
      <c r="AV536" s="4" t="s">
        <v>206</v>
      </c>
      <c r="AW536" s="8" t="s">
        <v>206</v>
      </c>
      <c r="AX536" s="4" t="s">
        <v>206</v>
      </c>
      <c r="AY536" s="8" t="s">
        <v>206</v>
      </c>
      <c r="AZ536" s="7" t="s">
        <v>206</v>
      </c>
      <c r="BA536" s="7" t="s">
        <v>206</v>
      </c>
      <c r="BB536" s="7"/>
      <c r="BC536" s="4" t="s">
        <v>206</v>
      </c>
      <c r="BD536" s="8" t="s">
        <v>206</v>
      </c>
      <c r="BE536" s="4" t="s">
        <v>206</v>
      </c>
      <c r="BF536" s="8" t="s">
        <v>206</v>
      </c>
      <c r="BG536" s="7" t="s">
        <v>206</v>
      </c>
      <c r="BH536" s="7" t="s">
        <v>206</v>
      </c>
      <c r="BI536" s="7"/>
      <c r="BJ536" s="4">
        <v>8</v>
      </c>
      <c r="BK536" s="8">
        <v>204.96</v>
      </c>
      <c r="BL536" s="2" t="s">
        <v>2344</v>
      </c>
      <c r="BM536" s="7"/>
      <c r="BN536" s="7"/>
      <c r="BO536" s="4"/>
      <c r="BP536" s="8"/>
      <c r="BQ536" s="4"/>
      <c r="BR536" s="8"/>
      <c r="BS536" s="7"/>
      <c r="BT536" s="7"/>
      <c r="BU536" s="2" t="s">
        <v>3614</v>
      </c>
      <c r="BV536" s="2" t="s">
        <v>206</v>
      </c>
      <c r="BW536" s="2" t="s">
        <v>206</v>
      </c>
      <c r="BX536" s="2" t="s">
        <v>214</v>
      </c>
      <c r="BY536" s="2" t="s">
        <v>215</v>
      </c>
      <c r="BZ536" s="2" t="s">
        <v>203</v>
      </c>
      <c r="CA536" s="2" t="s">
        <v>3615</v>
      </c>
      <c r="CB536" s="2" t="s">
        <v>3616</v>
      </c>
      <c r="CC536" s="2" t="s">
        <v>218</v>
      </c>
      <c r="CD536" s="2" t="s">
        <v>206</v>
      </c>
      <c r="CE536" s="4">
        <v>2</v>
      </c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>
        <v>32</v>
      </c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  <c r="EU536" s="4">
        <v>20</v>
      </c>
      <c r="EV536" s="4"/>
      <c r="EW536" s="4"/>
      <c r="EX536" s="4"/>
      <c r="EY536" s="4"/>
      <c r="EZ536" s="4"/>
      <c r="FA536" s="4"/>
      <c r="FB536" s="4"/>
      <c r="FC536" s="4"/>
      <c r="FD536" s="4"/>
      <c r="FE536" s="4"/>
      <c r="FF536" s="4"/>
      <c r="FG536" s="4"/>
      <c r="FH536" s="4"/>
      <c r="FI536" s="4"/>
      <c r="FJ536" s="4"/>
      <c r="FK536" s="4"/>
      <c r="FL536" s="4"/>
      <c r="FM536" s="4"/>
      <c r="FN536" s="4"/>
      <c r="FO536" s="4"/>
      <c r="FP536" s="4"/>
      <c r="FQ536" s="4"/>
      <c r="FR536" s="4"/>
      <c r="FS536" s="4"/>
      <c r="FT536" s="4"/>
      <c r="FU536" s="4"/>
      <c r="FV536" s="4"/>
      <c r="FW536" s="4"/>
      <c r="FX536" s="4"/>
      <c r="FY536" s="4"/>
      <c r="FZ536" s="4"/>
      <c r="GA536" s="4"/>
      <c r="GB536" s="4"/>
      <c r="GC536" s="4"/>
      <c r="GD536" s="4"/>
      <c r="GE536" s="4"/>
      <c r="GF536" s="4"/>
    </row>
    <row r="537">
      <c r="A537" s="2" t="s">
        <v>3617</v>
      </c>
      <c r="B537" s="2" t="s">
        <v>225</v>
      </c>
      <c r="C537" s="2" t="s">
        <v>3610</v>
      </c>
      <c r="D537" s="2" t="s">
        <v>227</v>
      </c>
      <c r="E537" s="2" t="s">
        <v>228</v>
      </c>
      <c r="F537" s="2" t="s">
        <v>3611</v>
      </c>
      <c r="G537" s="2" t="s">
        <v>3611</v>
      </c>
      <c r="H537" s="2" t="s">
        <v>3611</v>
      </c>
      <c r="I537" s="2" t="s">
        <v>3612</v>
      </c>
      <c r="J537" s="2" t="s">
        <v>3618</v>
      </c>
      <c r="K537" s="2" t="s">
        <v>336</v>
      </c>
      <c r="L537" s="3">
        <v>18.57</v>
      </c>
      <c r="M537" s="3">
        <v>19.5</v>
      </c>
      <c r="N537" s="3">
        <v>49.99</v>
      </c>
      <c r="O537" s="2" t="s">
        <v>203</v>
      </c>
      <c r="P537" s="2" t="s">
        <v>204</v>
      </c>
      <c r="Q537" s="2" t="s">
        <v>205</v>
      </c>
      <c r="R537" s="2" t="s">
        <v>206</v>
      </c>
      <c r="S537" s="2" t="s">
        <v>206</v>
      </c>
      <c r="T537" s="2" t="s">
        <v>234</v>
      </c>
      <c r="U537" s="2" t="s">
        <v>206</v>
      </c>
      <c r="V537" s="2" t="s">
        <v>209</v>
      </c>
      <c r="W537" s="2" t="s">
        <v>914</v>
      </c>
      <c r="X537" s="2" t="s">
        <v>206</v>
      </c>
      <c r="Y537" s="2" t="s">
        <v>3613</v>
      </c>
      <c r="Z537" s="4">
        <v>21</v>
      </c>
      <c r="AA537" s="4">
        <f>=ROUNDDOWN(7,0)</f>
      </c>
      <c r="AB537" s="5">
        <v>3</v>
      </c>
      <c r="AC537" s="2" t="s">
        <v>140</v>
      </c>
      <c r="AD537" s="4">
        <v>32</v>
      </c>
      <c r="AE537" s="4">
        <v>72</v>
      </c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206</v>
      </c>
      <c r="AM537" s="4"/>
      <c r="AN537" s="4"/>
      <c r="AO537" s="7"/>
      <c r="AP537" s="4"/>
      <c r="AQ537" s="8"/>
      <c r="AR537" s="4"/>
      <c r="AS537" s="8"/>
      <c r="AT537" s="7"/>
      <c r="AU537" s="7"/>
      <c r="AV537" s="4" t="s">
        <v>206</v>
      </c>
      <c r="AW537" s="8" t="s">
        <v>206</v>
      </c>
      <c r="AX537" s="4" t="s">
        <v>206</v>
      </c>
      <c r="AY537" s="8" t="s">
        <v>206</v>
      </c>
      <c r="AZ537" s="7" t="s">
        <v>206</v>
      </c>
      <c r="BA537" s="7" t="s">
        <v>206</v>
      </c>
      <c r="BB537" s="7"/>
      <c r="BC537" s="4" t="s">
        <v>206</v>
      </c>
      <c r="BD537" s="8" t="s">
        <v>206</v>
      </c>
      <c r="BE537" s="4" t="s">
        <v>206</v>
      </c>
      <c r="BF537" s="8" t="s">
        <v>206</v>
      </c>
      <c r="BG537" s="7" t="s">
        <v>206</v>
      </c>
      <c r="BH537" s="7" t="s">
        <v>206</v>
      </c>
      <c r="BI537" s="7"/>
      <c r="BJ537" s="4">
        <v>10</v>
      </c>
      <c r="BK537" s="8">
        <v>208.85</v>
      </c>
      <c r="BL537" s="2" t="s">
        <v>3619</v>
      </c>
      <c r="BM537" s="7"/>
      <c r="BN537" s="7"/>
      <c r="BO537" s="4"/>
      <c r="BP537" s="8"/>
      <c r="BQ537" s="4"/>
      <c r="BR537" s="8"/>
      <c r="BS537" s="7"/>
      <c r="BT537" s="7"/>
      <c r="BU537" s="2" t="s">
        <v>3620</v>
      </c>
      <c r="BV537" s="2" t="s">
        <v>206</v>
      </c>
      <c r="BW537" s="2" t="s">
        <v>206</v>
      </c>
      <c r="BX537" s="2" t="s">
        <v>214</v>
      </c>
      <c r="BY537" s="2" t="s">
        <v>215</v>
      </c>
      <c r="BZ537" s="2" t="s">
        <v>203</v>
      </c>
      <c r="CA537" s="2" t="s">
        <v>3615</v>
      </c>
      <c r="CB537" s="2" t="s">
        <v>1589</v>
      </c>
      <c r="CC537" s="2" t="s">
        <v>218</v>
      </c>
      <c r="CD537" s="2" t="s">
        <v>206</v>
      </c>
      <c r="CE537" s="4">
        <v>21</v>
      </c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>
        <v>32</v>
      </c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>
        <v>40</v>
      </c>
      <c r="EV537" s="4"/>
      <c r="EW537" s="4"/>
      <c r="EX537" s="4"/>
      <c r="EY537" s="4"/>
      <c r="EZ537" s="4"/>
      <c r="FA537" s="4"/>
      <c r="FB537" s="4"/>
      <c r="FC537" s="4"/>
      <c r="FD537" s="4"/>
      <c r="FE537" s="4"/>
      <c r="FF537" s="4"/>
      <c r="FG537" s="4"/>
      <c r="FH537" s="4"/>
      <c r="FI537" s="4"/>
      <c r="FJ537" s="4"/>
      <c r="FK537" s="4"/>
      <c r="FL537" s="4"/>
      <c r="FM537" s="4"/>
      <c r="FN537" s="4"/>
      <c r="FO537" s="4"/>
      <c r="FP537" s="4"/>
      <c r="FQ537" s="4"/>
      <c r="FR537" s="4"/>
      <c r="FS537" s="4"/>
      <c r="FT537" s="4"/>
      <c r="FU537" s="4"/>
      <c r="FV537" s="4"/>
      <c r="FW537" s="4"/>
      <c r="FX537" s="4"/>
      <c r="FY537" s="4"/>
      <c r="FZ537" s="4"/>
      <c r="GA537" s="4"/>
      <c r="GB537" s="4"/>
      <c r="GC537" s="4"/>
      <c r="GD537" s="4"/>
      <c r="GE537" s="4"/>
      <c r="GF537" s="4"/>
    </row>
    <row r="538">
      <c r="A538" s="2" t="s">
        <v>3621</v>
      </c>
      <c r="B538" s="2" t="s">
        <v>225</v>
      </c>
      <c r="C538" s="2" t="s">
        <v>3610</v>
      </c>
      <c r="D538" s="2" t="s">
        <v>227</v>
      </c>
      <c r="E538" s="2" t="s">
        <v>228</v>
      </c>
      <c r="F538" s="2" t="s">
        <v>3611</v>
      </c>
      <c r="G538" s="2" t="s">
        <v>3611</v>
      </c>
      <c r="H538" s="2" t="s">
        <v>3611</v>
      </c>
      <c r="I538" s="2" t="s">
        <v>3622</v>
      </c>
      <c r="J538" s="2" t="s">
        <v>310</v>
      </c>
      <c r="K538" s="2" t="s">
        <v>353</v>
      </c>
      <c r="L538" s="3">
        <v>74.28</v>
      </c>
      <c r="M538" s="3">
        <v>77.99</v>
      </c>
      <c r="N538" s="3">
        <v>199.99</v>
      </c>
      <c r="O538" s="2" t="s">
        <v>203</v>
      </c>
      <c r="P538" s="2" t="s">
        <v>204</v>
      </c>
      <c r="Q538" s="2" t="s">
        <v>205</v>
      </c>
      <c r="R538" s="2" t="s">
        <v>206</v>
      </c>
      <c r="S538" s="2" t="s">
        <v>206</v>
      </c>
      <c r="T538" s="2" t="s">
        <v>234</v>
      </c>
      <c r="U538" s="2" t="s">
        <v>206</v>
      </c>
      <c r="V538" s="2" t="s">
        <v>209</v>
      </c>
      <c r="W538" s="2" t="s">
        <v>914</v>
      </c>
      <c r="X538" s="2" t="s">
        <v>206</v>
      </c>
      <c r="Y538" s="2" t="s">
        <v>3613</v>
      </c>
      <c r="Z538" s="4">
        <v>59</v>
      </c>
      <c r="AA538" s="4">
        <f>=ROUNDDOWN(29.5,0)</f>
      </c>
      <c r="AB538" s="5">
        <v>2</v>
      </c>
      <c r="AC538" s="2" t="s">
        <v>2147</v>
      </c>
      <c r="AD538" s="4">
        <v>80</v>
      </c>
      <c r="AE538" s="4">
        <v>80</v>
      </c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206</v>
      </c>
      <c r="AM538" s="4"/>
      <c r="AN538" s="4"/>
      <c r="AO538" s="7"/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 t="s">
        <v>206</v>
      </c>
      <c r="BD538" s="8" t="s">
        <v>206</v>
      </c>
      <c r="BE538" s="4" t="s">
        <v>206</v>
      </c>
      <c r="BF538" s="8" t="s">
        <v>206</v>
      </c>
      <c r="BG538" s="7" t="s">
        <v>206</v>
      </c>
      <c r="BH538" s="7" t="s">
        <v>206</v>
      </c>
      <c r="BI538" s="7"/>
      <c r="BJ538" s="4">
        <v>4</v>
      </c>
      <c r="BK538" s="8">
        <v>447.63</v>
      </c>
      <c r="BL538" s="2" t="s">
        <v>3623</v>
      </c>
      <c r="BM538" s="7"/>
      <c r="BN538" s="7"/>
      <c r="BO538" s="4"/>
      <c r="BP538" s="8"/>
      <c r="BQ538" s="4"/>
      <c r="BR538" s="8"/>
      <c r="BS538" s="7"/>
      <c r="BT538" s="7"/>
      <c r="BU538" s="2" t="s">
        <v>3624</v>
      </c>
      <c r="BV538" s="2" t="s">
        <v>206</v>
      </c>
      <c r="BW538" s="2" t="s">
        <v>206</v>
      </c>
      <c r="BX538" s="2" t="s">
        <v>214</v>
      </c>
      <c r="BY538" s="2" t="s">
        <v>215</v>
      </c>
      <c r="BZ538" s="2" t="s">
        <v>203</v>
      </c>
      <c r="CA538" s="2" t="s">
        <v>3615</v>
      </c>
      <c r="CB538" s="2" t="s">
        <v>2912</v>
      </c>
      <c r="CC538" s="2" t="s">
        <v>218</v>
      </c>
      <c r="CD538" s="2" t="s">
        <v>206</v>
      </c>
      <c r="CE538" s="4">
        <v>59</v>
      </c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  <c r="FD538" s="4"/>
      <c r="FE538" s="4"/>
      <c r="FF538" s="4"/>
      <c r="FG538" s="4"/>
      <c r="FH538" s="4"/>
      <c r="FI538" s="4"/>
      <c r="FJ538" s="4"/>
      <c r="FK538" s="4"/>
      <c r="FL538" s="4"/>
      <c r="FM538" s="4"/>
      <c r="FN538" s="4"/>
      <c r="FO538" s="4"/>
      <c r="FP538" s="4">
        <v>80</v>
      </c>
      <c r="FQ538" s="4"/>
      <c r="FR538" s="4"/>
      <c r="FS538" s="4"/>
      <c r="FT538" s="4"/>
      <c r="FU538" s="4"/>
      <c r="FV538" s="4"/>
      <c r="FW538" s="4"/>
      <c r="FX538" s="4"/>
      <c r="FY538" s="4"/>
      <c r="FZ538" s="4"/>
      <c r="GA538" s="4"/>
      <c r="GB538" s="4"/>
      <c r="GC538" s="4"/>
      <c r="GD538" s="4"/>
      <c r="GE538" s="4"/>
      <c r="GF538" s="4"/>
    </row>
    <row r="539">
      <c r="A539" s="2" t="s">
        <v>3625</v>
      </c>
      <c r="B539" s="2" t="s">
        <v>225</v>
      </c>
      <c r="C539" s="2" t="s">
        <v>3610</v>
      </c>
      <c r="D539" s="2" t="s">
        <v>227</v>
      </c>
      <c r="E539" s="2" t="s">
        <v>228</v>
      </c>
      <c r="F539" s="2" t="s">
        <v>3611</v>
      </c>
      <c r="G539" s="2" t="s">
        <v>3611</v>
      </c>
      <c r="H539" s="2" t="s">
        <v>3611</v>
      </c>
      <c r="I539" s="2" t="s">
        <v>3622</v>
      </c>
      <c r="J539" s="2" t="s">
        <v>231</v>
      </c>
      <c r="K539" s="2" t="s">
        <v>202</v>
      </c>
      <c r="L539" s="3">
        <v>74.28</v>
      </c>
      <c r="M539" s="3">
        <v>77.99</v>
      </c>
      <c r="N539" s="3">
        <v>199.99</v>
      </c>
      <c r="O539" s="2" t="s">
        <v>203</v>
      </c>
      <c r="P539" s="2" t="s">
        <v>204</v>
      </c>
      <c r="Q539" s="2" t="s">
        <v>205</v>
      </c>
      <c r="R539" s="2" t="s">
        <v>206</v>
      </c>
      <c r="S539" s="2" t="s">
        <v>206</v>
      </c>
      <c r="T539" s="2" t="s">
        <v>234</v>
      </c>
      <c r="U539" s="2" t="s">
        <v>206</v>
      </c>
      <c r="V539" s="2" t="s">
        <v>209</v>
      </c>
      <c r="W539" s="2" t="s">
        <v>914</v>
      </c>
      <c r="X539" s="2" t="s">
        <v>206</v>
      </c>
      <c r="Y539" s="2" t="s">
        <v>3613</v>
      </c>
      <c r="Z539" s="4">
        <v>106</v>
      </c>
      <c r="AA539" s="4">
        <f>=ROUNDDOWN(21.2,0)</f>
      </c>
      <c r="AB539" s="5">
        <v>5</v>
      </c>
      <c r="AC539" s="2" t="s">
        <v>140</v>
      </c>
      <c r="AD539" s="4">
        <v>100</v>
      </c>
      <c r="AE539" s="4">
        <v>180</v>
      </c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206</v>
      </c>
      <c r="AM539" s="4"/>
      <c r="AN539" s="4"/>
      <c r="AO539" s="7"/>
      <c r="AP539" s="4"/>
      <c r="AQ539" s="8"/>
      <c r="AR539" s="4"/>
      <c r="AS539" s="8"/>
      <c r="AT539" s="7"/>
      <c r="AU539" s="7"/>
      <c r="AV539" s="4" t="s">
        <v>206</v>
      </c>
      <c r="AW539" s="8" t="s">
        <v>206</v>
      </c>
      <c r="AX539" s="4" t="s">
        <v>206</v>
      </c>
      <c r="AY539" s="8" t="s">
        <v>206</v>
      </c>
      <c r="AZ539" s="7" t="s">
        <v>206</v>
      </c>
      <c r="BA539" s="7" t="s">
        <v>206</v>
      </c>
      <c r="BB539" s="7" t="s">
        <v>206</v>
      </c>
      <c r="BC539" s="4" t="s">
        <v>206</v>
      </c>
      <c r="BD539" s="8" t="s">
        <v>206</v>
      </c>
      <c r="BE539" s="4" t="s">
        <v>206</v>
      </c>
      <c r="BF539" s="8" t="s">
        <v>206</v>
      </c>
      <c r="BG539" s="7" t="s">
        <v>206</v>
      </c>
      <c r="BH539" s="7" t="s">
        <v>206</v>
      </c>
      <c r="BI539" s="7"/>
      <c r="BJ539" s="4">
        <v>19</v>
      </c>
      <c r="BK539" s="8">
        <v>1546.26</v>
      </c>
      <c r="BL539" s="2" t="s">
        <v>3626</v>
      </c>
      <c r="BM539" s="7"/>
      <c r="BN539" s="7"/>
      <c r="BO539" s="4"/>
      <c r="BP539" s="8"/>
      <c r="BQ539" s="4"/>
      <c r="BR539" s="8"/>
      <c r="BS539" s="7"/>
      <c r="BT539" s="7"/>
      <c r="BU539" s="2" t="s">
        <v>3627</v>
      </c>
      <c r="BV539" s="2" t="s">
        <v>206</v>
      </c>
      <c r="BW539" s="2" t="s">
        <v>206</v>
      </c>
      <c r="BX539" s="2" t="s">
        <v>214</v>
      </c>
      <c r="BY539" s="2" t="s">
        <v>215</v>
      </c>
      <c r="BZ539" s="2" t="s">
        <v>203</v>
      </c>
      <c r="CA539" s="2" t="s">
        <v>3615</v>
      </c>
      <c r="CB539" s="2" t="s">
        <v>3628</v>
      </c>
      <c r="CC539" s="2" t="s">
        <v>218</v>
      </c>
      <c r="CD539" s="2" t="s">
        <v>206</v>
      </c>
      <c r="CE539" s="4">
        <v>106</v>
      </c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>
        <v>100</v>
      </c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>
        <v>80</v>
      </c>
      <c r="EV539" s="4"/>
      <c r="EW539" s="4"/>
      <c r="EX539" s="4"/>
      <c r="EY539" s="4"/>
      <c r="EZ539" s="4"/>
      <c r="FA539" s="4"/>
      <c r="FB539" s="4"/>
      <c r="FC539" s="4"/>
      <c r="FD539" s="4"/>
      <c r="FE539" s="4"/>
      <c r="FF539" s="4"/>
      <c r="FG539" s="4"/>
      <c r="FH539" s="4"/>
      <c r="FI539" s="4"/>
      <c r="FJ539" s="4"/>
      <c r="FK539" s="4"/>
      <c r="FL539" s="4"/>
      <c r="FM539" s="4"/>
      <c r="FN539" s="4"/>
      <c r="FO539" s="4"/>
      <c r="FP539" s="4"/>
      <c r="FQ539" s="4"/>
      <c r="FR539" s="4"/>
      <c r="FS539" s="4"/>
      <c r="FT539" s="4"/>
      <c r="FU539" s="4"/>
      <c r="FV539" s="4"/>
      <c r="FW539" s="4"/>
      <c r="FX539" s="4"/>
      <c r="FY539" s="4"/>
      <c r="FZ539" s="4"/>
      <c r="GA539" s="4"/>
      <c r="GB539" s="4"/>
      <c r="GC539" s="4"/>
      <c r="GD539" s="4"/>
      <c r="GE539" s="4"/>
      <c r="GF539" s="4"/>
    </row>
    <row r="540">
      <c r="A540" s="2" t="s">
        <v>3629</v>
      </c>
      <c r="B540" s="2" t="s">
        <v>225</v>
      </c>
      <c r="C540" s="2" t="s">
        <v>3610</v>
      </c>
      <c r="D540" s="2" t="s">
        <v>227</v>
      </c>
      <c r="E540" s="2" t="s">
        <v>228</v>
      </c>
      <c r="F540" s="2" t="s">
        <v>3611</v>
      </c>
      <c r="G540" s="2" t="s">
        <v>3611</v>
      </c>
      <c r="H540" s="2" t="s">
        <v>3611</v>
      </c>
      <c r="I540" s="2" t="s">
        <v>3612</v>
      </c>
      <c r="J540" s="2" t="s">
        <v>231</v>
      </c>
      <c r="K540" s="2" t="s">
        <v>202</v>
      </c>
      <c r="L540" s="3">
        <v>22.28</v>
      </c>
      <c r="M540" s="3">
        <v>23.39</v>
      </c>
      <c r="N540" s="3">
        <v>59.99</v>
      </c>
      <c r="O540" s="2" t="s">
        <v>203</v>
      </c>
      <c r="P540" s="2" t="s">
        <v>204</v>
      </c>
      <c r="Q540" s="2" t="s">
        <v>205</v>
      </c>
      <c r="R540" s="2" t="s">
        <v>206</v>
      </c>
      <c r="S540" s="2" t="s">
        <v>206</v>
      </c>
      <c r="T540" s="2" t="s">
        <v>234</v>
      </c>
      <c r="U540" s="2" t="s">
        <v>206</v>
      </c>
      <c r="V540" s="2" t="s">
        <v>209</v>
      </c>
      <c r="W540" s="2" t="s">
        <v>914</v>
      </c>
      <c r="X540" s="2" t="s">
        <v>206</v>
      </c>
      <c r="Y540" s="2" t="s">
        <v>3613</v>
      </c>
      <c r="Z540" s="4"/>
      <c r="AA540" s="4">
        <f>=ROUNDDOWN({0},0)</f>
      </c>
      <c r="AB540" s="5">
        <v>2.7</v>
      </c>
      <c r="AC540" s="2" t="s">
        <v>140</v>
      </c>
      <c r="AD540" s="4">
        <v>32</v>
      </c>
      <c r="AE540" s="4">
        <v>72</v>
      </c>
      <c r="AF540" s="6">
        <v>65</v>
      </c>
      <c r="AG540" s="6"/>
      <c r="AH540" s="7">
        <v>0</v>
      </c>
      <c r="AI540" s="4"/>
      <c r="AJ540" s="4">
        <f>=ROUNDDOWN({0},0)</f>
      </c>
      <c r="AK540" s="5"/>
      <c r="AL540" s="2" t="s">
        <v>206</v>
      </c>
      <c r="AM540" s="4"/>
      <c r="AN540" s="4"/>
      <c r="AO540" s="7"/>
      <c r="AP540" s="4"/>
      <c r="AQ540" s="8"/>
      <c r="AR540" s="4"/>
      <c r="AS540" s="8"/>
      <c r="AT540" s="7"/>
      <c r="AU540" s="7"/>
      <c r="AV540" s="4" t="s">
        <v>206</v>
      </c>
      <c r="AW540" s="8" t="s">
        <v>206</v>
      </c>
      <c r="AX540" s="4" t="s">
        <v>206</v>
      </c>
      <c r="AY540" s="8" t="s">
        <v>206</v>
      </c>
      <c r="AZ540" s="7" t="s">
        <v>206</v>
      </c>
      <c r="BA540" s="7" t="s">
        <v>206</v>
      </c>
      <c r="BB540" s="7" t="s">
        <v>206</v>
      </c>
      <c r="BC540" s="4" t="s">
        <v>206</v>
      </c>
      <c r="BD540" s="8" t="s">
        <v>206</v>
      </c>
      <c r="BE540" s="4" t="s">
        <v>206</v>
      </c>
      <c r="BF540" s="8" t="s">
        <v>206</v>
      </c>
      <c r="BG540" s="7" t="s">
        <v>206</v>
      </c>
      <c r="BH540" s="7" t="s">
        <v>206</v>
      </c>
      <c r="BI540" s="7"/>
      <c r="BJ540" s="4"/>
      <c r="BK540" s="8"/>
      <c r="BL540" s="2" t="s">
        <v>206</v>
      </c>
      <c r="BM540" s="7"/>
      <c r="BN540" s="7"/>
      <c r="BO540" s="4"/>
      <c r="BP540" s="8"/>
      <c r="BQ540" s="4"/>
      <c r="BR540" s="8"/>
      <c r="BS540" s="7"/>
      <c r="BT540" s="7"/>
      <c r="BU540" s="2" t="s">
        <v>3630</v>
      </c>
      <c r="BV540" s="2" t="s">
        <v>206</v>
      </c>
      <c r="BW540" s="2" t="s">
        <v>206</v>
      </c>
      <c r="BX540" s="2" t="s">
        <v>214</v>
      </c>
      <c r="BY540" s="2" t="s">
        <v>215</v>
      </c>
      <c r="BZ540" s="2" t="s">
        <v>203</v>
      </c>
      <c r="CA540" s="2" t="s">
        <v>3631</v>
      </c>
      <c r="CB540" s="2" t="s">
        <v>517</v>
      </c>
      <c r="CC540" s="2" t="s">
        <v>218</v>
      </c>
      <c r="CD540" s="2" t="s">
        <v>206</v>
      </c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>
        <v>32</v>
      </c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>
        <v>40</v>
      </c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  <c r="FG540" s="4"/>
      <c r="FH540" s="4"/>
      <c r="FI540" s="4"/>
      <c r="FJ540" s="4"/>
      <c r="FK540" s="4"/>
      <c r="FL540" s="4"/>
      <c r="FM540" s="4"/>
      <c r="FN540" s="4"/>
      <c r="FO540" s="4"/>
      <c r="FP540" s="4"/>
      <c r="FQ540" s="4"/>
      <c r="FR540" s="4"/>
      <c r="FS540" s="4"/>
      <c r="FT540" s="4"/>
      <c r="FU540" s="4"/>
      <c r="FV540" s="4"/>
      <c r="FW540" s="4"/>
      <c r="FX540" s="4"/>
      <c r="FY540" s="4"/>
      <c r="FZ540" s="4"/>
      <c r="GA540" s="4"/>
      <c r="GB540" s="4"/>
      <c r="GC540" s="4"/>
      <c r="GD540" s="4"/>
      <c r="GE540" s="4"/>
      <c r="GF540" s="4"/>
    </row>
    <row r="541">
      <c r="A541" s="2" t="s">
        <v>3632</v>
      </c>
      <c r="B541" s="2" t="s">
        <v>225</v>
      </c>
      <c r="C541" s="2" t="s">
        <v>3610</v>
      </c>
      <c r="D541" s="2" t="s">
        <v>227</v>
      </c>
      <c r="E541" s="2" t="s">
        <v>228</v>
      </c>
      <c r="F541" s="2" t="s">
        <v>3611</v>
      </c>
      <c r="G541" s="2" t="s">
        <v>3611</v>
      </c>
      <c r="H541" s="2" t="s">
        <v>3611</v>
      </c>
      <c r="I541" s="2" t="s">
        <v>3622</v>
      </c>
      <c r="J541" s="2" t="s">
        <v>310</v>
      </c>
      <c r="K541" s="2" t="s">
        <v>202</v>
      </c>
      <c r="L541" s="3">
        <v>74.28</v>
      </c>
      <c r="M541" s="3">
        <v>77.99</v>
      </c>
      <c r="N541" s="3">
        <v>199.99</v>
      </c>
      <c r="O541" s="2" t="s">
        <v>203</v>
      </c>
      <c r="P541" s="2" t="s">
        <v>204</v>
      </c>
      <c r="Q541" s="2" t="s">
        <v>205</v>
      </c>
      <c r="R541" s="2" t="s">
        <v>206</v>
      </c>
      <c r="S541" s="2" t="s">
        <v>206</v>
      </c>
      <c r="T541" s="2" t="s">
        <v>234</v>
      </c>
      <c r="U541" s="2" t="s">
        <v>206</v>
      </c>
      <c r="V541" s="2" t="s">
        <v>209</v>
      </c>
      <c r="W541" s="2" t="s">
        <v>914</v>
      </c>
      <c r="X541" s="2" t="s">
        <v>206</v>
      </c>
      <c r="Y541" s="2" t="s">
        <v>3613</v>
      </c>
      <c r="Z541" s="4">
        <v>3</v>
      </c>
      <c r="AA541" s="4">
        <f>=ROUNDDOWN(1,0)</f>
      </c>
      <c r="AB541" s="5">
        <v>3</v>
      </c>
      <c r="AC541" s="2" t="s">
        <v>140</v>
      </c>
      <c r="AD541" s="4">
        <v>50</v>
      </c>
      <c r="AE541" s="4">
        <v>100</v>
      </c>
      <c r="AF541" s="6">
        <v>65</v>
      </c>
      <c r="AG541" s="6"/>
      <c r="AH541" s="7">
        <v>0.9032</v>
      </c>
      <c r="AI541" s="4"/>
      <c r="AJ541" s="4">
        <f>=ROUNDDOWN({0},0)</f>
      </c>
      <c r="AK541" s="5"/>
      <c r="AL541" s="2" t="s">
        <v>206</v>
      </c>
      <c r="AM541" s="4"/>
      <c r="AN541" s="4"/>
      <c r="AO541" s="7"/>
      <c r="AP541" s="4"/>
      <c r="AQ541" s="8"/>
      <c r="AR541" s="4"/>
      <c r="AS541" s="8"/>
      <c r="AT541" s="7"/>
      <c r="AU541" s="7"/>
      <c r="AV541" s="4" t="s">
        <v>206</v>
      </c>
      <c r="AW541" s="8" t="s">
        <v>206</v>
      </c>
      <c r="AX541" s="4" t="s">
        <v>206</v>
      </c>
      <c r="AY541" s="8" t="s">
        <v>206</v>
      </c>
      <c r="AZ541" s="7" t="s">
        <v>206</v>
      </c>
      <c r="BA541" s="7" t="s">
        <v>206</v>
      </c>
      <c r="BB541" s="7"/>
      <c r="BC541" s="4" t="s">
        <v>206</v>
      </c>
      <c r="BD541" s="8" t="s">
        <v>206</v>
      </c>
      <c r="BE541" s="4" t="s">
        <v>206</v>
      </c>
      <c r="BF541" s="8" t="s">
        <v>206</v>
      </c>
      <c r="BG541" s="7" t="s">
        <v>206</v>
      </c>
      <c r="BH541" s="7" t="s">
        <v>206</v>
      </c>
      <c r="BI541" s="7"/>
      <c r="BJ541" s="4">
        <v>11</v>
      </c>
      <c r="BK541" s="8">
        <v>896.89</v>
      </c>
      <c r="BL541" s="2" t="s">
        <v>3633</v>
      </c>
      <c r="BM541" s="7"/>
      <c r="BN541" s="7"/>
      <c r="BO541" s="4"/>
      <c r="BP541" s="8"/>
      <c r="BQ541" s="4"/>
      <c r="BR541" s="8"/>
      <c r="BS541" s="7"/>
      <c r="BT541" s="7"/>
      <c r="BU541" s="2" t="s">
        <v>3634</v>
      </c>
      <c r="BV541" s="2" t="s">
        <v>206</v>
      </c>
      <c r="BW541" s="2" t="s">
        <v>206</v>
      </c>
      <c r="BX541" s="2" t="s">
        <v>214</v>
      </c>
      <c r="BY541" s="2" t="s">
        <v>215</v>
      </c>
      <c r="BZ541" s="2" t="s">
        <v>203</v>
      </c>
      <c r="CA541" s="2" t="s">
        <v>3615</v>
      </c>
      <c r="CB541" s="2" t="s">
        <v>2883</v>
      </c>
      <c r="CC541" s="2" t="s">
        <v>218</v>
      </c>
      <c r="CD541" s="2" t="s">
        <v>206</v>
      </c>
      <c r="CE541" s="4">
        <v>3</v>
      </c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>
        <v>50</v>
      </c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  <c r="EU541" s="4">
        <v>50</v>
      </c>
      <c r="EV541" s="4"/>
      <c r="EW541" s="4"/>
      <c r="EX541" s="4"/>
      <c r="EY541" s="4"/>
      <c r="EZ541" s="4"/>
      <c r="FA541" s="4"/>
      <c r="FB541" s="4"/>
      <c r="FC541" s="4"/>
      <c r="FD541" s="4"/>
      <c r="FE541" s="4"/>
      <c r="FF541" s="4"/>
      <c r="FG541" s="4"/>
      <c r="FH541" s="4"/>
      <c r="FI541" s="4"/>
      <c r="FJ541" s="4"/>
      <c r="FK541" s="4"/>
      <c r="FL541" s="4"/>
      <c r="FM541" s="4"/>
      <c r="FN541" s="4"/>
      <c r="FO541" s="4"/>
      <c r="FP541" s="4"/>
      <c r="FQ541" s="4"/>
      <c r="FR541" s="4"/>
      <c r="FS541" s="4"/>
      <c r="FT541" s="4"/>
      <c r="FU541" s="4"/>
      <c r="FV541" s="4"/>
      <c r="FW541" s="4"/>
      <c r="FX541" s="4"/>
      <c r="FY541" s="4"/>
      <c r="FZ541" s="4"/>
      <c r="GA541" s="4"/>
      <c r="GB541" s="4"/>
      <c r="GC541" s="4"/>
      <c r="GD541" s="4"/>
      <c r="GE541" s="4"/>
      <c r="GF541" s="4"/>
    </row>
    <row r="542">
      <c r="A542" s="2" t="s">
        <v>3635</v>
      </c>
      <c r="B542" s="2" t="s">
        <v>461</v>
      </c>
      <c r="C542" s="2" t="s">
        <v>462</v>
      </c>
      <c r="D542" s="2" t="s">
        <v>975</v>
      </c>
      <c r="E542" s="2" t="s">
        <v>976</v>
      </c>
      <c r="F542" s="2" t="s">
        <v>3636</v>
      </c>
      <c r="G542" s="2" t="s">
        <v>3636</v>
      </c>
      <c r="H542" s="2" t="s">
        <v>3636</v>
      </c>
      <c r="I542" s="2" t="s">
        <v>1208</v>
      </c>
      <c r="J542" s="2" t="s">
        <v>434</v>
      </c>
      <c r="K542" s="2" t="s">
        <v>336</v>
      </c>
      <c r="L542" s="3">
        <v>251.75</v>
      </c>
      <c r="M542" s="3">
        <v>264.34</v>
      </c>
      <c r="N542" s="3">
        <v>529</v>
      </c>
      <c r="O542" s="2" t="s">
        <v>203</v>
      </c>
      <c r="P542" s="2" t="s">
        <v>467</v>
      </c>
      <c r="Q542" s="2" t="s">
        <v>205</v>
      </c>
      <c r="R542" s="2" t="s">
        <v>206</v>
      </c>
      <c r="S542" s="2" t="s">
        <v>206</v>
      </c>
      <c r="T542" s="2" t="s">
        <v>206</v>
      </c>
      <c r="U542" s="2" t="s">
        <v>437</v>
      </c>
      <c r="V542" s="2" t="s">
        <v>209</v>
      </c>
      <c r="W542" s="2" t="s">
        <v>586</v>
      </c>
      <c r="X542" s="2" t="s">
        <v>206</v>
      </c>
      <c r="Y542" s="2" t="s">
        <v>3637</v>
      </c>
      <c r="Z542" s="4">
        <v>127</v>
      </c>
      <c r="AA542" s="4">
        <f>=ROUNDDOWN(63.5,0)</f>
      </c>
      <c r="AB542" s="5">
        <v>2</v>
      </c>
      <c r="AC542" s="2" t="s">
        <v>206</v>
      </c>
      <c r="AD542" s="4"/>
      <c r="AE542" s="4"/>
      <c r="AF542" s="6">
        <v>66</v>
      </c>
      <c r="AG542" s="6"/>
      <c r="AH542" s="7">
        <v>1</v>
      </c>
      <c r="AI542" s="4"/>
      <c r="AJ542" s="4">
        <f>=ROUNDDOWN({0},0)</f>
      </c>
      <c r="AK542" s="5"/>
      <c r="AL542" s="2" t="s">
        <v>206</v>
      </c>
      <c r="AM542" s="4"/>
      <c r="AN542" s="4"/>
      <c r="AO542" s="7"/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/>
      <c r="BD542" s="8"/>
      <c r="BE542" s="4"/>
      <c r="BF542" s="8"/>
      <c r="BG542" s="7"/>
      <c r="BH542" s="7"/>
      <c r="BI542" s="7"/>
      <c r="BJ542" s="4">
        <v>8</v>
      </c>
      <c r="BK542" s="8">
        <v>1851.51</v>
      </c>
      <c r="BL542" s="2" t="s">
        <v>3638</v>
      </c>
      <c r="BM542" s="7"/>
      <c r="BN542" s="7"/>
      <c r="BO542" s="4"/>
      <c r="BP542" s="8"/>
      <c r="BQ542" s="4"/>
      <c r="BR542" s="8"/>
      <c r="BS542" s="7"/>
      <c r="BT542" s="7"/>
      <c r="BU542" s="2" t="s">
        <v>3639</v>
      </c>
      <c r="BV542" s="2" t="s">
        <v>206</v>
      </c>
      <c r="BW542" s="2" t="s">
        <v>206</v>
      </c>
      <c r="BX542" s="2" t="s">
        <v>214</v>
      </c>
      <c r="BY542" s="2" t="s">
        <v>215</v>
      </c>
      <c r="BZ542" s="2" t="s">
        <v>203</v>
      </c>
      <c r="CA542" s="2" t="s">
        <v>1660</v>
      </c>
      <c r="CB542" s="2" t="s">
        <v>3640</v>
      </c>
      <c r="CC542" s="2" t="s">
        <v>218</v>
      </c>
      <c r="CD542" s="2" t="s">
        <v>206</v>
      </c>
      <c r="CE542" s="4"/>
      <c r="CF542" s="4">
        <v>127</v>
      </c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/>
      <c r="FE542" s="4"/>
      <c r="FF542" s="4"/>
      <c r="FG542" s="4"/>
      <c r="FH542" s="4"/>
      <c r="FI542" s="4"/>
      <c r="FJ542" s="4"/>
      <c r="FK542" s="4"/>
      <c r="FL542" s="4"/>
      <c r="FM542" s="4"/>
      <c r="FN542" s="4"/>
      <c r="FO542" s="4"/>
      <c r="FP542" s="4"/>
      <c r="FQ542" s="4"/>
      <c r="FR542" s="4"/>
      <c r="FS542" s="4"/>
      <c r="FT542" s="4"/>
      <c r="FU542" s="4"/>
      <c r="FV542" s="4"/>
      <c r="FW542" s="4"/>
      <c r="FX542" s="4"/>
      <c r="FY542" s="4"/>
      <c r="FZ542" s="4"/>
      <c r="GA542" s="4"/>
      <c r="GB542" s="4"/>
      <c r="GC542" s="4"/>
      <c r="GD542" s="4"/>
      <c r="GE542" s="4"/>
      <c r="GF542" s="4"/>
    </row>
    <row r="543">
      <c r="A543" s="2" t="s">
        <v>3641</v>
      </c>
      <c r="B543" s="2" t="s">
        <v>800</v>
      </c>
      <c r="C543" s="2" t="s">
        <v>1948</v>
      </c>
      <c r="D543" s="2" t="s">
        <v>1859</v>
      </c>
      <c r="E543" s="2" t="s">
        <v>2573</v>
      </c>
      <c r="F543" s="2" t="s">
        <v>3642</v>
      </c>
      <c r="G543" s="2" t="s">
        <v>3642</v>
      </c>
      <c r="H543" s="2" t="s">
        <v>3642</v>
      </c>
      <c r="I543" s="2" t="s">
        <v>2575</v>
      </c>
      <c r="J543" s="2" t="s">
        <v>806</v>
      </c>
      <c r="K543" s="2" t="s">
        <v>696</v>
      </c>
      <c r="L543" s="3">
        <v>30.95</v>
      </c>
      <c r="M543" s="3">
        <v>32.5</v>
      </c>
      <c r="N543" s="3">
        <v>64.99</v>
      </c>
      <c r="O543" s="2" t="s">
        <v>203</v>
      </c>
      <c r="P543" s="2" t="s">
        <v>204</v>
      </c>
      <c r="Q543" s="2" t="s">
        <v>205</v>
      </c>
      <c r="R543" s="2" t="s">
        <v>206</v>
      </c>
      <c r="S543" s="2" t="s">
        <v>3643</v>
      </c>
      <c r="T543" s="2" t="s">
        <v>2888</v>
      </c>
      <c r="U543" s="2" t="s">
        <v>437</v>
      </c>
      <c r="V543" s="2" t="s">
        <v>209</v>
      </c>
      <c r="W543" s="2" t="s">
        <v>210</v>
      </c>
      <c r="X543" s="2" t="s">
        <v>206</v>
      </c>
      <c r="Y543" s="2" t="s">
        <v>3644</v>
      </c>
      <c r="Z543" s="4">
        <v>942</v>
      </c>
      <c r="AA543" s="4">
        <f>=ROUNDDOWN(39.25,0)</f>
      </c>
      <c r="AB543" s="5">
        <v>24</v>
      </c>
      <c r="AC543" s="2" t="s">
        <v>114</v>
      </c>
      <c r="AD543" s="4">
        <v>490</v>
      </c>
      <c r="AE543" s="4">
        <v>490</v>
      </c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206</v>
      </c>
      <c r="AM543" s="4"/>
      <c r="AN543" s="4"/>
      <c r="AO543" s="7"/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/>
      <c r="BD543" s="8"/>
      <c r="BE543" s="4"/>
      <c r="BF543" s="8"/>
      <c r="BG543" s="7"/>
      <c r="BH543" s="7"/>
      <c r="BI543" s="7"/>
      <c r="BJ543" s="4">
        <v>61</v>
      </c>
      <c r="BK543" s="8">
        <v>2131.3</v>
      </c>
      <c r="BL543" s="2" t="s">
        <v>3645</v>
      </c>
      <c r="BM543" s="7"/>
      <c r="BN543" s="7"/>
      <c r="BO543" s="4"/>
      <c r="BP543" s="8"/>
      <c r="BQ543" s="4"/>
      <c r="BR543" s="8"/>
      <c r="BS543" s="7"/>
      <c r="BT543" s="7"/>
      <c r="BU543" s="2" t="s">
        <v>3646</v>
      </c>
      <c r="BV543" s="2" t="s">
        <v>206</v>
      </c>
      <c r="BW543" s="2" t="s">
        <v>206</v>
      </c>
      <c r="BX543" s="2" t="s">
        <v>214</v>
      </c>
      <c r="BY543" s="2" t="s">
        <v>215</v>
      </c>
      <c r="BZ543" s="2" t="s">
        <v>203</v>
      </c>
      <c r="CA543" s="2" t="s">
        <v>2969</v>
      </c>
      <c r="CB543" s="2" t="s">
        <v>3647</v>
      </c>
      <c r="CC543" s="2" t="s">
        <v>218</v>
      </c>
      <c r="CD543" s="2" t="s">
        <v>206</v>
      </c>
      <c r="CE543" s="4">
        <v>942</v>
      </c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>
        <v>490</v>
      </c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  <c r="FD543" s="4"/>
      <c r="FE543" s="4"/>
      <c r="FF543" s="4"/>
      <c r="FG543" s="4"/>
      <c r="FH543" s="4"/>
      <c r="FI543" s="4"/>
      <c r="FJ543" s="4"/>
      <c r="FK543" s="4"/>
      <c r="FL543" s="4"/>
      <c r="FM543" s="4"/>
      <c r="FN543" s="4"/>
      <c r="FO543" s="4"/>
      <c r="FP543" s="4"/>
      <c r="FQ543" s="4"/>
      <c r="FR543" s="4"/>
      <c r="FS543" s="4"/>
      <c r="FT543" s="4"/>
      <c r="FU543" s="4"/>
      <c r="FV543" s="4"/>
      <c r="FW543" s="4"/>
      <c r="FX543" s="4"/>
      <c r="FY543" s="4"/>
      <c r="FZ543" s="4"/>
      <c r="GA543" s="4"/>
      <c r="GB543" s="4"/>
      <c r="GC543" s="4"/>
      <c r="GD543" s="4"/>
      <c r="GE543" s="4"/>
      <c r="GF543" s="4"/>
    </row>
    <row r="544">
      <c r="A544" s="2" t="s">
        <v>3648</v>
      </c>
      <c r="B544" s="2" t="s">
        <v>461</v>
      </c>
      <c r="C544" s="2" t="s">
        <v>287</v>
      </c>
      <c r="D544" s="2" t="s">
        <v>463</v>
      </c>
      <c r="E544" s="2" t="s">
        <v>952</v>
      </c>
      <c r="F544" s="2" t="s">
        <v>3649</v>
      </c>
      <c r="G544" s="2" t="s">
        <v>3650</v>
      </c>
      <c r="H544" s="2" t="s">
        <v>3651</v>
      </c>
      <c r="I544" s="2" t="s">
        <v>3652</v>
      </c>
      <c r="J544" s="2" t="s">
        <v>434</v>
      </c>
      <c r="K544" s="2" t="s">
        <v>1508</v>
      </c>
      <c r="L544" s="3">
        <v>84.15</v>
      </c>
      <c r="M544" s="3">
        <v>88.36</v>
      </c>
      <c r="N544" s="3">
        <v>179</v>
      </c>
      <c r="O544" s="2" t="s">
        <v>203</v>
      </c>
      <c r="P544" s="2" t="s">
        <v>467</v>
      </c>
      <c r="Q544" s="2" t="s">
        <v>205</v>
      </c>
      <c r="R544" s="2" t="s">
        <v>206</v>
      </c>
      <c r="S544" s="2" t="s">
        <v>206</v>
      </c>
      <c r="T544" s="2" t="s">
        <v>206</v>
      </c>
      <c r="U544" s="2" t="s">
        <v>206</v>
      </c>
      <c r="V544" s="2" t="s">
        <v>468</v>
      </c>
      <c r="W544" s="2" t="s">
        <v>539</v>
      </c>
      <c r="X544" s="2" t="s">
        <v>206</v>
      </c>
      <c r="Y544" s="2" t="s">
        <v>3653</v>
      </c>
      <c r="Z544" s="4">
        <v>374</v>
      </c>
      <c r="AA544" s="4">
        <f>=ROUNDDOWN(74.8,0)</f>
      </c>
      <c r="AB544" s="5">
        <v>5</v>
      </c>
      <c r="AC544" s="2" t="s">
        <v>206</v>
      </c>
      <c r="AD544" s="4"/>
      <c r="AE544" s="4"/>
      <c r="AF544" s="6">
        <v>76</v>
      </c>
      <c r="AG544" s="6"/>
      <c r="AH544" s="7">
        <v>1</v>
      </c>
      <c r="AI544" s="4"/>
      <c r="AJ544" s="4">
        <f>=ROUNDDOWN({0},0)</f>
      </c>
      <c r="AK544" s="5"/>
      <c r="AL544" s="2" t="s">
        <v>206</v>
      </c>
      <c r="AM544" s="4"/>
      <c r="AN544" s="4"/>
      <c r="AO544" s="7"/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 t="s">
        <v>206</v>
      </c>
      <c r="BD544" s="8" t="s">
        <v>206</v>
      </c>
      <c r="BE544" s="4" t="s">
        <v>206</v>
      </c>
      <c r="BF544" s="8" t="s">
        <v>206</v>
      </c>
      <c r="BG544" s="7" t="s">
        <v>206</v>
      </c>
      <c r="BH544" s="7" t="s">
        <v>206</v>
      </c>
      <c r="BI544" s="7"/>
      <c r="BJ544" s="4">
        <v>27</v>
      </c>
      <c r="BK544" s="8">
        <v>1689.39</v>
      </c>
      <c r="BL544" s="2" t="s">
        <v>2155</v>
      </c>
      <c r="BM544" s="7"/>
      <c r="BN544" s="7"/>
      <c r="BO544" s="4"/>
      <c r="BP544" s="8"/>
      <c r="BQ544" s="4"/>
      <c r="BR544" s="8"/>
      <c r="BS544" s="7"/>
      <c r="BT544" s="7"/>
      <c r="BU544" s="2" t="s">
        <v>3654</v>
      </c>
      <c r="BV544" s="2" t="s">
        <v>206</v>
      </c>
      <c r="BW544" s="2" t="s">
        <v>206</v>
      </c>
      <c r="BX544" s="2" t="s">
        <v>214</v>
      </c>
      <c r="BY544" s="2" t="s">
        <v>215</v>
      </c>
      <c r="BZ544" s="2" t="s">
        <v>203</v>
      </c>
      <c r="CA544" s="2" t="s">
        <v>3655</v>
      </c>
      <c r="CB544" s="2" t="s">
        <v>3656</v>
      </c>
      <c r="CC544" s="2" t="s">
        <v>218</v>
      </c>
      <c r="CD544" s="2" t="s">
        <v>206</v>
      </c>
      <c r="CE544" s="4"/>
      <c r="CF544" s="4">
        <v>374</v>
      </c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  <c r="FD544" s="4"/>
      <c r="FE544" s="4"/>
      <c r="FF544" s="4"/>
      <c r="FG544" s="4"/>
      <c r="FH544" s="4"/>
      <c r="FI544" s="4"/>
      <c r="FJ544" s="4"/>
      <c r="FK544" s="4"/>
      <c r="FL544" s="4"/>
      <c r="FM544" s="4"/>
      <c r="FN544" s="4"/>
      <c r="FO544" s="4"/>
      <c r="FP544" s="4"/>
      <c r="FQ544" s="4"/>
      <c r="FR544" s="4"/>
      <c r="FS544" s="4"/>
      <c r="FT544" s="4"/>
      <c r="FU544" s="4"/>
      <c r="FV544" s="4"/>
      <c r="FW544" s="4"/>
      <c r="FX544" s="4"/>
      <c r="FY544" s="4"/>
      <c r="FZ544" s="4"/>
      <c r="GA544" s="4"/>
      <c r="GB544" s="4"/>
      <c r="GC544" s="4"/>
      <c r="GD544" s="4"/>
      <c r="GE544" s="4"/>
      <c r="GF544" s="4"/>
    </row>
    <row r="545">
      <c r="A545" s="2" t="s">
        <v>3657</v>
      </c>
      <c r="B545" s="2" t="s">
        <v>461</v>
      </c>
      <c r="C545" s="2" t="s">
        <v>287</v>
      </c>
      <c r="D545" s="2" t="s">
        <v>463</v>
      </c>
      <c r="E545" s="2" t="s">
        <v>952</v>
      </c>
      <c r="F545" s="2" t="s">
        <v>3649</v>
      </c>
      <c r="G545" s="2" t="s">
        <v>3650</v>
      </c>
      <c r="H545" s="2" t="s">
        <v>3651</v>
      </c>
      <c r="I545" s="2" t="s">
        <v>3652</v>
      </c>
      <c r="J545" s="2" t="s">
        <v>434</v>
      </c>
      <c r="K545" s="2" t="s">
        <v>763</v>
      </c>
      <c r="L545" s="3">
        <v>84.15</v>
      </c>
      <c r="M545" s="3">
        <v>88.36</v>
      </c>
      <c r="N545" s="3">
        <v>179</v>
      </c>
      <c r="O545" s="2" t="s">
        <v>203</v>
      </c>
      <c r="P545" s="2" t="s">
        <v>204</v>
      </c>
      <c r="Q545" s="2" t="s">
        <v>205</v>
      </c>
      <c r="R545" s="2" t="s">
        <v>206</v>
      </c>
      <c r="S545" s="2" t="s">
        <v>3658</v>
      </c>
      <c r="T545" s="2" t="s">
        <v>206</v>
      </c>
      <c r="U545" s="2" t="s">
        <v>206</v>
      </c>
      <c r="V545" s="2" t="s">
        <v>209</v>
      </c>
      <c r="W545" s="2" t="s">
        <v>539</v>
      </c>
      <c r="X545" s="2" t="s">
        <v>206</v>
      </c>
      <c r="Y545" s="2" t="s">
        <v>211</v>
      </c>
      <c r="Z545" s="4">
        <v>364</v>
      </c>
      <c r="AA545" s="4">
        <f>=ROUNDDOWN(22.75,0)</f>
      </c>
      <c r="AB545" s="5">
        <v>16</v>
      </c>
      <c r="AC545" s="2" t="s">
        <v>3659</v>
      </c>
      <c r="AD545" s="4">
        <v>185</v>
      </c>
      <c r="AE545" s="4">
        <v>185</v>
      </c>
      <c r="AF545" s="6">
        <v>76</v>
      </c>
      <c r="AG545" s="6"/>
      <c r="AH545" s="7">
        <v>1</v>
      </c>
      <c r="AI545" s="4"/>
      <c r="AJ545" s="4">
        <f>=ROUNDDOWN({0},0)</f>
      </c>
      <c r="AK545" s="5"/>
      <c r="AL545" s="2" t="s">
        <v>206</v>
      </c>
      <c r="AM545" s="4"/>
      <c r="AN545" s="4"/>
      <c r="AO545" s="7"/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 t="s">
        <v>206</v>
      </c>
      <c r="BD545" s="8" t="s">
        <v>206</v>
      </c>
      <c r="BE545" s="4" t="s">
        <v>206</v>
      </c>
      <c r="BF545" s="8" t="s">
        <v>206</v>
      </c>
      <c r="BG545" s="7" t="s">
        <v>206</v>
      </c>
      <c r="BH545" s="7" t="s">
        <v>206</v>
      </c>
      <c r="BI545" s="7"/>
      <c r="BJ545" s="4">
        <v>101</v>
      </c>
      <c r="BK545" s="8">
        <v>8044.22</v>
      </c>
      <c r="BL545" s="2" t="s">
        <v>3660</v>
      </c>
      <c r="BM545" s="7"/>
      <c r="BN545" s="7"/>
      <c r="BO545" s="4"/>
      <c r="BP545" s="8"/>
      <c r="BQ545" s="4"/>
      <c r="BR545" s="8"/>
      <c r="BS545" s="7"/>
      <c r="BT545" s="7"/>
      <c r="BU545" s="2" t="s">
        <v>3661</v>
      </c>
      <c r="BV545" s="2" t="s">
        <v>206</v>
      </c>
      <c r="BW545" s="2" t="s">
        <v>206</v>
      </c>
      <c r="BX545" s="2" t="s">
        <v>214</v>
      </c>
      <c r="BY545" s="2" t="s">
        <v>215</v>
      </c>
      <c r="BZ545" s="2" t="s">
        <v>203</v>
      </c>
      <c r="CA545" s="2" t="s">
        <v>216</v>
      </c>
      <c r="CB545" s="2" t="s">
        <v>3662</v>
      </c>
      <c r="CC545" s="2" t="s">
        <v>218</v>
      </c>
      <c r="CD545" s="2" t="s">
        <v>206</v>
      </c>
      <c r="CE545" s="4"/>
      <c r="CF545" s="4">
        <v>364</v>
      </c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/>
      <c r="FC545" s="4"/>
      <c r="FD545" s="4"/>
      <c r="FE545" s="4"/>
      <c r="FF545" s="4"/>
      <c r="FG545" s="4"/>
      <c r="FH545" s="4"/>
      <c r="FI545" s="4"/>
      <c r="FJ545" s="4"/>
      <c r="FK545" s="4"/>
      <c r="FL545" s="4"/>
      <c r="FM545" s="4"/>
      <c r="FN545" s="4"/>
      <c r="FO545" s="4"/>
      <c r="FP545" s="4"/>
      <c r="FQ545" s="4"/>
      <c r="FR545" s="4"/>
      <c r="FS545" s="4"/>
      <c r="FT545" s="4">
        <v>185</v>
      </c>
      <c r="FU545" s="4"/>
      <c r="FV545" s="4"/>
      <c r="FW545" s="4"/>
      <c r="FX545" s="4"/>
      <c r="FY545" s="4"/>
      <c r="FZ545" s="4"/>
      <c r="GA545" s="4"/>
      <c r="GB545" s="4"/>
      <c r="GC545" s="4"/>
      <c r="GD545" s="4"/>
      <c r="GE545" s="4"/>
      <c r="GF545" s="4"/>
    </row>
    <row r="546">
      <c r="A546" s="2" t="s">
        <v>3663</v>
      </c>
      <c r="B546" s="2" t="s">
        <v>528</v>
      </c>
      <c r="C546" s="2" t="s">
        <v>287</v>
      </c>
      <c r="D546" s="2" t="s">
        <v>529</v>
      </c>
      <c r="E546" s="2" t="s">
        <v>816</v>
      </c>
      <c r="F546" s="2" t="s">
        <v>3664</v>
      </c>
      <c r="G546" s="2" t="s">
        <v>3665</v>
      </c>
      <c r="H546" s="2" t="s">
        <v>3666</v>
      </c>
      <c r="I546" s="2" t="s">
        <v>3667</v>
      </c>
      <c r="J546" s="2" t="s">
        <v>593</v>
      </c>
      <c r="K546" s="2" t="s">
        <v>554</v>
      </c>
      <c r="L546" s="3">
        <v>63.35</v>
      </c>
      <c r="M546" s="3">
        <v>66.52</v>
      </c>
      <c r="N546" s="3">
        <v>129.99</v>
      </c>
      <c r="O546" s="2" t="s">
        <v>203</v>
      </c>
      <c r="P546" s="2" t="s">
        <v>204</v>
      </c>
      <c r="Q546" s="2" t="s">
        <v>205</v>
      </c>
      <c r="R546" s="2" t="s">
        <v>206</v>
      </c>
      <c r="S546" s="2" t="s">
        <v>3668</v>
      </c>
      <c r="T546" s="2" t="s">
        <v>292</v>
      </c>
      <c r="U546" s="2" t="s">
        <v>2932</v>
      </c>
      <c r="V546" s="2" t="s">
        <v>236</v>
      </c>
      <c r="W546" s="2" t="s">
        <v>901</v>
      </c>
      <c r="X546" s="2" t="s">
        <v>587</v>
      </c>
      <c r="Y546" s="2" t="s">
        <v>3669</v>
      </c>
      <c r="Z546" s="4">
        <v>376</v>
      </c>
      <c r="AA546" s="4">
        <f>=ROUNDDOWN(53.7142857142857,0)</f>
      </c>
      <c r="AB546" s="5">
        <v>7</v>
      </c>
      <c r="AC546" s="2" t="s">
        <v>116</v>
      </c>
      <c r="AD546" s="4">
        <v>100</v>
      </c>
      <c r="AE546" s="4">
        <v>200</v>
      </c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206</v>
      </c>
      <c r="AM546" s="4"/>
      <c r="AN546" s="4"/>
      <c r="AO546" s="7"/>
      <c r="AP546" s="4"/>
      <c r="AQ546" s="8"/>
      <c r="AR546" s="4"/>
      <c r="AS546" s="8"/>
      <c r="AT546" s="7"/>
      <c r="AU546" s="7"/>
      <c r="AV546" s="4" t="s">
        <v>206</v>
      </c>
      <c r="AW546" s="8" t="s">
        <v>206</v>
      </c>
      <c r="AX546" s="4" t="s">
        <v>206</v>
      </c>
      <c r="AY546" s="8" t="s">
        <v>206</v>
      </c>
      <c r="AZ546" s="7" t="s">
        <v>206</v>
      </c>
      <c r="BA546" s="7" t="s">
        <v>206</v>
      </c>
      <c r="BB546" s="7" t="s">
        <v>206</v>
      </c>
      <c r="BC546" s="4" t="s">
        <v>206</v>
      </c>
      <c r="BD546" s="8" t="s">
        <v>206</v>
      </c>
      <c r="BE546" s="4" t="s">
        <v>206</v>
      </c>
      <c r="BF546" s="8" t="s">
        <v>206</v>
      </c>
      <c r="BG546" s="7" t="s">
        <v>206</v>
      </c>
      <c r="BH546" s="7" t="s">
        <v>206</v>
      </c>
      <c r="BI546" s="7"/>
      <c r="BJ546" s="4">
        <v>22</v>
      </c>
      <c r="BK546" s="8">
        <v>1524.1</v>
      </c>
      <c r="BL546" s="2" t="s">
        <v>3670</v>
      </c>
      <c r="BM546" s="7"/>
      <c r="BN546" s="7"/>
      <c r="BO546" s="4"/>
      <c r="BP546" s="8"/>
      <c r="BQ546" s="4"/>
      <c r="BR546" s="8"/>
      <c r="BS546" s="7"/>
      <c r="BT546" s="7"/>
      <c r="BU546" s="2" t="s">
        <v>3671</v>
      </c>
      <c r="BV546" s="2" t="s">
        <v>206</v>
      </c>
      <c r="BW546" s="2" t="s">
        <v>206</v>
      </c>
      <c r="BX546" s="2" t="s">
        <v>426</v>
      </c>
      <c r="BY546" s="2" t="s">
        <v>215</v>
      </c>
      <c r="BZ546" s="2" t="s">
        <v>203</v>
      </c>
      <c r="CA546" s="2" t="s">
        <v>3672</v>
      </c>
      <c r="CB546" s="2" t="s">
        <v>3673</v>
      </c>
      <c r="CC546" s="2" t="s">
        <v>218</v>
      </c>
      <c r="CD546" s="2" t="s">
        <v>206</v>
      </c>
      <c r="CE546" s="4">
        <v>376</v>
      </c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>
        <v>100</v>
      </c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>
        <v>100</v>
      </c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  <c r="FE546" s="4"/>
      <c r="FF546" s="4"/>
      <c r="FG546" s="4"/>
      <c r="FH546" s="4"/>
      <c r="FI546" s="4"/>
      <c r="FJ546" s="4"/>
      <c r="FK546" s="4"/>
      <c r="FL546" s="4"/>
      <c r="FM546" s="4"/>
      <c r="FN546" s="4"/>
      <c r="FO546" s="4"/>
      <c r="FP546" s="4"/>
      <c r="FQ546" s="4"/>
      <c r="FR546" s="4"/>
      <c r="FS546" s="4"/>
      <c r="FT546" s="4"/>
      <c r="FU546" s="4"/>
      <c r="FV546" s="4"/>
      <c r="FW546" s="4"/>
      <c r="FX546" s="4"/>
      <c r="FY546" s="4"/>
      <c r="FZ546" s="4"/>
      <c r="GA546" s="4"/>
      <c r="GB546" s="4"/>
      <c r="GC546" s="4"/>
      <c r="GD546" s="4"/>
      <c r="GE546" s="4"/>
      <c r="GF546" s="4"/>
    </row>
    <row r="547">
      <c r="A547" s="2" t="s">
        <v>3674</v>
      </c>
      <c r="B547" s="2" t="s">
        <v>528</v>
      </c>
      <c r="C547" s="2" t="s">
        <v>287</v>
      </c>
      <c r="D547" s="2" t="s">
        <v>1612</v>
      </c>
      <c r="E547" s="2" t="s">
        <v>1613</v>
      </c>
      <c r="F547" s="2" t="s">
        <v>3664</v>
      </c>
      <c r="G547" s="2" t="s">
        <v>3665</v>
      </c>
      <c r="H547" s="2" t="s">
        <v>3666</v>
      </c>
      <c r="I547" s="2" t="s">
        <v>3675</v>
      </c>
      <c r="J547" s="2" t="s">
        <v>593</v>
      </c>
      <c r="K547" s="2" t="s">
        <v>554</v>
      </c>
      <c r="L547" s="3">
        <v>52.92</v>
      </c>
      <c r="M547" s="3">
        <v>55.57</v>
      </c>
      <c r="N547" s="3">
        <v>109.99</v>
      </c>
      <c r="O547" s="2" t="s">
        <v>203</v>
      </c>
      <c r="P547" s="2" t="s">
        <v>204</v>
      </c>
      <c r="Q547" s="2" t="s">
        <v>205</v>
      </c>
      <c r="R547" s="2" t="s">
        <v>206</v>
      </c>
      <c r="S547" s="2" t="s">
        <v>3676</v>
      </c>
      <c r="T547" s="2" t="s">
        <v>292</v>
      </c>
      <c r="U547" s="2" t="s">
        <v>485</v>
      </c>
      <c r="V547" s="2" t="s">
        <v>236</v>
      </c>
      <c r="W547" s="2" t="s">
        <v>901</v>
      </c>
      <c r="X547" s="2" t="s">
        <v>587</v>
      </c>
      <c r="Y547" s="2" t="s">
        <v>3677</v>
      </c>
      <c r="Z547" s="4">
        <v>186</v>
      </c>
      <c r="AA547" s="4">
        <f>=ROUNDDOWN(31,0)</f>
      </c>
      <c r="AB547" s="5">
        <v>6</v>
      </c>
      <c r="AC547" s="2" t="s">
        <v>116</v>
      </c>
      <c r="AD547" s="4">
        <v>100</v>
      </c>
      <c r="AE547" s="4">
        <v>200</v>
      </c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206</v>
      </c>
      <c r="AM547" s="4"/>
      <c r="AN547" s="4"/>
      <c r="AO547" s="7"/>
      <c r="AP547" s="4"/>
      <c r="AQ547" s="8"/>
      <c r="AR547" s="4"/>
      <c r="AS547" s="8"/>
      <c r="AT547" s="7"/>
      <c r="AU547" s="7"/>
      <c r="AV547" s="4" t="s">
        <v>206</v>
      </c>
      <c r="AW547" s="8" t="s">
        <v>206</v>
      </c>
      <c r="AX547" s="4" t="s">
        <v>206</v>
      </c>
      <c r="AY547" s="8" t="s">
        <v>206</v>
      </c>
      <c r="AZ547" s="7" t="s">
        <v>206</v>
      </c>
      <c r="BA547" s="7" t="s">
        <v>206</v>
      </c>
      <c r="BB547" s="7" t="s">
        <v>206</v>
      </c>
      <c r="BC547" s="4" t="s">
        <v>206</v>
      </c>
      <c r="BD547" s="8" t="s">
        <v>206</v>
      </c>
      <c r="BE547" s="4" t="s">
        <v>206</v>
      </c>
      <c r="BF547" s="8" t="s">
        <v>206</v>
      </c>
      <c r="BG547" s="7" t="s">
        <v>206</v>
      </c>
      <c r="BH547" s="7" t="s">
        <v>206</v>
      </c>
      <c r="BI547" s="7"/>
      <c r="BJ547" s="4">
        <v>9</v>
      </c>
      <c r="BK547" s="8">
        <v>565.36</v>
      </c>
      <c r="BL547" s="2" t="s">
        <v>3678</v>
      </c>
      <c r="BM547" s="7"/>
      <c r="BN547" s="7"/>
      <c r="BO547" s="4"/>
      <c r="BP547" s="8"/>
      <c r="BQ547" s="4"/>
      <c r="BR547" s="8"/>
      <c r="BS547" s="7"/>
      <c r="BT547" s="7"/>
      <c r="BU547" s="2" t="s">
        <v>3679</v>
      </c>
      <c r="BV547" s="2" t="s">
        <v>206</v>
      </c>
      <c r="BW547" s="2" t="s">
        <v>206</v>
      </c>
      <c r="BX547" s="2" t="s">
        <v>426</v>
      </c>
      <c r="BY547" s="2" t="s">
        <v>215</v>
      </c>
      <c r="BZ547" s="2" t="s">
        <v>203</v>
      </c>
      <c r="CA547" s="2" t="s">
        <v>3672</v>
      </c>
      <c r="CB547" s="2" t="s">
        <v>3680</v>
      </c>
      <c r="CC547" s="2" t="s">
        <v>218</v>
      </c>
      <c r="CD547" s="2" t="s">
        <v>206</v>
      </c>
      <c r="CE547" s="4">
        <v>186</v>
      </c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>
        <v>100</v>
      </c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>
        <v>100</v>
      </c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/>
      <c r="FD547" s="4"/>
      <c r="FE547" s="4"/>
      <c r="FF547" s="4"/>
      <c r="FG547" s="4"/>
      <c r="FH547" s="4"/>
      <c r="FI547" s="4"/>
      <c r="FJ547" s="4"/>
      <c r="FK547" s="4"/>
      <c r="FL547" s="4"/>
      <c r="FM547" s="4"/>
      <c r="FN547" s="4"/>
      <c r="FO547" s="4"/>
      <c r="FP547" s="4"/>
      <c r="FQ547" s="4"/>
      <c r="FR547" s="4"/>
      <c r="FS547" s="4"/>
      <c r="FT547" s="4"/>
      <c r="FU547" s="4"/>
      <c r="FV547" s="4"/>
      <c r="FW547" s="4"/>
      <c r="FX547" s="4"/>
      <c r="FY547" s="4"/>
      <c r="FZ547" s="4"/>
      <c r="GA547" s="4"/>
      <c r="GB547" s="4"/>
      <c r="GC547" s="4"/>
      <c r="GD547" s="4"/>
      <c r="GE547" s="4"/>
      <c r="GF547" s="4"/>
    </row>
    <row r="548">
      <c r="A548" s="2" t="s">
        <v>3681</v>
      </c>
      <c r="B548" s="2" t="s">
        <v>429</v>
      </c>
      <c r="C548" s="2" t="s">
        <v>1031</v>
      </c>
      <c r="D548" s="2" t="s">
        <v>2562</v>
      </c>
      <c r="E548" s="2" t="s">
        <v>2563</v>
      </c>
      <c r="F548" s="2" t="s">
        <v>3682</v>
      </c>
      <c r="G548" s="2" t="s">
        <v>3682</v>
      </c>
      <c r="H548" s="2" t="s">
        <v>3682</v>
      </c>
      <c r="I548" s="2" t="s">
        <v>3683</v>
      </c>
      <c r="J548" s="2" t="s">
        <v>3684</v>
      </c>
      <c r="K548" s="2" t="s">
        <v>833</v>
      </c>
      <c r="L548" s="3">
        <v>111.24</v>
      </c>
      <c r="M548" s="3">
        <v>116.8</v>
      </c>
      <c r="N548" s="3">
        <v>209.94</v>
      </c>
      <c r="O548" s="2" t="s">
        <v>203</v>
      </c>
      <c r="P548" s="2" t="s">
        <v>1037</v>
      </c>
      <c r="Q548" s="2" t="s">
        <v>205</v>
      </c>
      <c r="R548" s="2" t="s">
        <v>206</v>
      </c>
      <c r="S548" s="2" t="s">
        <v>3685</v>
      </c>
      <c r="T548" s="2" t="s">
        <v>206</v>
      </c>
      <c r="U548" s="2" t="s">
        <v>437</v>
      </c>
      <c r="V548" s="2" t="s">
        <v>809</v>
      </c>
      <c r="W548" s="2" t="s">
        <v>439</v>
      </c>
      <c r="X548" s="2" t="s">
        <v>914</v>
      </c>
      <c r="Y548" s="2" t="s">
        <v>742</v>
      </c>
      <c r="Z548" s="4">
        <v>994</v>
      </c>
      <c r="AA548" s="4">
        <f>=ROUNDDOWN(19.4901960784314,0)</f>
      </c>
      <c r="AB548" s="5">
        <v>51</v>
      </c>
      <c r="AC548" s="2" t="s">
        <v>114</v>
      </c>
      <c r="AD548" s="4">
        <v>50</v>
      </c>
      <c r="AE548" s="4">
        <v>400</v>
      </c>
      <c r="AF548" s="6">
        <v>65</v>
      </c>
      <c r="AG548" s="6">
        <v>48</v>
      </c>
      <c r="AH548" s="7">
        <v>0.871</v>
      </c>
      <c r="AI548" s="4"/>
      <c r="AJ548" s="4">
        <f>=ROUNDDOWN({0},0)</f>
      </c>
      <c r="AK548" s="5"/>
      <c r="AL548" s="2" t="s">
        <v>206</v>
      </c>
      <c r="AM548" s="4"/>
      <c r="AN548" s="4"/>
      <c r="AO548" s="7"/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206</v>
      </c>
      <c r="BD548" s="8" t="s">
        <v>206</v>
      </c>
      <c r="BE548" s="4" t="s">
        <v>206</v>
      </c>
      <c r="BF548" s="8" t="s">
        <v>206</v>
      </c>
      <c r="BG548" s="7" t="s">
        <v>206</v>
      </c>
      <c r="BH548" s="7" t="s">
        <v>206</v>
      </c>
      <c r="BI548" s="7"/>
      <c r="BJ548" s="4">
        <v>470</v>
      </c>
      <c r="BK548" s="8">
        <v>51565.82</v>
      </c>
      <c r="BL548" s="2" t="s">
        <v>3686</v>
      </c>
      <c r="BM548" s="7"/>
      <c r="BN548" s="7"/>
      <c r="BO548" s="4"/>
      <c r="BP548" s="8"/>
      <c r="BQ548" s="4"/>
      <c r="BR548" s="8"/>
      <c r="BS548" s="7"/>
      <c r="BT548" s="7"/>
      <c r="BU548" s="2" t="s">
        <v>3687</v>
      </c>
      <c r="BV548" s="2" t="s">
        <v>206</v>
      </c>
      <c r="BW548" s="2" t="s">
        <v>206</v>
      </c>
      <c r="BX548" s="2" t="s">
        <v>3688</v>
      </c>
      <c r="BY548" s="2" t="s">
        <v>215</v>
      </c>
      <c r="BZ548" s="2" t="s">
        <v>203</v>
      </c>
      <c r="CA548" s="2" t="s">
        <v>3689</v>
      </c>
      <c r="CB548" s="2" t="s">
        <v>3690</v>
      </c>
      <c r="CC548" s="2" t="s">
        <v>218</v>
      </c>
      <c r="CD548" s="2" t="s">
        <v>206</v>
      </c>
      <c r="CE548" s="4"/>
      <c r="CF548" s="4">
        <v>84</v>
      </c>
      <c r="CG548" s="4"/>
      <c r="CH548" s="4"/>
      <c r="CI548" s="4"/>
      <c r="CJ548" s="4"/>
      <c r="CK548" s="4"/>
      <c r="CL548" s="4">
        <v>610</v>
      </c>
      <c r="CM548" s="4"/>
      <c r="CN548" s="4"/>
      <c r="CO548" s="4">
        <v>300</v>
      </c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>
        <v>50</v>
      </c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>
        <v>350</v>
      </c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  <c r="FD548" s="4"/>
      <c r="FE548" s="4"/>
      <c r="FF548" s="4"/>
      <c r="FG548" s="4"/>
      <c r="FH548" s="4"/>
      <c r="FI548" s="4"/>
      <c r="FJ548" s="4"/>
      <c r="FK548" s="4"/>
      <c r="FL548" s="4"/>
      <c r="FM548" s="4"/>
      <c r="FN548" s="4"/>
      <c r="FO548" s="4"/>
      <c r="FP548" s="4"/>
      <c r="FQ548" s="4"/>
      <c r="FR548" s="4"/>
      <c r="FS548" s="4"/>
      <c r="FT548" s="4"/>
      <c r="FU548" s="4"/>
      <c r="FV548" s="4"/>
      <c r="FW548" s="4"/>
      <c r="FX548" s="4"/>
      <c r="FY548" s="4"/>
      <c r="FZ548" s="4"/>
      <c r="GA548" s="4"/>
      <c r="GB548" s="4"/>
      <c r="GC548" s="4"/>
      <c r="GD548" s="4"/>
      <c r="GE548" s="4"/>
      <c r="GF548" s="4"/>
    </row>
    <row r="549">
      <c r="A549" s="2" t="s">
        <v>3691</v>
      </c>
      <c r="B549" s="2" t="s">
        <v>429</v>
      </c>
      <c r="C549" s="2" t="s">
        <v>1031</v>
      </c>
      <c r="D549" s="2" t="s">
        <v>2562</v>
      </c>
      <c r="E549" s="2" t="s">
        <v>2563</v>
      </c>
      <c r="F549" s="2" t="s">
        <v>3682</v>
      </c>
      <c r="G549" s="2" t="s">
        <v>3682</v>
      </c>
      <c r="H549" s="2" t="s">
        <v>3682</v>
      </c>
      <c r="I549" s="2" t="s">
        <v>3692</v>
      </c>
      <c r="J549" s="2" t="s">
        <v>3693</v>
      </c>
      <c r="K549" s="2" t="s">
        <v>1126</v>
      </c>
      <c r="L549" s="3">
        <v>74.11</v>
      </c>
      <c r="M549" s="3">
        <v>77.82</v>
      </c>
      <c r="N549" s="3">
        <v>141.94</v>
      </c>
      <c r="O549" s="2" t="s">
        <v>203</v>
      </c>
      <c r="P549" s="2" t="s">
        <v>204</v>
      </c>
      <c r="Q549" s="2" t="s">
        <v>205</v>
      </c>
      <c r="R549" s="2" t="s">
        <v>206</v>
      </c>
      <c r="S549" s="2" t="s">
        <v>206</v>
      </c>
      <c r="T549" s="2" t="s">
        <v>206</v>
      </c>
      <c r="U549" s="2" t="s">
        <v>437</v>
      </c>
      <c r="V549" s="2" t="s">
        <v>809</v>
      </c>
      <c r="W549" s="2" t="s">
        <v>439</v>
      </c>
      <c r="X549" s="2" t="s">
        <v>914</v>
      </c>
      <c r="Y549" s="2" t="s">
        <v>3694</v>
      </c>
      <c r="Z549" s="4">
        <v>362</v>
      </c>
      <c r="AA549" s="4">
        <f>=ROUNDDOWN(45.25,0)</f>
      </c>
      <c r="AB549" s="5">
        <v>8</v>
      </c>
      <c r="AC549" s="2" t="s">
        <v>206</v>
      </c>
      <c r="AD549" s="4"/>
      <c r="AE549" s="4"/>
      <c r="AF549" s="6">
        <v>65</v>
      </c>
      <c r="AG549" s="6">
        <v>48</v>
      </c>
      <c r="AH549" s="7">
        <v>1</v>
      </c>
      <c r="AI549" s="4"/>
      <c r="AJ549" s="4">
        <f>=ROUNDDOWN({0},0)</f>
      </c>
      <c r="AK549" s="5"/>
      <c r="AL549" s="2" t="s">
        <v>206</v>
      </c>
      <c r="AM549" s="4"/>
      <c r="AN549" s="4"/>
      <c r="AO549" s="7"/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 t="s">
        <v>206</v>
      </c>
      <c r="BD549" s="8" t="s">
        <v>206</v>
      </c>
      <c r="BE549" s="4" t="s">
        <v>206</v>
      </c>
      <c r="BF549" s="8" t="s">
        <v>206</v>
      </c>
      <c r="BG549" s="7" t="s">
        <v>206</v>
      </c>
      <c r="BH549" s="7" t="s">
        <v>206</v>
      </c>
      <c r="BI549" s="7"/>
      <c r="BJ549" s="4">
        <v>36</v>
      </c>
      <c r="BK549" s="8">
        <v>2740.77</v>
      </c>
      <c r="BL549" s="2" t="s">
        <v>3695</v>
      </c>
      <c r="BM549" s="7"/>
      <c r="BN549" s="7"/>
      <c r="BO549" s="4"/>
      <c r="BP549" s="8"/>
      <c r="BQ549" s="4"/>
      <c r="BR549" s="8"/>
      <c r="BS549" s="7"/>
      <c r="BT549" s="7"/>
      <c r="BU549" s="2" t="s">
        <v>3696</v>
      </c>
      <c r="BV549" s="2" t="s">
        <v>206</v>
      </c>
      <c r="BW549" s="2" t="s">
        <v>206</v>
      </c>
      <c r="BX549" s="2" t="s">
        <v>3688</v>
      </c>
      <c r="BY549" s="2" t="s">
        <v>215</v>
      </c>
      <c r="BZ549" s="2" t="s">
        <v>203</v>
      </c>
      <c r="CA549" s="2" t="s">
        <v>3697</v>
      </c>
      <c r="CB549" s="2" t="s">
        <v>3698</v>
      </c>
      <c r="CC549" s="2" t="s">
        <v>218</v>
      </c>
      <c r="CD549" s="2" t="s">
        <v>206</v>
      </c>
      <c r="CE549" s="4"/>
      <c r="CF549" s="4">
        <v>253</v>
      </c>
      <c r="CG549" s="4"/>
      <c r="CH549" s="4"/>
      <c r="CI549" s="4"/>
      <c r="CJ549" s="4"/>
      <c r="CK549" s="4"/>
      <c r="CL549" s="4"/>
      <c r="CM549" s="4"/>
      <c r="CN549" s="4"/>
      <c r="CO549" s="4">
        <v>109</v>
      </c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/>
      <c r="EZ549" s="4"/>
      <c r="FA549" s="4"/>
      <c r="FB549" s="4"/>
      <c r="FC549" s="4"/>
      <c r="FD549" s="4"/>
      <c r="FE549" s="4"/>
      <c r="FF549" s="4"/>
      <c r="FG549" s="4"/>
      <c r="FH549" s="4"/>
      <c r="FI549" s="4"/>
      <c r="FJ549" s="4"/>
      <c r="FK549" s="4"/>
      <c r="FL549" s="4"/>
      <c r="FM549" s="4"/>
      <c r="FN549" s="4"/>
      <c r="FO549" s="4"/>
      <c r="FP549" s="4"/>
      <c r="FQ549" s="4"/>
      <c r="FR549" s="4"/>
      <c r="FS549" s="4"/>
      <c r="FT549" s="4"/>
      <c r="FU549" s="4"/>
      <c r="FV549" s="4"/>
      <c r="FW549" s="4"/>
      <c r="FX549" s="4"/>
      <c r="FY549" s="4"/>
      <c r="FZ549" s="4"/>
      <c r="GA549" s="4"/>
      <c r="GB549" s="4"/>
      <c r="GC549" s="4"/>
      <c r="GD549" s="4"/>
      <c r="GE549" s="4"/>
      <c r="GF549" s="4"/>
    </row>
    <row r="550">
      <c r="A550" s="2" t="s">
        <v>3699</v>
      </c>
      <c r="B550" s="2" t="s">
        <v>461</v>
      </c>
      <c r="C550" s="2" t="s">
        <v>287</v>
      </c>
      <c r="D550" s="2" t="s">
        <v>463</v>
      </c>
      <c r="E550" s="2" t="s">
        <v>464</v>
      </c>
      <c r="F550" s="2" t="s">
        <v>3700</v>
      </c>
      <c r="G550" s="2" t="s">
        <v>3701</v>
      </c>
      <c r="H550" s="2" t="s">
        <v>3702</v>
      </c>
      <c r="I550" s="2" t="s">
        <v>464</v>
      </c>
      <c r="J550" s="2" t="s">
        <v>434</v>
      </c>
      <c r="K550" s="2" t="s">
        <v>3703</v>
      </c>
      <c r="L550" s="3">
        <v>142.86</v>
      </c>
      <c r="M550" s="3">
        <v>150</v>
      </c>
      <c r="N550" s="3">
        <v>299</v>
      </c>
      <c r="O550" s="2" t="s">
        <v>203</v>
      </c>
      <c r="P550" s="2" t="s">
        <v>467</v>
      </c>
      <c r="Q550" s="2" t="s">
        <v>205</v>
      </c>
      <c r="R550" s="2" t="s">
        <v>206</v>
      </c>
      <c r="S550" s="2" t="s">
        <v>206</v>
      </c>
      <c r="T550" s="2" t="s">
        <v>206</v>
      </c>
      <c r="U550" s="2" t="s">
        <v>437</v>
      </c>
      <c r="V550" s="2" t="s">
        <v>209</v>
      </c>
      <c r="W550" s="2" t="s">
        <v>539</v>
      </c>
      <c r="X550" s="2" t="s">
        <v>206</v>
      </c>
      <c r="Y550" s="2" t="s">
        <v>1795</v>
      </c>
      <c r="Z550" s="4">
        <v>265</v>
      </c>
      <c r="AA550" s="4">
        <f>=ROUNDDOWN(53,0)</f>
      </c>
      <c r="AB550" s="5">
        <v>5</v>
      </c>
      <c r="AC550" s="2" t="s">
        <v>2250</v>
      </c>
      <c r="AD550" s="4">
        <v>595</v>
      </c>
      <c r="AE550" s="4">
        <v>595</v>
      </c>
      <c r="AF550" s="6">
        <v>68</v>
      </c>
      <c r="AG550" s="6"/>
      <c r="AH550" s="7">
        <v>1</v>
      </c>
      <c r="AI550" s="4"/>
      <c r="AJ550" s="4">
        <f>=ROUNDDOWN({0},0)</f>
      </c>
      <c r="AK550" s="5"/>
      <c r="AL550" s="2" t="s">
        <v>206</v>
      </c>
      <c r="AM550" s="4"/>
      <c r="AN550" s="4"/>
      <c r="AO550" s="7"/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/>
      <c r="BD550" s="8"/>
      <c r="BE550" s="4"/>
      <c r="BF550" s="8"/>
      <c r="BG550" s="7"/>
      <c r="BH550" s="7"/>
      <c r="BI550" s="7"/>
      <c r="BJ550" s="4">
        <v>44</v>
      </c>
      <c r="BK550" s="8">
        <v>6376.12</v>
      </c>
      <c r="BL550" s="2" t="s">
        <v>3704</v>
      </c>
      <c r="BM550" s="7"/>
      <c r="BN550" s="7"/>
      <c r="BO550" s="4"/>
      <c r="BP550" s="8"/>
      <c r="BQ550" s="4"/>
      <c r="BR550" s="8"/>
      <c r="BS550" s="7"/>
      <c r="BT550" s="7"/>
      <c r="BU550" s="2" t="s">
        <v>3705</v>
      </c>
      <c r="BV550" s="2" t="s">
        <v>206</v>
      </c>
      <c r="BW550" s="2" t="s">
        <v>206</v>
      </c>
      <c r="BX550" s="2" t="s">
        <v>214</v>
      </c>
      <c r="BY550" s="2" t="s">
        <v>215</v>
      </c>
      <c r="BZ550" s="2" t="s">
        <v>203</v>
      </c>
      <c r="CA550" s="2" t="s">
        <v>1795</v>
      </c>
      <c r="CB550" s="2" t="s">
        <v>3706</v>
      </c>
      <c r="CC550" s="2" t="s">
        <v>218</v>
      </c>
      <c r="CD550" s="2" t="s">
        <v>206</v>
      </c>
      <c r="CE550" s="4"/>
      <c r="CF550" s="4">
        <v>265</v>
      </c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/>
      <c r="EZ550" s="4"/>
      <c r="FA550" s="4"/>
      <c r="FB550" s="4"/>
      <c r="FC550" s="4"/>
      <c r="FD550" s="4"/>
      <c r="FE550" s="4"/>
      <c r="FF550" s="4"/>
      <c r="FG550" s="4"/>
      <c r="FH550" s="4"/>
      <c r="FI550" s="4"/>
      <c r="FJ550" s="4"/>
      <c r="FK550" s="4"/>
      <c r="FL550" s="4"/>
      <c r="FM550" s="4">
        <v>595</v>
      </c>
      <c r="FN550" s="4"/>
      <c r="FO550" s="4"/>
      <c r="FP550" s="4"/>
      <c r="FQ550" s="4"/>
      <c r="FR550" s="4"/>
      <c r="FS550" s="4"/>
      <c r="FT550" s="4"/>
      <c r="FU550" s="4"/>
      <c r="FV550" s="4"/>
      <c r="FW550" s="4"/>
      <c r="FX550" s="4"/>
      <c r="FY550" s="4"/>
      <c r="FZ550" s="4"/>
      <c r="GA550" s="4"/>
      <c r="GB550" s="4"/>
      <c r="GC550" s="4"/>
      <c r="GD550" s="4"/>
      <c r="GE550" s="4"/>
      <c r="GF550" s="4"/>
    </row>
    <row r="551">
      <c r="A551" s="2" t="s">
        <v>3707</v>
      </c>
      <c r="B551" s="2" t="s">
        <v>461</v>
      </c>
      <c r="C551" s="2" t="s">
        <v>287</v>
      </c>
      <c r="D551" s="2" t="s">
        <v>975</v>
      </c>
      <c r="E551" s="2" t="s">
        <v>976</v>
      </c>
      <c r="F551" s="2" t="s">
        <v>3708</v>
      </c>
      <c r="G551" s="2" t="s">
        <v>3709</v>
      </c>
      <c r="H551" s="2" t="s">
        <v>3710</v>
      </c>
      <c r="I551" s="2" t="s">
        <v>2842</v>
      </c>
      <c r="J551" s="2" t="s">
        <v>434</v>
      </c>
      <c r="K551" s="2" t="s">
        <v>3711</v>
      </c>
      <c r="L551" s="3">
        <v>207</v>
      </c>
      <c r="M551" s="3">
        <v>217.35</v>
      </c>
      <c r="N551" s="3">
        <v>439</v>
      </c>
      <c r="O551" s="2" t="s">
        <v>203</v>
      </c>
      <c r="P551" s="2" t="s">
        <v>467</v>
      </c>
      <c r="Q551" s="2" t="s">
        <v>205</v>
      </c>
      <c r="R551" s="2" t="s">
        <v>206</v>
      </c>
      <c r="S551" s="2" t="s">
        <v>3712</v>
      </c>
      <c r="T551" s="2" t="s">
        <v>206</v>
      </c>
      <c r="U551" s="2" t="s">
        <v>206</v>
      </c>
      <c r="V551" s="2" t="s">
        <v>209</v>
      </c>
      <c r="W551" s="2" t="s">
        <v>539</v>
      </c>
      <c r="X551" s="2" t="s">
        <v>206</v>
      </c>
      <c r="Y551" s="2" t="s">
        <v>211</v>
      </c>
      <c r="Z551" s="4">
        <v>141</v>
      </c>
      <c r="AA551" s="4">
        <f>=ROUNDDOWN(28.2,0)</f>
      </c>
      <c r="AB551" s="5">
        <v>5</v>
      </c>
      <c r="AC551" s="2" t="s">
        <v>1085</v>
      </c>
      <c r="AD551" s="4">
        <v>100</v>
      </c>
      <c r="AE551" s="4">
        <v>100</v>
      </c>
      <c r="AF551" s="6">
        <v>74</v>
      </c>
      <c r="AG551" s="6"/>
      <c r="AH551" s="7">
        <v>1</v>
      </c>
      <c r="AI551" s="4"/>
      <c r="AJ551" s="4">
        <f>=ROUNDDOWN({0},0)</f>
      </c>
      <c r="AK551" s="5"/>
      <c r="AL551" s="2" t="s">
        <v>206</v>
      </c>
      <c r="AM551" s="4"/>
      <c r="AN551" s="4"/>
      <c r="AO551" s="7"/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/>
      <c r="BD551" s="8"/>
      <c r="BE551" s="4"/>
      <c r="BF551" s="8"/>
      <c r="BG551" s="7"/>
      <c r="BH551" s="7"/>
      <c r="BI551" s="7"/>
      <c r="BJ551" s="4">
        <v>25</v>
      </c>
      <c r="BK551" s="8">
        <v>4586.56</v>
      </c>
      <c r="BL551" s="2" t="s">
        <v>3713</v>
      </c>
      <c r="BM551" s="7"/>
      <c r="BN551" s="7"/>
      <c r="BO551" s="4"/>
      <c r="BP551" s="8"/>
      <c r="BQ551" s="4"/>
      <c r="BR551" s="8"/>
      <c r="BS551" s="7"/>
      <c r="BT551" s="7"/>
      <c r="BU551" s="2" t="s">
        <v>3714</v>
      </c>
      <c r="BV551" s="2" t="s">
        <v>206</v>
      </c>
      <c r="BW551" s="2" t="s">
        <v>206</v>
      </c>
      <c r="BX551" s="2" t="s">
        <v>214</v>
      </c>
      <c r="BY551" s="2" t="s">
        <v>215</v>
      </c>
      <c r="BZ551" s="2" t="s">
        <v>203</v>
      </c>
      <c r="CA551" s="2" t="s">
        <v>3715</v>
      </c>
      <c r="CB551" s="2" t="s">
        <v>3716</v>
      </c>
      <c r="CC551" s="2" t="s">
        <v>218</v>
      </c>
      <c r="CD551" s="2" t="s">
        <v>206</v>
      </c>
      <c r="CE551" s="4"/>
      <c r="CF551" s="4">
        <v>141</v>
      </c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  <c r="FE551" s="4"/>
      <c r="FF551" s="4"/>
      <c r="FG551" s="4"/>
      <c r="FH551" s="4"/>
      <c r="FI551" s="4"/>
      <c r="FJ551" s="4"/>
      <c r="FK551" s="4"/>
      <c r="FL551" s="4"/>
      <c r="FM551" s="4"/>
      <c r="FN551" s="4"/>
      <c r="FO551" s="4"/>
      <c r="FP551" s="4"/>
      <c r="FQ551" s="4"/>
      <c r="FR551" s="4"/>
      <c r="FS551" s="4"/>
      <c r="FT551" s="4"/>
      <c r="FU551" s="4">
        <v>100</v>
      </c>
      <c r="FV551" s="4"/>
      <c r="FW551" s="4"/>
      <c r="FX551" s="4"/>
      <c r="FY551" s="4"/>
      <c r="FZ551" s="4"/>
      <c r="GA551" s="4"/>
      <c r="GB551" s="4"/>
      <c r="GC551" s="4"/>
      <c r="GD551" s="4"/>
      <c r="GE551" s="4"/>
      <c r="GF551" s="4"/>
    </row>
    <row r="552">
      <c r="A552" s="2" t="s">
        <v>3717</v>
      </c>
      <c r="B552" s="2" t="s">
        <v>613</v>
      </c>
      <c r="C552" s="2" t="s">
        <v>1044</v>
      </c>
      <c r="D552" s="2" t="s">
        <v>628</v>
      </c>
      <c r="E552" s="2" t="s">
        <v>629</v>
      </c>
      <c r="F552" s="2" t="s">
        <v>3718</v>
      </c>
      <c r="G552" s="2" t="s">
        <v>3719</v>
      </c>
      <c r="H552" s="2" t="s">
        <v>3720</v>
      </c>
      <c r="I552" s="2" t="s">
        <v>3721</v>
      </c>
      <c r="J552" s="2" t="s">
        <v>631</v>
      </c>
      <c r="K552" s="2" t="s">
        <v>3722</v>
      </c>
      <c r="L552" s="3">
        <v>16.28</v>
      </c>
      <c r="M552" s="3">
        <v>17.09</v>
      </c>
      <c r="N552" s="3">
        <v>36.99</v>
      </c>
      <c r="O552" s="2" t="s">
        <v>203</v>
      </c>
      <c r="P552" s="2" t="s">
        <v>204</v>
      </c>
      <c r="Q552" s="2" t="s">
        <v>205</v>
      </c>
      <c r="R552" s="2" t="s">
        <v>206</v>
      </c>
      <c r="S552" s="2" t="s">
        <v>3723</v>
      </c>
      <c r="T552" s="2" t="s">
        <v>206</v>
      </c>
      <c r="U552" s="2" t="s">
        <v>206</v>
      </c>
      <c r="V552" s="2" t="s">
        <v>209</v>
      </c>
      <c r="W552" s="2" t="s">
        <v>210</v>
      </c>
      <c r="X552" s="2" t="s">
        <v>1164</v>
      </c>
      <c r="Y552" s="2" t="s">
        <v>3258</v>
      </c>
      <c r="Z552" s="4">
        <v>320</v>
      </c>
      <c r="AA552" s="4">
        <f>=ROUNDDOWN(32,0)</f>
      </c>
      <c r="AB552" s="5">
        <v>10</v>
      </c>
      <c r="AC552" s="2" t="s">
        <v>2250</v>
      </c>
      <c r="AD552" s="4">
        <v>100</v>
      </c>
      <c r="AE552" s="4">
        <v>100</v>
      </c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206</v>
      </c>
      <c r="AM552" s="4"/>
      <c r="AN552" s="4"/>
      <c r="AO552" s="7"/>
      <c r="AP552" s="4"/>
      <c r="AQ552" s="8"/>
      <c r="AR552" s="4"/>
      <c r="AS552" s="8"/>
      <c r="AT552" s="7"/>
      <c r="AU552" s="7"/>
      <c r="AV552" s="4" t="s">
        <v>206</v>
      </c>
      <c r="AW552" s="8" t="s">
        <v>206</v>
      </c>
      <c r="AX552" s="4" t="s">
        <v>206</v>
      </c>
      <c r="AY552" s="8" t="s">
        <v>206</v>
      </c>
      <c r="AZ552" s="7" t="s">
        <v>206</v>
      </c>
      <c r="BA552" s="7" t="s">
        <v>206</v>
      </c>
      <c r="BB552" s="7"/>
      <c r="BC552" s="4" t="s">
        <v>206</v>
      </c>
      <c r="BD552" s="8" t="s">
        <v>206</v>
      </c>
      <c r="BE552" s="4" t="s">
        <v>206</v>
      </c>
      <c r="BF552" s="8" t="s">
        <v>206</v>
      </c>
      <c r="BG552" s="7" t="s">
        <v>206</v>
      </c>
      <c r="BH552" s="7" t="s">
        <v>206</v>
      </c>
      <c r="BI552" s="7"/>
      <c r="BJ552" s="4">
        <v>48</v>
      </c>
      <c r="BK552" s="8">
        <v>815.24</v>
      </c>
      <c r="BL552" s="2" t="s">
        <v>3724</v>
      </c>
      <c r="BM552" s="7"/>
      <c r="BN552" s="7"/>
      <c r="BO552" s="4"/>
      <c r="BP552" s="8"/>
      <c r="BQ552" s="4"/>
      <c r="BR552" s="8"/>
      <c r="BS552" s="7"/>
      <c r="BT552" s="7"/>
      <c r="BU552" s="2" t="s">
        <v>3725</v>
      </c>
      <c r="BV552" s="2" t="s">
        <v>206</v>
      </c>
      <c r="BW552" s="2" t="s">
        <v>206</v>
      </c>
      <c r="BX552" s="2" t="s">
        <v>214</v>
      </c>
      <c r="BY552" s="2" t="s">
        <v>215</v>
      </c>
      <c r="BZ552" s="2" t="s">
        <v>203</v>
      </c>
      <c r="CA552" s="2" t="s">
        <v>3260</v>
      </c>
      <c r="CB552" s="2" t="s">
        <v>3726</v>
      </c>
      <c r="CC552" s="2" t="s">
        <v>218</v>
      </c>
      <c r="CD552" s="2" t="s">
        <v>206</v>
      </c>
      <c r="CE552" s="4">
        <v>320</v>
      </c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/>
      <c r="FJ552" s="4"/>
      <c r="FK552" s="4"/>
      <c r="FL552" s="4"/>
      <c r="FM552" s="4">
        <v>100</v>
      </c>
      <c r="FN552" s="4"/>
      <c r="FO552" s="4"/>
      <c r="FP552" s="4"/>
      <c r="FQ552" s="4"/>
      <c r="FR552" s="4"/>
      <c r="FS552" s="4"/>
      <c r="FT552" s="4"/>
      <c r="FU552" s="4"/>
      <c r="FV552" s="4"/>
      <c r="FW552" s="4"/>
      <c r="FX552" s="4"/>
      <c r="FY552" s="4"/>
      <c r="FZ552" s="4"/>
      <c r="GA552" s="4"/>
      <c r="GB552" s="4"/>
      <c r="GC552" s="4"/>
      <c r="GD552" s="4"/>
      <c r="GE552" s="4"/>
      <c r="GF552" s="4"/>
    </row>
    <row r="553">
      <c r="A553" s="2" t="s">
        <v>3727</v>
      </c>
      <c r="B553" s="2" t="s">
        <v>613</v>
      </c>
      <c r="C553" s="2" t="s">
        <v>1044</v>
      </c>
      <c r="D553" s="2" t="s">
        <v>628</v>
      </c>
      <c r="E553" s="2" t="s">
        <v>629</v>
      </c>
      <c r="F553" s="2" t="s">
        <v>3718</v>
      </c>
      <c r="G553" s="2" t="s">
        <v>3719</v>
      </c>
      <c r="H553" s="2" t="s">
        <v>3720</v>
      </c>
      <c r="I553" s="2" t="s">
        <v>3721</v>
      </c>
      <c r="J553" s="2" t="s">
        <v>3728</v>
      </c>
      <c r="K553" s="2" t="s">
        <v>3722</v>
      </c>
      <c r="L553" s="3">
        <v>12.76</v>
      </c>
      <c r="M553" s="3">
        <v>13.4</v>
      </c>
      <c r="N553" s="3">
        <v>28.99</v>
      </c>
      <c r="O553" s="2" t="s">
        <v>203</v>
      </c>
      <c r="P553" s="2" t="s">
        <v>204</v>
      </c>
      <c r="Q553" s="2" t="s">
        <v>205</v>
      </c>
      <c r="R553" s="2" t="s">
        <v>206</v>
      </c>
      <c r="S553" s="2" t="s">
        <v>3723</v>
      </c>
      <c r="T553" s="2" t="s">
        <v>206</v>
      </c>
      <c r="U553" s="2" t="s">
        <v>206</v>
      </c>
      <c r="V553" s="2" t="s">
        <v>209</v>
      </c>
      <c r="W553" s="2" t="s">
        <v>210</v>
      </c>
      <c r="X553" s="2" t="s">
        <v>1164</v>
      </c>
      <c r="Y553" s="2" t="s">
        <v>3258</v>
      </c>
      <c r="Z553" s="4">
        <v>183</v>
      </c>
      <c r="AA553" s="4">
        <f>=ROUNDDOWN(26.1428571428571,0)</f>
      </c>
      <c r="AB553" s="5">
        <v>7</v>
      </c>
      <c r="AC553" s="2" t="s">
        <v>2250</v>
      </c>
      <c r="AD553" s="4">
        <v>112</v>
      </c>
      <c r="AE553" s="4">
        <v>112</v>
      </c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206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 t="s">
        <v>206</v>
      </c>
      <c r="AW553" s="8" t="s">
        <v>206</v>
      </c>
      <c r="AX553" s="4" t="s">
        <v>206</v>
      </c>
      <c r="AY553" s="8" t="s">
        <v>206</v>
      </c>
      <c r="AZ553" s="7" t="s">
        <v>206</v>
      </c>
      <c r="BA553" s="7" t="s">
        <v>206</v>
      </c>
      <c r="BB553" s="7"/>
      <c r="BC553" s="4" t="s">
        <v>206</v>
      </c>
      <c r="BD553" s="8" t="s">
        <v>206</v>
      </c>
      <c r="BE553" s="4" t="s">
        <v>206</v>
      </c>
      <c r="BF553" s="8" t="s">
        <v>206</v>
      </c>
      <c r="BG553" s="7" t="s">
        <v>206</v>
      </c>
      <c r="BH553" s="7" t="s">
        <v>206</v>
      </c>
      <c r="BI553" s="7"/>
      <c r="BJ553" s="4">
        <v>35</v>
      </c>
      <c r="BK553" s="8">
        <v>523.34</v>
      </c>
      <c r="BL553" s="2" t="s">
        <v>3729</v>
      </c>
      <c r="BM553" s="7"/>
      <c r="BN553" s="7"/>
      <c r="BO553" s="4"/>
      <c r="BP553" s="8"/>
      <c r="BQ553" s="4"/>
      <c r="BR553" s="8"/>
      <c r="BS553" s="7"/>
      <c r="BT553" s="7"/>
      <c r="BU553" s="2" t="s">
        <v>3730</v>
      </c>
      <c r="BV553" s="2" t="s">
        <v>206</v>
      </c>
      <c r="BW553" s="2" t="s">
        <v>206</v>
      </c>
      <c r="BX553" s="2" t="s">
        <v>214</v>
      </c>
      <c r="BY553" s="2" t="s">
        <v>215</v>
      </c>
      <c r="BZ553" s="2" t="s">
        <v>203</v>
      </c>
      <c r="CA553" s="2" t="s">
        <v>3260</v>
      </c>
      <c r="CB553" s="2" t="s">
        <v>866</v>
      </c>
      <c r="CC553" s="2" t="s">
        <v>218</v>
      </c>
      <c r="CD553" s="2" t="s">
        <v>206</v>
      </c>
      <c r="CE553" s="4">
        <v>183</v>
      </c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  <c r="FG553" s="4"/>
      <c r="FH553" s="4"/>
      <c r="FI553" s="4"/>
      <c r="FJ553" s="4"/>
      <c r="FK553" s="4"/>
      <c r="FL553" s="4"/>
      <c r="FM553" s="4">
        <v>112</v>
      </c>
      <c r="FN553" s="4"/>
      <c r="FO553" s="4"/>
      <c r="FP553" s="4"/>
      <c r="FQ553" s="4"/>
      <c r="FR553" s="4"/>
      <c r="FS553" s="4"/>
      <c r="FT553" s="4"/>
      <c r="FU553" s="4"/>
      <c r="FV553" s="4"/>
      <c r="FW553" s="4"/>
      <c r="FX553" s="4"/>
      <c r="FY553" s="4"/>
      <c r="FZ553" s="4"/>
      <c r="GA553" s="4"/>
      <c r="GB553" s="4"/>
      <c r="GC553" s="4"/>
      <c r="GD553" s="4"/>
      <c r="GE553" s="4"/>
      <c r="GF553" s="4"/>
    </row>
    <row r="554">
      <c r="A554" s="2" t="s">
        <v>3731</v>
      </c>
      <c r="B554" s="2" t="s">
        <v>613</v>
      </c>
      <c r="C554" s="2" t="s">
        <v>1044</v>
      </c>
      <c r="D554" s="2" t="s">
        <v>628</v>
      </c>
      <c r="E554" s="2" t="s">
        <v>629</v>
      </c>
      <c r="F554" s="2" t="s">
        <v>3718</v>
      </c>
      <c r="G554" s="2" t="s">
        <v>3719</v>
      </c>
      <c r="H554" s="2" t="s">
        <v>3720</v>
      </c>
      <c r="I554" s="2" t="s">
        <v>3721</v>
      </c>
      <c r="J554" s="2" t="s">
        <v>3728</v>
      </c>
      <c r="K554" s="2" t="s">
        <v>336</v>
      </c>
      <c r="L554" s="3">
        <v>12.76</v>
      </c>
      <c r="M554" s="3">
        <v>13.4</v>
      </c>
      <c r="N554" s="3">
        <v>28.99</v>
      </c>
      <c r="O554" s="2" t="s">
        <v>203</v>
      </c>
      <c r="P554" s="2" t="s">
        <v>204</v>
      </c>
      <c r="Q554" s="2" t="s">
        <v>205</v>
      </c>
      <c r="R554" s="2" t="s">
        <v>206</v>
      </c>
      <c r="S554" s="2" t="s">
        <v>3732</v>
      </c>
      <c r="T554" s="2" t="s">
        <v>206</v>
      </c>
      <c r="U554" s="2" t="s">
        <v>206</v>
      </c>
      <c r="V554" s="2" t="s">
        <v>209</v>
      </c>
      <c r="W554" s="2" t="s">
        <v>210</v>
      </c>
      <c r="X554" s="2" t="s">
        <v>1164</v>
      </c>
      <c r="Y554" s="2" t="s">
        <v>3258</v>
      </c>
      <c r="Z554" s="4">
        <v>174</v>
      </c>
      <c r="AA554" s="4">
        <f>=ROUNDDOWN(13.3846153846154,0)</f>
      </c>
      <c r="AB554" s="5">
        <v>13</v>
      </c>
      <c r="AC554" s="2" t="s">
        <v>115</v>
      </c>
      <c r="AD554" s="4">
        <v>220</v>
      </c>
      <c r="AE554" s="4">
        <v>300</v>
      </c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206</v>
      </c>
      <c r="AM554" s="4"/>
      <c r="AN554" s="4"/>
      <c r="AO554" s="7"/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206</v>
      </c>
      <c r="BD554" s="8" t="s">
        <v>206</v>
      </c>
      <c r="BE554" s="4" t="s">
        <v>206</v>
      </c>
      <c r="BF554" s="8" t="s">
        <v>206</v>
      </c>
      <c r="BG554" s="7" t="s">
        <v>206</v>
      </c>
      <c r="BH554" s="7" t="s">
        <v>206</v>
      </c>
      <c r="BI554" s="7"/>
      <c r="BJ554" s="4">
        <v>21</v>
      </c>
      <c r="BK554" s="8">
        <v>289.64</v>
      </c>
      <c r="BL554" s="2" t="s">
        <v>3733</v>
      </c>
      <c r="BM554" s="7"/>
      <c r="BN554" s="7"/>
      <c r="BO554" s="4"/>
      <c r="BP554" s="8"/>
      <c r="BQ554" s="4"/>
      <c r="BR554" s="8"/>
      <c r="BS554" s="7"/>
      <c r="BT554" s="7"/>
      <c r="BU554" s="2" t="s">
        <v>3734</v>
      </c>
      <c r="BV554" s="2" t="s">
        <v>206</v>
      </c>
      <c r="BW554" s="2" t="s">
        <v>206</v>
      </c>
      <c r="BX554" s="2" t="s">
        <v>214</v>
      </c>
      <c r="BY554" s="2" t="s">
        <v>215</v>
      </c>
      <c r="BZ554" s="2" t="s">
        <v>203</v>
      </c>
      <c r="CA554" s="2" t="s">
        <v>3260</v>
      </c>
      <c r="CB554" s="2" t="s">
        <v>3735</v>
      </c>
      <c r="CC554" s="2" t="s">
        <v>218</v>
      </c>
      <c r="CD554" s="2" t="s">
        <v>206</v>
      </c>
      <c r="CE554" s="4">
        <v>174</v>
      </c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>
        <v>220</v>
      </c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>
        <v>80</v>
      </c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  <c r="FG554" s="4"/>
      <c r="FH554" s="4"/>
      <c r="FI554" s="4"/>
      <c r="FJ554" s="4"/>
      <c r="FK554" s="4"/>
      <c r="FL554" s="4"/>
      <c r="FM554" s="4"/>
      <c r="FN554" s="4"/>
      <c r="FO554" s="4"/>
      <c r="FP554" s="4"/>
      <c r="FQ554" s="4"/>
      <c r="FR554" s="4"/>
      <c r="FS554" s="4"/>
      <c r="FT554" s="4"/>
      <c r="FU554" s="4"/>
      <c r="FV554" s="4"/>
      <c r="FW554" s="4"/>
      <c r="FX554" s="4"/>
      <c r="FY554" s="4"/>
      <c r="FZ554" s="4"/>
      <c r="GA554" s="4"/>
      <c r="GB554" s="4"/>
      <c r="GC554" s="4"/>
      <c r="GD554" s="4"/>
      <c r="GE554" s="4"/>
      <c r="GF554" s="4"/>
    </row>
    <row r="555">
      <c r="A555" s="2" t="s">
        <v>3736</v>
      </c>
      <c r="B555" s="2" t="s">
        <v>613</v>
      </c>
      <c r="C555" s="2" t="s">
        <v>1044</v>
      </c>
      <c r="D555" s="2" t="s">
        <v>628</v>
      </c>
      <c r="E555" s="2" t="s">
        <v>629</v>
      </c>
      <c r="F555" s="2" t="s">
        <v>3718</v>
      </c>
      <c r="G555" s="2" t="s">
        <v>3719</v>
      </c>
      <c r="H555" s="2" t="s">
        <v>3720</v>
      </c>
      <c r="I555" s="2" t="s">
        <v>3721</v>
      </c>
      <c r="J555" s="2" t="s">
        <v>3728</v>
      </c>
      <c r="K555" s="2" t="s">
        <v>1060</v>
      </c>
      <c r="L555" s="3">
        <v>12.76</v>
      </c>
      <c r="M555" s="3">
        <v>13.4</v>
      </c>
      <c r="N555" s="3">
        <v>28.99</v>
      </c>
      <c r="O555" s="2" t="s">
        <v>203</v>
      </c>
      <c r="P555" s="2" t="s">
        <v>204</v>
      </c>
      <c r="Q555" s="2" t="s">
        <v>205</v>
      </c>
      <c r="R555" s="2" t="s">
        <v>206</v>
      </c>
      <c r="S555" s="2" t="s">
        <v>3737</v>
      </c>
      <c r="T555" s="2" t="s">
        <v>206</v>
      </c>
      <c r="U555" s="2" t="s">
        <v>206</v>
      </c>
      <c r="V555" s="2" t="s">
        <v>209</v>
      </c>
      <c r="W555" s="2" t="s">
        <v>210</v>
      </c>
      <c r="X555" s="2" t="s">
        <v>1164</v>
      </c>
      <c r="Y555" s="2" t="s">
        <v>3258</v>
      </c>
      <c r="Z555" s="4">
        <v>110</v>
      </c>
      <c r="AA555" s="4">
        <f>=ROUNDDOWN(8.46153846153846,0)</f>
      </c>
      <c r="AB555" s="5">
        <v>13</v>
      </c>
      <c r="AC555" s="2" t="s">
        <v>115</v>
      </c>
      <c r="AD555" s="4">
        <v>132</v>
      </c>
      <c r="AE555" s="4">
        <v>332</v>
      </c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206</v>
      </c>
      <c r="AM555" s="4"/>
      <c r="AN555" s="4"/>
      <c r="AO555" s="7"/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 t="s">
        <v>206</v>
      </c>
      <c r="BD555" s="8" t="s">
        <v>206</v>
      </c>
      <c r="BE555" s="4" t="s">
        <v>206</v>
      </c>
      <c r="BF555" s="8" t="s">
        <v>206</v>
      </c>
      <c r="BG555" s="7" t="s">
        <v>206</v>
      </c>
      <c r="BH555" s="7" t="s">
        <v>206</v>
      </c>
      <c r="BI555" s="7"/>
      <c r="BJ555" s="4">
        <v>55</v>
      </c>
      <c r="BK555" s="8">
        <v>781.51</v>
      </c>
      <c r="BL555" s="2" t="s">
        <v>3729</v>
      </c>
      <c r="BM555" s="7"/>
      <c r="BN555" s="7"/>
      <c r="BO555" s="4"/>
      <c r="BP555" s="8"/>
      <c r="BQ555" s="4"/>
      <c r="BR555" s="8"/>
      <c r="BS555" s="7"/>
      <c r="BT555" s="7"/>
      <c r="BU555" s="2" t="s">
        <v>3738</v>
      </c>
      <c r="BV555" s="2" t="s">
        <v>206</v>
      </c>
      <c r="BW555" s="2" t="s">
        <v>206</v>
      </c>
      <c r="BX555" s="2" t="s">
        <v>214</v>
      </c>
      <c r="BY555" s="2" t="s">
        <v>215</v>
      </c>
      <c r="BZ555" s="2" t="s">
        <v>203</v>
      </c>
      <c r="CA555" s="2" t="s">
        <v>3260</v>
      </c>
      <c r="CB555" s="2" t="s">
        <v>3739</v>
      </c>
      <c r="CC555" s="2" t="s">
        <v>218</v>
      </c>
      <c r="CD555" s="2" t="s">
        <v>206</v>
      </c>
      <c r="CE555" s="4">
        <v>110</v>
      </c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>
        <v>132</v>
      </c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>
        <v>200</v>
      </c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  <c r="FG555" s="4"/>
      <c r="FH555" s="4"/>
      <c r="FI555" s="4"/>
      <c r="FJ555" s="4"/>
      <c r="FK555" s="4"/>
      <c r="FL555" s="4"/>
      <c r="FM555" s="4"/>
      <c r="FN555" s="4"/>
      <c r="FO555" s="4"/>
      <c r="FP555" s="4"/>
      <c r="FQ555" s="4"/>
      <c r="FR555" s="4"/>
      <c r="FS555" s="4"/>
      <c r="FT555" s="4"/>
      <c r="FU555" s="4"/>
      <c r="FV555" s="4"/>
      <c r="FW555" s="4"/>
      <c r="FX555" s="4"/>
      <c r="FY555" s="4"/>
      <c r="FZ555" s="4"/>
      <c r="GA555" s="4"/>
      <c r="GB555" s="4"/>
      <c r="GC555" s="4"/>
      <c r="GD555" s="4"/>
      <c r="GE555" s="4"/>
      <c r="GF555" s="4"/>
    </row>
    <row r="556">
      <c r="A556" s="2" t="s">
        <v>3740</v>
      </c>
      <c r="B556" s="2" t="s">
        <v>528</v>
      </c>
      <c r="C556" s="2" t="s">
        <v>1689</v>
      </c>
      <c r="D556" s="2" t="s">
        <v>529</v>
      </c>
      <c r="E556" s="2" t="s">
        <v>816</v>
      </c>
      <c r="F556" s="2" t="s">
        <v>3741</v>
      </c>
      <c r="G556" s="2" t="s">
        <v>3741</v>
      </c>
      <c r="H556" s="2" t="s">
        <v>3741</v>
      </c>
      <c r="I556" s="2" t="s">
        <v>820</v>
      </c>
      <c r="J556" s="2" t="s">
        <v>220</v>
      </c>
      <c r="K556" s="2" t="s">
        <v>202</v>
      </c>
      <c r="L556" s="3">
        <v>110</v>
      </c>
      <c r="M556" s="3">
        <v>115.49</v>
      </c>
      <c r="N556" s="3">
        <v>229.99</v>
      </c>
      <c r="O556" s="2" t="s">
        <v>203</v>
      </c>
      <c r="P556" s="2" t="s">
        <v>773</v>
      </c>
      <c r="Q556" s="2" t="s">
        <v>205</v>
      </c>
      <c r="R556" s="2" t="s">
        <v>206</v>
      </c>
      <c r="S556" s="2" t="s">
        <v>3742</v>
      </c>
      <c r="T556" s="2" t="s">
        <v>206</v>
      </c>
      <c r="U556" s="2" t="s">
        <v>235</v>
      </c>
      <c r="V556" s="2" t="s">
        <v>901</v>
      </c>
      <c r="W556" s="2" t="s">
        <v>901</v>
      </c>
      <c r="X556" s="2" t="s">
        <v>453</v>
      </c>
      <c r="Y556" s="2" t="s">
        <v>211</v>
      </c>
      <c r="Z556" s="4">
        <v>121</v>
      </c>
      <c r="AA556" s="4">
        <f>=ROUNDDOWN(60.5,0)</f>
      </c>
      <c r="AB556" s="5">
        <v>2</v>
      </c>
      <c r="AC556" s="2" t="s">
        <v>206</v>
      </c>
      <c r="AD556" s="4"/>
      <c r="AE556" s="4"/>
      <c r="AF556" s="6">
        <v>66</v>
      </c>
      <c r="AG556" s="6"/>
      <c r="AH556" s="7">
        <v>1</v>
      </c>
      <c r="AI556" s="4"/>
      <c r="AJ556" s="4">
        <f>=ROUNDDOWN({0},0)</f>
      </c>
      <c r="AK556" s="5"/>
      <c r="AL556" s="2" t="s">
        <v>206</v>
      </c>
      <c r="AM556" s="4"/>
      <c r="AN556" s="4"/>
      <c r="AO556" s="7"/>
      <c r="AP556" s="4"/>
      <c r="AQ556" s="8"/>
      <c r="AR556" s="4"/>
      <c r="AS556" s="8"/>
      <c r="AT556" s="7"/>
      <c r="AU556" s="7"/>
      <c r="AV556" s="4" t="s">
        <v>206</v>
      </c>
      <c r="AW556" s="8" t="s">
        <v>206</v>
      </c>
      <c r="AX556" s="4" t="s">
        <v>206</v>
      </c>
      <c r="AY556" s="8" t="s">
        <v>206</v>
      </c>
      <c r="AZ556" s="7" t="s">
        <v>206</v>
      </c>
      <c r="BA556" s="7" t="s">
        <v>206</v>
      </c>
      <c r="BB556" s="7"/>
      <c r="BC556" s="4" t="s">
        <v>206</v>
      </c>
      <c r="BD556" s="8" t="s">
        <v>206</v>
      </c>
      <c r="BE556" s="4" t="s">
        <v>206</v>
      </c>
      <c r="BF556" s="8" t="s">
        <v>206</v>
      </c>
      <c r="BG556" s="7" t="s">
        <v>206</v>
      </c>
      <c r="BH556" s="7" t="s">
        <v>206</v>
      </c>
      <c r="BI556" s="7"/>
      <c r="BJ556" s="4">
        <v>10</v>
      </c>
      <c r="BK556" s="8">
        <v>1149.49</v>
      </c>
      <c r="BL556" s="2" t="s">
        <v>3743</v>
      </c>
      <c r="BM556" s="7"/>
      <c r="BN556" s="7"/>
      <c r="BO556" s="4"/>
      <c r="BP556" s="8"/>
      <c r="BQ556" s="4"/>
      <c r="BR556" s="8"/>
      <c r="BS556" s="7"/>
      <c r="BT556" s="7"/>
      <c r="BU556" s="2" t="s">
        <v>3744</v>
      </c>
      <c r="BV556" s="2" t="s">
        <v>206</v>
      </c>
      <c r="BW556" s="2" t="s">
        <v>206</v>
      </c>
      <c r="BX556" s="2" t="s">
        <v>426</v>
      </c>
      <c r="BY556" s="2" t="s">
        <v>215</v>
      </c>
      <c r="BZ556" s="2" t="s">
        <v>203</v>
      </c>
      <c r="CA556" s="2" t="s">
        <v>216</v>
      </c>
      <c r="CB556" s="2" t="s">
        <v>3745</v>
      </c>
      <c r="CC556" s="2" t="s">
        <v>218</v>
      </c>
      <c r="CD556" s="2" t="s">
        <v>206</v>
      </c>
      <c r="CE556" s="4">
        <v>121</v>
      </c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  <c r="FE556" s="4"/>
      <c r="FF556" s="4"/>
      <c r="FG556" s="4"/>
      <c r="FH556" s="4"/>
      <c r="FI556" s="4"/>
      <c r="FJ556" s="4"/>
      <c r="FK556" s="4"/>
      <c r="FL556" s="4"/>
      <c r="FM556" s="4"/>
      <c r="FN556" s="4"/>
      <c r="FO556" s="4"/>
      <c r="FP556" s="4"/>
      <c r="FQ556" s="4"/>
      <c r="FR556" s="4"/>
      <c r="FS556" s="4"/>
      <c r="FT556" s="4"/>
      <c r="FU556" s="4"/>
      <c r="FV556" s="4"/>
      <c r="FW556" s="4"/>
      <c r="FX556" s="4"/>
      <c r="FY556" s="4"/>
      <c r="FZ556" s="4"/>
      <c r="GA556" s="4"/>
      <c r="GB556" s="4"/>
      <c r="GC556" s="4"/>
      <c r="GD556" s="4"/>
      <c r="GE556" s="4"/>
      <c r="GF556" s="4"/>
    </row>
    <row r="557">
      <c r="A557" s="2" t="s">
        <v>3746</v>
      </c>
      <c r="B557" s="2" t="s">
        <v>528</v>
      </c>
      <c r="C557" s="2" t="s">
        <v>1689</v>
      </c>
      <c r="D557" s="2" t="s">
        <v>548</v>
      </c>
      <c r="E557" s="2" t="s">
        <v>549</v>
      </c>
      <c r="F557" s="2" t="s">
        <v>3741</v>
      </c>
      <c r="G557" s="2" t="s">
        <v>3741</v>
      </c>
      <c r="H557" s="2" t="s">
        <v>3741</v>
      </c>
      <c r="I557" s="2" t="s">
        <v>1691</v>
      </c>
      <c r="J557" s="2" t="s">
        <v>231</v>
      </c>
      <c r="K557" s="2" t="s">
        <v>202</v>
      </c>
      <c r="L557" s="3">
        <v>109.19</v>
      </c>
      <c r="M557" s="3">
        <v>114.65</v>
      </c>
      <c r="N557" s="3">
        <v>224.99</v>
      </c>
      <c r="O557" s="2" t="s">
        <v>203</v>
      </c>
      <c r="P557" s="2" t="s">
        <v>773</v>
      </c>
      <c r="Q557" s="2" t="s">
        <v>205</v>
      </c>
      <c r="R557" s="2" t="s">
        <v>206</v>
      </c>
      <c r="S557" s="2" t="s">
        <v>3742</v>
      </c>
      <c r="T557" s="2" t="s">
        <v>206</v>
      </c>
      <c r="U557" s="2" t="s">
        <v>206</v>
      </c>
      <c r="V557" s="2" t="s">
        <v>901</v>
      </c>
      <c r="W557" s="2" t="s">
        <v>901</v>
      </c>
      <c r="X557" s="2" t="s">
        <v>786</v>
      </c>
      <c r="Y557" s="2" t="s">
        <v>211</v>
      </c>
      <c r="Z557" s="4">
        <v>89</v>
      </c>
      <c r="AA557" s="4">
        <f>=ROUNDDOWN(37.0833333333333,0)</f>
      </c>
      <c r="AB557" s="5">
        <v>2.4</v>
      </c>
      <c r="AC557" s="2" t="s">
        <v>206</v>
      </c>
      <c r="AD557" s="4"/>
      <c r="AE557" s="4"/>
      <c r="AF557" s="6">
        <v>66</v>
      </c>
      <c r="AG557" s="6"/>
      <c r="AH557" s="7">
        <v>1</v>
      </c>
      <c r="AI557" s="4"/>
      <c r="AJ557" s="4">
        <f>=ROUNDDOWN({0},0)</f>
      </c>
      <c r="AK557" s="5"/>
      <c r="AL557" s="2" t="s">
        <v>206</v>
      </c>
      <c r="AM557" s="4"/>
      <c r="AN557" s="4"/>
      <c r="AO557" s="7"/>
      <c r="AP557" s="4"/>
      <c r="AQ557" s="8"/>
      <c r="AR557" s="4"/>
      <c r="AS557" s="8"/>
      <c r="AT557" s="7"/>
      <c r="AU557" s="7"/>
      <c r="AV557" s="4" t="s">
        <v>206</v>
      </c>
      <c r="AW557" s="8" t="s">
        <v>206</v>
      </c>
      <c r="AX557" s="4" t="s">
        <v>206</v>
      </c>
      <c r="AY557" s="8" t="s">
        <v>206</v>
      </c>
      <c r="AZ557" s="7" t="s">
        <v>206</v>
      </c>
      <c r="BA557" s="7" t="s">
        <v>206</v>
      </c>
      <c r="BB557" s="7"/>
      <c r="BC557" s="4" t="s">
        <v>206</v>
      </c>
      <c r="BD557" s="8" t="s">
        <v>206</v>
      </c>
      <c r="BE557" s="4" t="s">
        <v>206</v>
      </c>
      <c r="BF557" s="8" t="s">
        <v>206</v>
      </c>
      <c r="BG557" s="7" t="s">
        <v>206</v>
      </c>
      <c r="BH557" s="7" t="s">
        <v>206</v>
      </c>
      <c r="BI557" s="7"/>
      <c r="BJ557" s="4">
        <v>11</v>
      </c>
      <c r="BK557" s="8">
        <v>1254.15</v>
      </c>
      <c r="BL557" s="2" t="s">
        <v>3747</v>
      </c>
      <c r="BM557" s="7"/>
      <c r="BN557" s="7"/>
      <c r="BO557" s="4"/>
      <c r="BP557" s="8"/>
      <c r="BQ557" s="4"/>
      <c r="BR557" s="8"/>
      <c r="BS557" s="7"/>
      <c r="BT557" s="7"/>
      <c r="BU557" s="2" t="s">
        <v>3748</v>
      </c>
      <c r="BV557" s="2" t="s">
        <v>206</v>
      </c>
      <c r="BW557" s="2" t="s">
        <v>206</v>
      </c>
      <c r="BX557" s="2" t="s">
        <v>214</v>
      </c>
      <c r="BY557" s="2" t="s">
        <v>215</v>
      </c>
      <c r="BZ557" s="2" t="s">
        <v>203</v>
      </c>
      <c r="CA557" s="2" t="s">
        <v>216</v>
      </c>
      <c r="CB557" s="2" t="s">
        <v>767</v>
      </c>
      <c r="CC557" s="2" t="s">
        <v>218</v>
      </c>
      <c r="CD557" s="2" t="s">
        <v>206</v>
      </c>
      <c r="CE557" s="4">
        <v>89</v>
      </c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  <c r="FE557" s="4"/>
      <c r="FF557" s="4"/>
      <c r="FG557" s="4"/>
      <c r="FH557" s="4"/>
      <c r="FI557" s="4"/>
      <c r="FJ557" s="4"/>
      <c r="FK557" s="4"/>
      <c r="FL557" s="4"/>
      <c r="FM557" s="4"/>
      <c r="FN557" s="4"/>
      <c r="FO557" s="4"/>
      <c r="FP557" s="4"/>
      <c r="FQ557" s="4"/>
      <c r="FR557" s="4"/>
      <c r="FS557" s="4"/>
      <c r="FT557" s="4"/>
      <c r="FU557" s="4"/>
      <c r="FV557" s="4"/>
      <c r="FW557" s="4"/>
      <c r="FX557" s="4"/>
      <c r="FY557" s="4"/>
      <c r="FZ557" s="4"/>
      <c r="GA557" s="4"/>
      <c r="GB557" s="4"/>
      <c r="GC557" s="4"/>
      <c r="GD557" s="4"/>
      <c r="GE557" s="4"/>
      <c r="GF557" s="4"/>
    </row>
    <row r="558">
      <c r="A558" s="2" t="s">
        <v>3749</v>
      </c>
      <c r="B558" s="2" t="s">
        <v>461</v>
      </c>
      <c r="C558" s="2" t="s">
        <v>462</v>
      </c>
      <c r="D558" s="2" t="s">
        <v>3750</v>
      </c>
      <c r="E558" s="2" t="s">
        <v>3751</v>
      </c>
      <c r="F558" s="2" t="s">
        <v>3752</v>
      </c>
      <c r="G558" s="2" t="s">
        <v>3752</v>
      </c>
      <c r="H558" s="2" t="s">
        <v>3752</v>
      </c>
      <c r="I558" s="2" t="s">
        <v>3753</v>
      </c>
      <c r="J558" s="2" t="s">
        <v>434</v>
      </c>
      <c r="K558" s="2" t="s">
        <v>2368</v>
      </c>
      <c r="L558" s="3">
        <v>118</v>
      </c>
      <c r="M558" s="3">
        <v>123.9</v>
      </c>
      <c r="N558" s="3">
        <v>249</v>
      </c>
      <c r="O558" s="2" t="s">
        <v>203</v>
      </c>
      <c r="P558" s="2" t="s">
        <v>204</v>
      </c>
      <c r="Q558" s="2" t="s">
        <v>205</v>
      </c>
      <c r="R558" s="2" t="s">
        <v>206</v>
      </c>
      <c r="S558" s="2" t="s">
        <v>3754</v>
      </c>
      <c r="T558" s="2" t="s">
        <v>206</v>
      </c>
      <c r="U558" s="2" t="s">
        <v>206</v>
      </c>
      <c r="V558" s="2" t="s">
        <v>209</v>
      </c>
      <c r="W558" s="2" t="s">
        <v>586</v>
      </c>
      <c r="X558" s="2" t="s">
        <v>206</v>
      </c>
      <c r="Y558" s="2" t="s">
        <v>211</v>
      </c>
      <c r="Z558" s="4">
        <v>94</v>
      </c>
      <c r="AA558" s="4">
        <f>=ROUNDDOWN(19.1836734693878,0)</f>
      </c>
      <c r="AB558" s="5">
        <v>4.9</v>
      </c>
      <c r="AC558" s="2" t="s">
        <v>3755</v>
      </c>
      <c r="AD558" s="4">
        <v>100</v>
      </c>
      <c r="AE558" s="4">
        <v>100</v>
      </c>
      <c r="AF558" s="6">
        <v>74</v>
      </c>
      <c r="AG558" s="6">
        <v>60</v>
      </c>
      <c r="AH558" s="7">
        <v>1</v>
      </c>
      <c r="AI558" s="4"/>
      <c r="AJ558" s="4">
        <f>=ROUNDDOWN({0},0)</f>
      </c>
      <c r="AK558" s="5"/>
      <c r="AL558" s="2" t="s">
        <v>206</v>
      </c>
      <c r="AM558" s="4"/>
      <c r="AN558" s="4"/>
      <c r="AO558" s="7"/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 t="s">
        <v>206</v>
      </c>
      <c r="BD558" s="8" t="s">
        <v>206</v>
      </c>
      <c r="BE558" s="4" t="s">
        <v>206</v>
      </c>
      <c r="BF558" s="8" t="s">
        <v>206</v>
      </c>
      <c r="BG558" s="7" t="s">
        <v>206</v>
      </c>
      <c r="BH558" s="7" t="s">
        <v>206</v>
      </c>
      <c r="BI558" s="7"/>
      <c r="BJ558" s="4">
        <v>31</v>
      </c>
      <c r="BK558" s="8">
        <v>3080.26</v>
      </c>
      <c r="BL558" s="2" t="s">
        <v>3756</v>
      </c>
      <c r="BM558" s="7"/>
      <c r="BN558" s="7"/>
      <c r="BO558" s="4"/>
      <c r="BP558" s="8"/>
      <c r="BQ558" s="4"/>
      <c r="BR558" s="8"/>
      <c r="BS558" s="7"/>
      <c r="BT558" s="7"/>
      <c r="BU558" s="2" t="s">
        <v>3757</v>
      </c>
      <c r="BV558" s="2" t="s">
        <v>206</v>
      </c>
      <c r="BW558" s="2" t="s">
        <v>206</v>
      </c>
      <c r="BX558" s="2" t="s">
        <v>214</v>
      </c>
      <c r="BY558" s="2" t="s">
        <v>215</v>
      </c>
      <c r="BZ558" s="2" t="s">
        <v>203</v>
      </c>
      <c r="CA558" s="2" t="s">
        <v>3758</v>
      </c>
      <c r="CB558" s="2" t="s">
        <v>2377</v>
      </c>
      <c r="CC558" s="2" t="s">
        <v>218</v>
      </c>
      <c r="CD558" s="2" t="s">
        <v>206</v>
      </c>
      <c r="CE558" s="4"/>
      <c r="CF558" s="4">
        <v>94</v>
      </c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>
        <v>100</v>
      </c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  <c r="FG558" s="4"/>
      <c r="FH558" s="4"/>
      <c r="FI558" s="4"/>
      <c r="FJ558" s="4"/>
      <c r="FK558" s="4"/>
      <c r="FL558" s="4"/>
      <c r="FM558" s="4"/>
      <c r="FN558" s="4"/>
      <c r="FO558" s="4"/>
      <c r="FP558" s="4"/>
      <c r="FQ558" s="4"/>
      <c r="FR558" s="4"/>
      <c r="FS558" s="4"/>
      <c r="FT558" s="4"/>
      <c r="FU558" s="4"/>
      <c r="FV558" s="4"/>
      <c r="FW558" s="4"/>
      <c r="FX558" s="4"/>
      <c r="FY558" s="4"/>
      <c r="FZ558" s="4"/>
      <c r="GA558" s="4"/>
      <c r="GB558" s="4"/>
      <c r="GC558" s="4"/>
      <c r="GD558" s="4"/>
      <c r="GE558" s="4"/>
      <c r="GF558" s="4"/>
    </row>
    <row r="559">
      <c r="A559" s="2" t="s">
        <v>3759</v>
      </c>
      <c r="B559" s="2" t="s">
        <v>546</v>
      </c>
      <c r="C559" s="2" t="s">
        <v>1316</v>
      </c>
      <c r="D559" s="2" t="s">
        <v>1612</v>
      </c>
      <c r="E559" s="2" t="s">
        <v>3280</v>
      </c>
      <c r="F559" s="2" t="s">
        <v>3752</v>
      </c>
      <c r="G559" s="2" t="s">
        <v>3760</v>
      </c>
      <c r="H559" s="2" t="s">
        <v>3761</v>
      </c>
      <c r="I559" s="2" t="s">
        <v>3762</v>
      </c>
      <c r="J559" s="2" t="s">
        <v>593</v>
      </c>
      <c r="K559" s="2" t="s">
        <v>353</v>
      </c>
      <c r="L559" s="3">
        <v>71.39</v>
      </c>
      <c r="M559" s="3">
        <v>74.96</v>
      </c>
      <c r="N559" s="3">
        <v>139.99</v>
      </c>
      <c r="O559" s="2" t="s">
        <v>203</v>
      </c>
      <c r="P559" s="2" t="s">
        <v>204</v>
      </c>
      <c r="Q559" s="2" t="s">
        <v>205</v>
      </c>
      <c r="R559" s="2" t="s">
        <v>206</v>
      </c>
      <c r="S559" s="2" t="s">
        <v>3763</v>
      </c>
      <c r="T559" s="2" t="s">
        <v>234</v>
      </c>
      <c r="U559" s="2" t="s">
        <v>556</v>
      </c>
      <c r="V559" s="2" t="s">
        <v>209</v>
      </c>
      <c r="W559" s="2" t="s">
        <v>439</v>
      </c>
      <c r="X559" s="2" t="s">
        <v>3764</v>
      </c>
      <c r="Y559" s="2" t="s">
        <v>3765</v>
      </c>
      <c r="Z559" s="4">
        <v>103</v>
      </c>
      <c r="AA559" s="4">
        <f>=ROUNDDOWN(103,0)</f>
      </c>
      <c r="AB559" s="5">
        <v>1</v>
      </c>
      <c r="AC559" s="2" t="s">
        <v>206</v>
      </c>
      <c r="AD559" s="4"/>
      <c r="AE559" s="4"/>
      <c r="AF559" s="6">
        <v>69</v>
      </c>
      <c r="AG559" s="6"/>
      <c r="AH559" s="7">
        <v>1</v>
      </c>
      <c r="AI559" s="4"/>
      <c r="AJ559" s="4">
        <f>=ROUNDDOWN({0},0)</f>
      </c>
      <c r="AK559" s="5"/>
      <c r="AL559" s="2" t="s">
        <v>206</v>
      </c>
      <c r="AM559" s="4"/>
      <c r="AN559" s="4"/>
      <c r="AO559" s="7"/>
      <c r="AP559" s="4"/>
      <c r="AQ559" s="8"/>
      <c r="AR559" s="4"/>
      <c r="AS559" s="8"/>
      <c r="AT559" s="7"/>
      <c r="AU559" s="7"/>
      <c r="AV559" s="4" t="s">
        <v>206</v>
      </c>
      <c r="AW559" s="8" t="s">
        <v>206</v>
      </c>
      <c r="AX559" s="4" t="s">
        <v>206</v>
      </c>
      <c r="AY559" s="8" t="s">
        <v>206</v>
      </c>
      <c r="AZ559" s="7" t="s">
        <v>206</v>
      </c>
      <c r="BA559" s="7" t="s">
        <v>206</v>
      </c>
      <c r="BB559" s="7"/>
      <c r="BC559" s="4" t="s">
        <v>206</v>
      </c>
      <c r="BD559" s="8" t="s">
        <v>206</v>
      </c>
      <c r="BE559" s="4" t="s">
        <v>206</v>
      </c>
      <c r="BF559" s="8" t="s">
        <v>206</v>
      </c>
      <c r="BG559" s="7" t="s">
        <v>206</v>
      </c>
      <c r="BH559" s="7" t="s">
        <v>206</v>
      </c>
      <c r="BI559" s="7"/>
      <c r="BJ559" s="4">
        <v>4</v>
      </c>
      <c r="BK559" s="8">
        <v>305.58</v>
      </c>
      <c r="BL559" s="2" t="s">
        <v>3766</v>
      </c>
      <c r="BM559" s="7"/>
      <c r="BN559" s="7"/>
      <c r="BO559" s="4"/>
      <c r="BP559" s="8"/>
      <c r="BQ559" s="4"/>
      <c r="BR559" s="8"/>
      <c r="BS559" s="7"/>
      <c r="BT559" s="7"/>
      <c r="BU559" s="2" t="s">
        <v>3767</v>
      </c>
      <c r="BV559" s="2" t="s">
        <v>206</v>
      </c>
      <c r="BW559" s="2" t="s">
        <v>206</v>
      </c>
      <c r="BX559" s="2" t="s">
        <v>214</v>
      </c>
      <c r="BY559" s="2" t="s">
        <v>215</v>
      </c>
      <c r="BZ559" s="2" t="s">
        <v>203</v>
      </c>
      <c r="CA559" s="2" t="s">
        <v>3765</v>
      </c>
      <c r="CB559" s="2" t="s">
        <v>3768</v>
      </c>
      <c r="CC559" s="2" t="s">
        <v>218</v>
      </c>
      <c r="CD559" s="2" t="s">
        <v>206</v>
      </c>
      <c r="CE559" s="4">
        <v>103</v>
      </c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  <c r="FG559" s="4"/>
      <c r="FH559" s="4"/>
      <c r="FI559" s="4"/>
      <c r="FJ559" s="4"/>
      <c r="FK559" s="4"/>
      <c r="FL559" s="4"/>
      <c r="FM559" s="4"/>
      <c r="FN559" s="4"/>
      <c r="FO559" s="4"/>
      <c r="FP559" s="4"/>
      <c r="FQ559" s="4"/>
      <c r="FR559" s="4"/>
      <c r="FS559" s="4"/>
      <c r="FT559" s="4"/>
      <c r="FU559" s="4"/>
      <c r="FV559" s="4"/>
      <c r="FW559" s="4"/>
      <c r="FX559" s="4"/>
      <c r="FY559" s="4"/>
      <c r="FZ559" s="4"/>
      <c r="GA559" s="4"/>
      <c r="GB559" s="4"/>
      <c r="GC559" s="4"/>
      <c r="GD559" s="4"/>
      <c r="GE559" s="4"/>
      <c r="GF559" s="4"/>
    </row>
    <row r="560">
      <c r="A560" s="2" t="s">
        <v>3769</v>
      </c>
      <c r="B560" s="2" t="s">
        <v>546</v>
      </c>
      <c r="C560" s="2" t="s">
        <v>1316</v>
      </c>
      <c r="D560" s="2" t="s">
        <v>1612</v>
      </c>
      <c r="E560" s="2" t="s">
        <v>3280</v>
      </c>
      <c r="F560" s="2" t="s">
        <v>3752</v>
      </c>
      <c r="G560" s="2" t="s">
        <v>3760</v>
      </c>
      <c r="H560" s="2" t="s">
        <v>3761</v>
      </c>
      <c r="I560" s="2" t="s">
        <v>3762</v>
      </c>
      <c r="J560" s="2" t="s">
        <v>582</v>
      </c>
      <c r="K560" s="2" t="s">
        <v>353</v>
      </c>
      <c r="L560" s="3">
        <v>81.59</v>
      </c>
      <c r="M560" s="3">
        <v>85.67</v>
      </c>
      <c r="N560" s="3">
        <v>159.99</v>
      </c>
      <c r="O560" s="2" t="s">
        <v>203</v>
      </c>
      <c r="P560" s="2" t="s">
        <v>204</v>
      </c>
      <c r="Q560" s="2" t="s">
        <v>205</v>
      </c>
      <c r="R560" s="2" t="s">
        <v>206</v>
      </c>
      <c r="S560" s="2" t="s">
        <v>3763</v>
      </c>
      <c r="T560" s="2" t="s">
        <v>234</v>
      </c>
      <c r="U560" s="2" t="s">
        <v>556</v>
      </c>
      <c r="V560" s="2" t="s">
        <v>209</v>
      </c>
      <c r="W560" s="2" t="s">
        <v>439</v>
      </c>
      <c r="X560" s="2" t="s">
        <v>3764</v>
      </c>
      <c r="Y560" s="2" t="s">
        <v>3765</v>
      </c>
      <c r="Z560" s="4">
        <v>61</v>
      </c>
      <c r="AA560" s="4">
        <f>=ROUNDDOWN(30.5,0)</f>
      </c>
      <c r="AB560" s="5">
        <v>2</v>
      </c>
      <c r="AC560" s="2" t="s">
        <v>137</v>
      </c>
      <c r="AD560" s="4">
        <v>60</v>
      </c>
      <c r="AE560" s="4">
        <v>60</v>
      </c>
      <c r="AF560" s="6">
        <v>69</v>
      </c>
      <c r="AG560" s="6"/>
      <c r="AH560" s="7">
        <v>1</v>
      </c>
      <c r="AI560" s="4"/>
      <c r="AJ560" s="4">
        <f>=ROUNDDOWN({0},0)</f>
      </c>
      <c r="AK560" s="5"/>
      <c r="AL560" s="2" t="s">
        <v>206</v>
      </c>
      <c r="AM560" s="4"/>
      <c r="AN560" s="4"/>
      <c r="AO560" s="7"/>
      <c r="AP560" s="4"/>
      <c r="AQ560" s="8"/>
      <c r="AR560" s="4"/>
      <c r="AS560" s="8"/>
      <c r="AT560" s="7"/>
      <c r="AU560" s="7"/>
      <c r="AV560" s="4" t="s">
        <v>206</v>
      </c>
      <c r="AW560" s="8" t="s">
        <v>206</v>
      </c>
      <c r="AX560" s="4" t="s">
        <v>206</v>
      </c>
      <c r="AY560" s="8" t="s">
        <v>206</v>
      </c>
      <c r="AZ560" s="7" t="s">
        <v>206</v>
      </c>
      <c r="BA560" s="7" t="s">
        <v>206</v>
      </c>
      <c r="BB560" s="7"/>
      <c r="BC560" s="4" t="s">
        <v>206</v>
      </c>
      <c r="BD560" s="8" t="s">
        <v>206</v>
      </c>
      <c r="BE560" s="4" t="s">
        <v>206</v>
      </c>
      <c r="BF560" s="8" t="s">
        <v>206</v>
      </c>
      <c r="BG560" s="7" t="s">
        <v>206</v>
      </c>
      <c r="BH560" s="7" t="s">
        <v>206</v>
      </c>
      <c r="BI560" s="7"/>
      <c r="BJ560" s="4">
        <v>11</v>
      </c>
      <c r="BK560" s="8">
        <v>918.86</v>
      </c>
      <c r="BL560" s="2" t="s">
        <v>3770</v>
      </c>
      <c r="BM560" s="7"/>
      <c r="BN560" s="7"/>
      <c r="BO560" s="4"/>
      <c r="BP560" s="8"/>
      <c r="BQ560" s="4"/>
      <c r="BR560" s="8"/>
      <c r="BS560" s="7"/>
      <c r="BT560" s="7"/>
      <c r="BU560" s="2" t="s">
        <v>3771</v>
      </c>
      <c r="BV560" s="2" t="s">
        <v>206</v>
      </c>
      <c r="BW560" s="2" t="s">
        <v>206</v>
      </c>
      <c r="BX560" s="2" t="s">
        <v>214</v>
      </c>
      <c r="BY560" s="2" t="s">
        <v>215</v>
      </c>
      <c r="BZ560" s="2" t="s">
        <v>203</v>
      </c>
      <c r="CA560" s="2" t="s">
        <v>3765</v>
      </c>
      <c r="CB560" s="2" t="s">
        <v>3772</v>
      </c>
      <c r="CC560" s="2" t="s">
        <v>218</v>
      </c>
      <c r="CD560" s="2" t="s">
        <v>206</v>
      </c>
      <c r="CE560" s="4">
        <v>61</v>
      </c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>
        <v>60</v>
      </c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/>
      <c r="FE560" s="4"/>
      <c r="FF560" s="4"/>
      <c r="FG560" s="4"/>
      <c r="FH560" s="4"/>
      <c r="FI560" s="4"/>
      <c r="FJ560" s="4"/>
      <c r="FK560" s="4"/>
      <c r="FL560" s="4"/>
      <c r="FM560" s="4"/>
      <c r="FN560" s="4"/>
      <c r="FO560" s="4"/>
      <c r="FP560" s="4"/>
      <c r="FQ560" s="4"/>
      <c r="FR560" s="4"/>
      <c r="FS560" s="4"/>
      <c r="FT560" s="4"/>
      <c r="FU560" s="4"/>
      <c r="FV560" s="4"/>
      <c r="FW560" s="4"/>
      <c r="FX560" s="4"/>
      <c r="FY560" s="4"/>
      <c r="FZ560" s="4"/>
      <c r="GA560" s="4"/>
      <c r="GB560" s="4"/>
      <c r="GC560" s="4"/>
      <c r="GD560" s="4"/>
      <c r="GE560" s="4"/>
      <c r="GF560" s="4"/>
    </row>
    <row r="561">
      <c r="A561" s="2" t="s">
        <v>3773</v>
      </c>
      <c r="B561" s="2" t="s">
        <v>225</v>
      </c>
      <c r="C561" s="2" t="s">
        <v>1145</v>
      </c>
      <c r="D561" s="2" t="s">
        <v>227</v>
      </c>
      <c r="E561" s="2" t="s">
        <v>228</v>
      </c>
      <c r="F561" s="2" t="s">
        <v>3774</v>
      </c>
      <c r="G561" s="2" t="s">
        <v>3774</v>
      </c>
      <c r="H561" s="2" t="s">
        <v>3774</v>
      </c>
      <c r="I561" s="2" t="s">
        <v>1950</v>
      </c>
      <c r="J561" s="2" t="s">
        <v>290</v>
      </c>
      <c r="K561" s="2" t="s">
        <v>3775</v>
      </c>
      <c r="L561" s="3">
        <v>15.4</v>
      </c>
      <c r="M561" s="3">
        <v>16.17</v>
      </c>
      <c r="N561" s="3">
        <v>34.99</v>
      </c>
      <c r="O561" s="2" t="s">
        <v>203</v>
      </c>
      <c r="P561" s="2" t="s">
        <v>204</v>
      </c>
      <c r="Q561" s="2" t="s">
        <v>205</v>
      </c>
      <c r="R561" s="2" t="s">
        <v>206</v>
      </c>
      <c r="S561" s="2" t="s">
        <v>3776</v>
      </c>
      <c r="T561" s="2" t="s">
        <v>292</v>
      </c>
      <c r="U561" s="2" t="s">
        <v>556</v>
      </c>
      <c r="V561" s="2" t="s">
        <v>3777</v>
      </c>
      <c r="W561" s="2" t="s">
        <v>439</v>
      </c>
      <c r="X561" s="2" t="s">
        <v>206</v>
      </c>
      <c r="Y561" s="2" t="s">
        <v>3778</v>
      </c>
      <c r="Z561" s="4">
        <v>247</v>
      </c>
      <c r="AA561" s="4">
        <f>=ROUNDDOWN(117.619047619048,0)</f>
      </c>
      <c r="AB561" s="5">
        <v>2.1</v>
      </c>
      <c r="AC561" s="2" t="s">
        <v>206</v>
      </c>
      <c r="AD561" s="4"/>
      <c r="AE561" s="4"/>
      <c r="AF561" s="6">
        <v>66</v>
      </c>
      <c r="AG561" s="6"/>
      <c r="AH561" s="7">
        <v>1</v>
      </c>
      <c r="AI561" s="4"/>
      <c r="AJ561" s="4">
        <f>=ROUNDDOWN({0},0)</f>
      </c>
      <c r="AK561" s="5"/>
      <c r="AL561" s="2" t="s">
        <v>206</v>
      </c>
      <c r="AM561" s="4"/>
      <c r="AN561" s="4"/>
      <c r="AO561" s="7"/>
      <c r="AP561" s="4"/>
      <c r="AQ561" s="8"/>
      <c r="AR561" s="4"/>
      <c r="AS561" s="8"/>
      <c r="AT561" s="7"/>
      <c r="AU561" s="7"/>
      <c r="AV561" s="4" t="s">
        <v>206</v>
      </c>
      <c r="AW561" s="8" t="s">
        <v>206</v>
      </c>
      <c r="AX561" s="4" t="s">
        <v>206</v>
      </c>
      <c r="AY561" s="8" t="s">
        <v>206</v>
      </c>
      <c r="AZ561" s="7" t="s">
        <v>206</v>
      </c>
      <c r="BA561" s="7" t="s">
        <v>206</v>
      </c>
      <c r="BB561" s="7"/>
      <c r="BC561" s="4" t="s">
        <v>206</v>
      </c>
      <c r="BD561" s="8" t="s">
        <v>206</v>
      </c>
      <c r="BE561" s="4" t="s">
        <v>206</v>
      </c>
      <c r="BF561" s="8" t="s">
        <v>206</v>
      </c>
      <c r="BG561" s="7" t="s">
        <v>206</v>
      </c>
      <c r="BH561" s="7" t="s">
        <v>206</v>
      </c>
      <c r="BI561" s="7"/>
      <c r="BJ561" s="4">
        <v>6</v>
      </c>
      <c r="BK561" s="8">
        <v>106.8</v>
      </c>
      <c r="BL561" s="2" t="s">
        <v>3779</v>
      </c>
      <c r="BM561" s="7"/>
      <c r="BN561" s="7"/>
      <c r="BO561" s="4"/>
      <c r="BP561" s="8"/>
      <c r="BQ561" s="4"/>
      <c r="BR561" s="8"/>
      <c r="BS561" s="7"/>
      <c r="BT561" s="7"/>
      <c r="BU561" s="2" t="s">
        <v>3780</v>
      </c>
      <c r="BV561" s="2" t="s">
        <v>206</v>
      </c>
      <c r="BW561" s="2" t="s">
        <v>206</v>
      </c>
      <c r="BX561" s="2" t="s">
        <v>214</v>
      </c>
      <c r="BY561" s="2" t="s">
        <v>215</v>
      </c>
      <c r="BZ561" s="2" t="s">
        <v>203</v>
      </c>
      <c r="CA561" s="2" t="s">
        <v>3781</v>
      </c>
      <c r="CB561" s="2" t="s">
        <v>3782</v>
      </c>
      <c r="CC561" s="2" t="s">
        <v>218</v>
      </c>
      <c r="CD561" s="2" t="s">
        <v>206</v>
      </c>
      <c r="CE561" s="4">
        <v>247</v>
      </c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/>
      <c r="FG561" s="4"/>
      <c r="FH561" s="4"/>
      <c r="FI561" s="4"/>
      <c r="FJ561" s="4"/>
      <c r="FK561" s="4"/>
      <c r="FL561" s="4"/>
      <c r="FM561" s="4"/>
      <c r="FN561" s="4"/>
      <c r="FO561" s="4"/>
      <c r="FP561" s="4"/>
      <c r="FQ561" s="4"/>
      <c r="FR561" s="4"/>
      <c r="FS561" s="4"/>
      <c r="FT561" s="4"/>
      <c r="FU561" s="4"/>
      <c r="FV561" s="4"/>
      <c r="FW561" s="4"/>
      <c r="FX561" s="4"/>
      <c r="FY561" s="4"/>
      <c r="FZ561" s="4"/>
      <c r="GA561" s="4"/>
      <c r="GB561" s="4"/>
      <c r="GC561" s="4"/>
      <c r="GD561" s="4"/>
      <c r="GE561" s="4"/>
      <c r="GF561" s="4"/>
    </row>
    <row r="562">
      <c r="A562" s="2" t="s">
        <v>3783</v>
      </c>
      <c r="B562" s="2" t="s">
        <v>225</v>
      </c>
      <c r="C562" s="2" t="s">
        <v>1145</v>
      </c>
      <c r="D562" s="2" t="s">
        <v>227</v>
      </c>
      <c r="E562" s="2" t="s">
        <v>228</v>
      </c>
      <c r="F562" s="2" t="s">
        <v>3774</v>
      </c>
      <c r="G562" s="2" t="s">
        <v>3774</v>
      </c>
      <c r="H562" s="2" t="s">
        <v>3774</v>
      </c>
      <c r="I562" s="2" t="s">
        <v>1950</v>
      </c>
      <c r="J562" s="2" t="s">
        <v>220</v>
      </c>
      <c r="K562" s="2" t="s">
        <v>3775</v>
      </c>
      <c r="L562" s="3">
        <v>18</v>
      </c>
      <c r="M562" s="3">
        <v>18.9</v>
      </c>
      <c r="N562" s="3">
        <v>39.99</v>
      </c>
      <c r="O562" s="2" t="s">
        <v>203</v>
      </c>
      <c r="P562" s="2" t="s">
        <v>204</v>
      </c>
      <c r="Q562" s="2" t="s">
        <v>205</v>
      </c>
      <c r="R562" s="2" t="s">
        <v>206</v>
      </c>
      <c r="S562" s="2" t="s">
        <v>3776</v>
      </c>
      <c r="T562" s="2" t="s">
        <v>292</v>
      </c>
      <c r="U562" s="2" t="s">
        <v>235</v>
      </c>
      <c r="V562" s="2" t="s">
        <v>3777</v>
      </c>
      <c r="W562" s="2" t="s">
        <v>439</v>
      </c>
      <c r="X562" s="2" t="s">
        <v>206</v>
      </c>
      <c r="Y562" s="2" t="s">
        <v>3778</v>
      </c>
      <c r="Z562" s="4">
        <v>156</v>
      </c>
      <c r="AA562" s="4">
        <f>=ROUNDDOWN(27.8571428571429,0)</f>
      </c>
      <c r="AB562" s="5">
        <v>5.6</v>
      </c>
      <c r="AC562" s="2" t="s">
        <v>113</v>
      </c>
      <c r="AD562" s="4">
        <v>130</v>
      </c>
      <c r="AE562" s="4">
        <v>130</v>
      </c>
      <c r="AF562" s="6">
        <v>66</v>
      </c>
      <c r="AG562" s="6"/>
      <c r="AH562" s="7">
        <v>1</v>
      </c>
      <c r="AI562" s="4"/>
      <c r="AJ562" s="4">
        <f>=ROUNDDOWN({0},0)</f>
      </c>
      <c r="AK562" s="5"/>
      <c r="AL562" s="2" t="s">
        <v>206</v>
      </c>
      <c r="AM562" s="4"/>
      <c r="AN562" s="4"/>
      <c r="AO562" s="7"/>
      <c r="AP562" s="4"/>
      <c r="AQ562" s="8"/>
      <c r="AR562" s="4"/>
      <c r="AS562" s="8"/>
      <c r="AT562" s="7"/>
      <c r="AU562" s="7"/>
      <c r="AV562" s="4" t="s">
        <v>206</v>
      </c>
      <c r="AW562" s="8" t="s">
        <v>206</v>
      </c>
      <c r="AX562" s="4" t="s">
        <v>206</v>
      </c>
      <c r="AY562" s="8" t="s">
        <v>206</v>
      </c>
      <c r="AZ562" s="7" t="s">
        <v>206</v>
      </c>
      <c r="BA562" s="7" t="s">
        <v>206</v>
      </c>
      <c r="BB562" s="7"/>
      <c r="BC562" s="4" t="s">
        <v>206</v>
      </c>
      <c r="BD562" s="8" t="s">
        <v>206</v>
      </c>
      <c r="BE562" s="4" t="s">
        <v>206</v>
      </c>
      <c r="BF562" s="8" t="s">
        <v>206</v>
      </c>
      <c r="BG562" s="7" t="s">
        <v>206</v>
      </c>
      <c r="BH562" s="7" t="s">
        <v>206</v>
      </c>
      <c r="BI562" s="7"/>
      <c r="BJ562" s="4">
        <v>45</v>
      </c>
      <c r="BK562" s="8">
        <v>916.33</v>
      </c>
      <c r="BL562" s="2" t="s">
        <v>1297</v>
      </c>
      <c r="BM562" s="7"/>
      <c r="BN562" s="7"/>
      <c r="BO562" s="4"/>
      <c r="BP562" s="8"/>
      <c r="BQ562" s="4"/>
      <c r="BR562" s="8"/>
      <c r="BS562" s="7"/>
      <c r="BT562" s="7"/>
      <c r="BU562" s="2" t="s">
        <v>3784</v>
      </c>
      <c r="BV562" s="2" t="s">
        <v>206</v>
      </c>
      <c r="BW562" s="2" t="s">
        <v>206</v>
      </c>
      <c r="BX562" s="2" t="s">
        <v>214</v>
      </c>
      <c r="BY562" s="2" t="s">
        <v>215</v>
      </c>
      <c r="BZ562" s="2" t="s">
        <v>203</v>
      </c>
      <c r="CA562" s="2" t="s">
        <v>3781</v>
      </c>
      <c r="CB562" s="2" t="s">
        <v>2945</v>
      </c>
      <c r="CC562" s="2" t="s">
        <v>218</v>
      </c>
      <c r="CD562" s="2" t="s">
        <v>206</v>
      </c>
      <c r="CE562" s="4">
        <v>156</v>
      </c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>
        <v>130</v>
      </c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  <c r="FG562" s="4"/>
      <c r="FH562" s="4"/>
      <c r="FI562" s="4"/>
      <c r="FJ562" s="4"/>
      <c r="FK562" s="4"/>
      <c r="FL562" s="4"/>
      <c r="FM562" s="4"/>
      <c r="FN562" s="4"/>
      <c r="FO562" s="4"/>
      <c r="FP562" s="4"/>
      <c r="FQ562" s="4"/>
      <c r="FR562" s="4"/>
      <c r="FS562" s="4"/>
      <c r="FT562" s="4"/>
      <c r="FU562" s="4"/>
      <c r="FV562" s="4"/>
      <c r="FW562" s="4"/>
      <c r="FX562" s="4"/>
      <c r="FY562" s="4"/>
      <c r="FZ562" s="4"/>
      <c r="GA562" s="4"/>
      <c r="GB562" s="4"/>
      <c r="GC562" s="4"/>
      <c r="GD562" s="4"/>
      <c r="GE562" s="4"/>
      <c r="GF562" s="4"/>
    </row>
    <row r="563">
      <c r="A563" s="2" t="s">
        <v>3785</v>
      </c>
      <c r="B563" s="2" t="s">
        <v>225</v>
      </c>
      <c r="C563" s="2" t="s">
        <v>1145</v>
      </c>
      <c r="D563" s="2" t="s">
        <v>227</v>
      </c>
      <c r="E563" s="2" t="s">
        <v>228</v>
      </c>
      <c r="F563" s="2" t="s">
        <v>3774</v>
      </c>
      <c r="G563" s="2" t="s">
        <v>3774</v>
      </c>
      <c r="H563" s="2" t="s">
        <v>3774</v>
      </c>
      <c r="I563" s="2" t="s">
        <v>1950</v>
      </c>
      <c r="J563" s="2" t="s">
        <v>220</v>
      </c>
      <c r="K563" s="2" t="s">
        <v>3786</v>
      </c>
      <c r="L563" s="3">
        <v>18</v>
      </c>
      <c r="M563" s="3">
        <v>18.9</v>
      </c>
      <c r="N563" s="3">
        <v>39.99</v>
      </c>
      <c r="O563" s="2" t="s">
        <v>203</v>
      </c>
      <c r="P563" s="2" t="s">
        <v>204</v>
      </c>
      <c r="Q563" s="2" t="s">
        <v>205</v>
      </c>
      <c r="R563" s="2" t="s">
        <v>206</v>
      </c>
      <c r="S563" s="2" t="s">
        <v>3776</v>
      </c>
      <c r="T563" s="2" t="s">
        <v>292</v>
      </c>
      <c r="U563" s="2" t="s">
        <v>235</v>
      </c>
      <c r="V563" s="2" t="s">
        <v>3777</v>
      </c>
      <c r="W563" s="2" t="s">
        <v>439</v>
      </c>
      <c r="X563" s="2" t="s">
        <v>206</v>
      </c>
      <c r="Y563" s="2" t="s">
        <v>3778</v>
      </c>
      <c r="Z563" s="4">
        <v>246</v>
      </c>
      <c r="AA563" s="4">
        <f>=ROUNDDOWN(15.375,0)</f>
      </c>
      <c r="AB563" s="5">
        <v>16</v>
      </c>
      <c r="AC563" s="2" t="s">
        <v>113</v>
      </c>
      <c r="AD563" s="4">
        <v>150</v>
      </c>
      <c r="AE563" s="4">
        <v>470</v>
      </c>
      <c r="AF563" s="6">
        <v>66</v>
      </c>
      <c r="AG563" s="6"/>
      <c r="AH563" s="7">
        <v>1</v>
      </c>
      <c r="AI563" s="4"/>
      <c r="AJ563" s="4">
        <f>=ROUNDDOWN({0},0)</f>
      </c>
      <c r="AK563" s="5"/>
      <c r="AL563" s="2" t="s">
        <v>206</v>
      </c>
      <c r="AM563" s="4"/>
      <c r="AN563" s="4"/>
      <c r="AO563" s="7"/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 t="s">
        <v>206</v>
      </c>
      <c r="BD563" s="8" t="s">
        <v>206</v>
      </c>
      <c r="BE563" s="4" t="s">
        <v>206</v>
      </c>
      <c r="BF563" s="8" t="s">
        <v>206</v>
      </c>
      <c r="BG563" s="7" t="s">
        <v>206</v>
      </c>
      <c r="BH563" s="7" t="s">
        <v>206</v>
      </c>
      <c r="BI563" s="7"/>
      <c r="BJ563" s="4">
        <v>75</v>
      </c>
      <c r="BK563" s="8">
        <v>1486.13</v>
      </c>
      <c r="BL563" s="2" t="s">
        <v>3787</v>
      </c>
      <c r="BM563" s="7"/>
      <c r="BN563" s="7"/>
      <c r="BO563" s="4"/>
      <c r="BP563" s="8"/>
      <c r="BQ563" s="4"/>
      <c r="BR563" s="8"/>
      <c r="BS563" s="7"/>
      <c r="BT563" s="7"/>
      <c r="BU563" s="2" t="s">
        <v>3788</v>
      </c>
      <c r="BV563" s="2" t="s">
        <v>206</v>
      </c>
      <c r="BW563" s="2" t="s">
        <v>206</v>
      </c>
      <c r="BX563" s="2" t="s">
        <v>214</v>
      </c>
      <c r="BY563" s="2" t="s">
        <v>215</v>
      </c>
      <c r="BZ563" s="2" t="s">
        <v>203</v>
      </c>
      <c r="CA563" s="2" t="s">
        <v>3781</v>
      </c>
      <c r="CB563" s="2" t="s">
        <v>3789</v>
      </c>
      <c r="CC563" s="2" t="s">
        <v>218</v>
      </c>
      <c r="CD563" s="2" t="s">
        <v>206</v>
      </c>
      <c r="CE563" s="4">
        <v>246</v>
      </c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>
        <v>150</v>
      </c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>
        <v>160</v>
      </c>
      <c r="FD563" s="4"/>
      <c r="FE563" s="4"/>
      <c r="FF563" s="4"/>
      <c r="FG563" s="4"/>
      <c r="FH563" s="4"/>
      <c r="FI563" s="4"/>
      <c r="FJ563" s="4">
        <v>160</v>
      </c>
      <c r="FK563" s="4"/>
      <c r="FL563" s="4"/>
      <c r="FM563" s="4"/>
      <c r="FN563" s="4"/>
      <c r="FO563" s="4"/>
      <c r="FP563" s="4"/>
      <c r="FQ563" s="4"/>
      <c r="FR563" s="4"/>
      <c r="FS563" s="4"/>
      <c r="FT563" s="4"/>
      <c r="FU563" s="4"/>
      <c r="FV563" s="4"/>
      <c r="FW563" s="4"/>
      <c r="FX563" s="4"/>
      <c r="FY563" s="4"/>
      <c r="FZ563" s="4"/>
      <c r="GA563" s="4"/>
      <c r="GB563" s="4"/>
      <c r="GC563" s="4"/>
      <c r="GD563" s="4"/>
      <c r="GE563" s="4"/>
      <c r="GF563" s="4"/>
    </row>
    <row r="564">
      <c r="A564" s="2" t="s">
        <v>3790</v>
      </c>
      <c r="B564" s="2" t="s">
        <v>429</v>
      </c>
      <c r="C564" s="2" t="s">
        <v>287</v>
      </c>
      <c r="D564" s="2" t="s">
        <v>2562</v>
      </c>
      <c r="E564" s="2" t="s">
        <v>3791</v>
      </c>
      <c r="F564" s="2" t="s">
        <v>3792</v>
      </c>
      <c r="G564" s="2" t="s">
        <v>3792</v>
      </c>
      <c r="H564" s="2" t="s">
        <v>3792</v>
      </c>
      <c r="I564" s="2" t="s">
        <v>3793</v>
      </c>
      <c r="J564" s="2" t="s">
        <v>434</v>
      </c>
      <c r="K564" s="2" t="s">
        <v>833</v>
      </c>
      <c r="L564" s="3">
        <v>71.42</v>
      </c>
      <c r="M564" s="3">
        <v>75</v>
      </c>
      <c r="N564" s="3">
        <v>149.99</v>
      </c>
      <c r="O564" s="2" t="s">
        <v>203</v>
      </c>
      <c r="P564" s="2" t="s">
        <v>204</v>
      </c>
      <c r="Q564" s="2" t="s">
        <v>205</v>
      </c>
      <c r="R564" s="2" t="s">
        <v>206</v>
      </c>
      <c r="S564" s="2" t="s">
        <v>206</v>
      </c>
      <c r="T564" s="2" t="s">
        <v>206</v>
      </c>
      <c r="U564" s="2" t="s">
        <v>437</v>
      </c>
      <c r="V564" s="2" t="s">
        <v>468</v>
      </c>
      <c r="W564" s="2" t="s">
        <v>914</v>
      </c>
      <c r="X564" s="2" t="s">
        <v>914</v>
      </c>
      <c r="Y564" s="2" t="s">
        <v>3129</v>
      </c>
      <c r="Z564" s="4">
        <v>150</v>
      </c>
      <c r="AA564" s="4">
        <f>=ROUNDDOWN(30,0)</f>
      </c>
      <c r="AB564" s="5">
        <v>5</v>
      </c>
      <c r="AC564" s="2" t="s">
        <v>206</v>
      </c>
      <c r="AD564" s="4"/>
      <c r="AE564" s="4"/>
      <c r="AF564" s="6">
        <v>65</v>
      </c>
      <c r="AG564" s="6">
        <v>48</v>
      </c>
      <c r="AH564" s="7">
        <v>0</v>
      </c>
      <c r="AI564" s="4"/>
      <c r="AJ564" s="4">
        <f>=ROUNDDOWN({0},0)</f>
      </c>
      <c r="AK564" s="5"/>
      <c r="AL564" s="2" t="s">
        <v>206</v>
      </c>
      <c r="AM564" s="4"/>
      <c r="AN564" s="4"/>
      <c r="AO564" s="7"/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/>
      <c r="BD564" s="8"/>
      <c r="BE564" s="4"/>
      <c r="BF564" s="8"/>
      <c r="BG564" s="7"/>
      <c r="BH564" s="7"/>
      <c r="BI564" s="7"/>
      <c r="BJ564" s="4"/>
      <c r="BK564" s="8"/>
      <c r="BL564" s="2" t="s">
        <v>206</v>
      </c>
      <c r="BM564" s="7"/>
      <c r="BN564" s="7"/>
      <c r="BO564" s="4"/>
      <c r="BP564" s="8"/>
      <c r="BQ564" s="4"/>
      <c r="BR564" s="8"/>
      <c r="BS564" s="7"/>
      <c r="BT564" s="7"/>
      <c r="BU564" s="2" t="s">
        <v>3794</v>
      </c>
      <c r="BV564" s="2" t="s">
        <v>206</v>
      </c>
      <c r="BW564" s="2" t="s">
        <v>206</v>
      </c>
      <c r="BX564" s="2" t="s">
        <v>214</v>
      </c>
      <c r="BY564" s="2" t="s">
        <v>215</v>
      </c>
      <c r="BZ564" s="2" t="s">
        <v>203</v>
      </c>
      <c r="CA564" s="2" t="s">
        <v>1544</v>
      </c>
      <c r="CB564" s="2" t="s">
        <v>1674</v>
      </c>
      <c r="CC564" s="2" t="s">
        <v>218</v>
      </c>
      <c r="CD564" s="2" t="s">
        <v>206</v>
      </c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>
        <v>150</v>
      </c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  <c r="FD564" s="4"/>
      <c r="FE564" s="4"/>
      <c r="FF564" s="4"/>
      <c r="FG564" s="4"/>
      <c r="FH564" s="4"/>
      <c r="FI564" s="4"/>
      <c r="FJ564" s="4"/>
      <c r="FK564" s="4"/>
      <c r="FL564" s="4"/>
      <c r="FM564" s="4"/>
      <c r="FN564" s="4"/>
      <c r="FO564" s="4"/>
      <c r="FP564" s="4"/>
      <c r="FQ564" s="4"/>
      <c r="FR564" s="4"/>
      <c r="FS564" s="4"/>
      <c r="FT564" s="4"/>
      <c r="FU564" s="4"/>
      <c r="FV564" s="4"/>
      <c r="FW564" s="4"/>
      <c r="FX564" s="4"/>
      <c r="FY564" s="4"/>
      <c r="FZ564" s="4"/>
      <c r="GA564" s="4"/>
      <c r="GB564" s="4"/>
      <c r="GC564" s="4"/>
      <c r="GD564" s="4"/>
      <c r="GE564" s="4"/>
      <c r="GF564" s="4"/>
    </row>
    <row r="565">
      <c r="A565" s="2" t="s">
        <v>3795</v>
      </c>
      <c r="B565" s="2" t="s">
        <v>225</v>
      </c>
      <c r="C565" s="2" t="s">
        <v>1948</v>
      </c>
      <c r="D565" s="2" t="s">
        <v>227</v>
      </c>
      <c r="E565" s="2" t="s">
        <v>228</v>
      </c>
      <c r="F565" s="2" t="s">
        <v>3796</v>
      </c>
      <c r="G565" s="2" t="s">
        <v>3796</v>
      </c>
      <c r="H565" s="2" t="s">
        <v>3796</v>
      </c>
      <c r="I565" s="2" t="s">
        <v>230</v>
      </c>
      <c r="J565" s="2" t="s">
        <v>201</v>
      </c>
      <c r="K565" s="2" t="s">
        <v>483</v>
      </c>
      <c r="L565" s="3">
        <v>21.62</v>
      </c>
      <c r="M565" s="3">
        <v>22.7</v>
      </c>
      <c r="N565" s="3">
        <v>46.99</v>
      </c>
      <c r="O565" s="2" t="s">
        <v>203</v>
      </c>
      <c r="P565" s="2" t="s">
        <v>204</v>
      </c>
      <c r="Q565" s="2" t="s">
        <v>205</v>
      </c>
      <c r="R565" s="2" t="s">
        <v>206</v>
      </c>
      <c r="S565" s="2" t="s">
        <v>3797</v>
      </c>
      <c r="T565" s="2" t="s">
        <v>2576</v>
      </c>
      <c r="U565" s="2" t="s">
        <v>556</v>
      </c>
      <c r="V565" s="2" t="s">
        <v>209</v>
      </c>
      <c r="W565" s="2" t="s">
        <v>210</v>
      </c>
      <c r="X565" s="2" t="s">
        <v>439</v>
      </c>
      <c r="Y565" s="2" t="s">
        <v>3798</v>
      </c>
      <c r="Z565" s="4">
        <v>191</v>
      </c>
      <c r="AA565" s="4">
        <f>=ROUNDDOWN(21.2222222222222,0)</f>
      </c>
      <c r="AB565" s="5">
        <v>9</v>
      </c>
      <c r="AC565" s="2" t="s">
        <v>206</v>
      </c>
      <c r="AD565" s="4"/>
      <c r="AE565" s="4"/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206</v>
      </c>
      <c r="AM565" s="4"/>
      <c r="AN565" s="4"/>
      <c r="AO565" s="7"/>
      <c r="AP565" s="4"/>
      <c r="AQ565" s="8"/>
      <c r="AR565" s="4"/>
      <c r="AS565" s="8"/>
      <c r="AT565" s="7"/>
      <c r="AU565" s="7"/>
      <c r="AV565" s="4" t="s">
        <v>206</v>
      </c>
      <c r="AW565" s="8" t="s">
        <v>206</v>
      </c>
      <c r="AX565" s="4" t="s">
        <v>206</v>
      </c>
      <c r="AY565" s="8" t="s">
        <v>206</v>
      </c>
      <c r="AZ565" s="7" t="s">
        <v>206</v>
      </c>
      <c r="BA565" s="7" t="s">
        <v>206</v>
      </c>
      <c r="BB565" s="7"/>
      <c r="BC565" s="4" t="s">
        <v>206</v>
      </c>
      <c r="BD565" s="8" t="s">
        <v>206</v>
      </c>
      <c r="BE565" s="4" t="s">
        <v>206</v>
      </c>
      <c r="BF565" s="8" t="s">
        <v>206</v>
      </c>
      <c r="BG565" s="7" t="s">
        <v>206</v>
      </c>
      <c r="BH565" s="7" t="s">
        <v>206</v>
      </c>
      <c r="BI565" s="7"/>
      <c r="BJ565" s="4">
        <v>26</v>
      </c>
      <c r="BK565" s="8">
        <v>619.32</v>
      </c>
      <c r="BL565" s="2" t="s">
        <v>1546</v>
      </c>
      <c r="BM565" s="7"/>
      <c r="BN565" s="7"/>
      <c r="BO565" s="4"/>
      <c r="BP565" s="8"/>
      <c r="BQ565" s="4"/>
      <c r="BR565" s="8"/>
      <c r="BS565" s="7"/>
      <c r="BT565" s="7"/>
      <c r="BU565" s="2" t="s">
        <v>3799</v>
      </c>
      <c r="BV565" s="2" t="s">
        <v>206</v>
      </c>
      <c r="BW565" s="2" t="s">
        <v>206</v>
      </c>
      <c r="BX565" s="2" t="s">
        <v>214</v>
      </c>
      <c r="BY565" s="2" t="s">
        <v>215</v>
      </c>
      <c r="BZ565" s="2" t="s">
        <v>203</v>
      </c>
      <c r="CA565" s="2" t="s">
        <v>3800</v>
      </c>
      <c r="CB565" s="2" t="s">
        <v>3801</v>
      </c>
      <c r="CC565" s="2" t="s">
        <v>218</v>
      </c>
      <c r="CD565" s="2" t="s">
        <v>206</v>
      </c>
      <c r="CE565" s="4">
        <v>113</v>
      </c>
      <c r="CF565" s="4">
        <v>78</v>
      </c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  <c r="FD565" s="4"/>
      <c r="FE565" s="4"/>
      <c r="FF565" s="4"/>
      <c r="FG565" s="4"/>
      <c r="FH565" s="4"/>
      <c r="FI565" s="4"/>
      <c r="FJ565" s="4"/>
      <c r="FK565" s="4"/>
      <c r="FL565" s="4"/>
      <c r="FM565" s="4"/>
      <c r="FN565" s="4"/>
      <c r="FO565" s="4"/>
      <c r="FP565" s="4"/>
      <c r="FQ565" s="4"/>
      <c r="FR565" s="4"/>
      <c r="FS565" s="4"/>
      <c r="FT565" s="4"/>
      <c r="FU565" s="4"/>
      <c r="FV565" s="4"/>
      <c r="FW565" s="4"/>
      <c r="FX565" s="4"/>
      <c r="FY565" s="4"/>
      <c r="FZ565" s="4"/>
      <c r="GA565" s="4"/>
      <c r="GB565" s="4"/>
      <c r="GC565" s="4"/>
      <c r="GD565" s="4"/>
      <c r="GE565" s="4"/>
      <c r="GF565" s="4"/>
    </row>
    <row r="566">
      <c r="A566" s="2" t="s">
        <v>3802</v>
      </c>
      <c r="B566" s="2" t="s">
        <v>225</v>
      </c>
      <c r="C566" s="2" t="s">
        <v>1948</v>
      </c>
      <c r="D566" s="2" t="s">
        <v>227</v>
      </c>
      <c r="E566" s="2" t="s">
        <v>228</v>
      </c>
      <c r="F566" s="2" t="s">
        <v>3796</v>
      </c>
      <c r="G566" s="2" t="s">
        <v>3796</v>
      </c>
      <c r="H566" s="2" t="s">
        <v>3796</v>
      </c>
      <c r="I566" s="2" t="s">
        <v>230</v>
      </c>
      <c r="J566" s="2" t="s">
        <v>290</v>
      </c>
      <c r="K566" s="2" t="s">
        <v>483</v>
      </c>
      <c r="L566" s="3">
        <v>23.04</v>
      </c>
      <c r="M566" s="3">
        <v>24.19</v>
      </c>
      <c r="N566" s="3">
        <v>47.99</v>
      </c>
      <c r="O566" s="2" t="s">
        <v>203</v>
      </c>
      <c r="P566" s="2" t="s">
        <v>204</v>
      </c>
      <c r="Q566" s="2" t="s">
        <v>205</v>
      </c>
      <c r="R566" s="2" t="s">
        <v>206</v>
      </c>
      <c r="S566" s="2" t="s">
        <v>3797</v>
      </c>
      <c r="T566" s="2" t="s">
        <v>2576</v>
      </c>
      <c r="U566" s="2" t="s">
        <v>556</v>
      </c>
      <c r="V566" s="2" t="s">
        <v>209</v>
      </c>
      <c r="W566" s="2" t="s">
        <v>210</v>
      </c>
      <c r="X566" s="2" t="s">
        <v>439</v>
      </c>
      <c r="Y566" s="2" t="s">
        <v>3798</v>
      </c>
      <c r="Z566" s="4">
        <v>97</v>
      </c>
      <c r="AA566" s="4">
        <f>=ROUNDDOWN(16.1666666666667,0)</f>
      </c>
      <c r="AB566" s="5">
        <v>6</v>
      </c>
      <c r="AC566" s="2" t="s">
        <v>206</v>
      </c>
      <c r="AD566" s="4"/>
      <c r="AE566" s="4"/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206</v>
      </c>
      <c r="AM566" s="4"/>
      <c r="AN566" s="4"/>
      <c r="AO566" s="7"/>
      <c r="AP566" s="4"/>
      <c r="AQ566" s="8"/>
      <c r="AR566" s="4"/>
      <c r="AS566" s="8"/>
      <c r="AT566" s="7"/>
      <c r="AU566" s="7"/>
      <c r="AV566" s="4" t="s">
        <v>206</v>
      </c>
      <c r="AW566" s="8" t="s">
        <v>206</v>
      </c>
      <c r="AX566" s="4" t="s">
        <v>206</v>
      </c>
      <c r="AY566" s="8" t="s">
        <v>206</v>
      </c>
      <c r="AZ566" s="7" t="s">
        <v>206</v>
      </c>
      <c r="BA566" s="7" t="s">
        <v>206</v>
      </c>
      <c r="BB566" s="7"/>
      <c r="BC566" s="4" t="s">
        <v>206</v>
      </c>
      <c r="BD566" s="8" t="s">
        <v>206</v>
      </c>
      <c r="BE566" s="4" t="s">
        <v>206</v>
      </c>
      <c r="BF566" s="8" t="s">
        <v>206</v>
      </c>
      <c r="BG566" s="7" t="s">
        <v>206</v>
      </c>
      <c r="BH566" s="7" t="s">
        <v>206</v>
      </c>
      <c r="BI566" s="7"/>
      <c r="BJ566" s="4">
        <v>21</v>
      </c>
      <c r="BK566" s="8">
        <v>534.63</v>
      </c>
      <c r="BL566" s="2" t="s">
        <v>1399</v>
      </c>
      <c r="BM566" s="7"/>
      <c r="BN566" s="7"/>
      <c r="BO566" s="4"/>
      <c r="BP566" s="8"/>
      <c r="BQ566" s="4"/>
      <c r="BR566" s="8"/>
      <c r="BS566" s="7"/>
      <c r="BT566" s="7"/>
      <c r="BU566" s="2" t="s">
        <v>3803</v>
      </c>
      <c r="BV566" s="2" t="s">
        <v>206</v>
      </c>
      <c r="BW566" s="2" t="s">
        <v>206</v>
      </c>
      <c r="BX566" s="2" t="s">
        <v>214</v>
      </c>
      <c r="BY566" s="2" t="s">
        <v>215</v>
      </c>
      <c r="BZ566" s="2" t="s">
        <v>203</v>
      </c>
      <c r="CA566" s="2" t="s">
        <v>3800</v>
      </c>
      <c r="CB566" s="2" t="s">
        <v>2659</v>
      </c>
      <c r="CC566" s="2" t="s">
        <v>218</v>
      </c>
      <c r="CD566" s="2" t="s">
        <v>206</v>
      </c>
      <c r="CE566" s="4">
        <v>47</v>
      </c>
      <c r="CF566" s="4">
        <v>30</v>
      </c>
      <c r="CG566" s="4"/>
      <c r="CH566" s="4"/>
      <c r="CI566" s="4"/>
      <c r="CJ566" s="4"/>
      <c r="CK566" s="4"/>
      <c r="CL566" s="4">
        <v>20</v>
      </c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  <c r="FD566" s="4"/>
      <c r="FE566" s="4"/>
      <c r="FF566" s="4"/>
      <c r="FG566" s="4"/>
      <c r="FH566" s="4"/>
      <c r="FI566" s="4"/>
      <c r="FJ566" s="4"/>
      <c r="FK566" s="4"/>
      <c r="FL566" s="4"/>
      <c r="FM566" s="4"/>
      <c r="FN566" s="4"/>
      <c r="FO566" s="4"/>
      <c r="FP566" s="4"/>
      <c r="FQ566" s="4"/>
      <c r="FR566" s="4"/>
      <c r="FS566" s="4"/>
      <c r="FT566" s="4"/>
      <c r="FU566" s="4"/>
      <c r="FV566" s="4"/>
      <c r="FW566" s="4"/>
      <c r="FX566" s="4"/>
      <c r="FY566" s="4"/>
      <c r="FZ566" s="4"/>
      <c r="GA566" s="4"/>
      <c r="GB566" s="4"/>
      <c r="GC566" s="4"/>
      <c r="GD566" s="4"/>
      <c r="GE566" s="4"/>
      <c r="GF566" s="4"/>
    </row>
    <row r="567">
      <c r="A567" s="2" t="s">
        <v>3804</v>
      </c>
      <c r="B567" s="2" t="s">
        <v>225</v>
      </c>
      <c r="C567" s="2" t="s">
        <v>1948</v>
      </c>
      <c r="D567" s="2" t="s">
        <v>227</v>
      </c>
      <c r="E567" s="2" t="s">
        <v>228</v>
      </c>
      <c r="F567" s="2" t="s">
        <v>3796</v>
      </c>
      <c r="G567" s="2" t="s">
        <v>3796</v>
      </c>
      <c r="H567" s="2" t="s">
        <v>3796</v>
      </c>
      <c r="I567" s="2" t="s">
        <v>230</v>
      </c>
      <c r="J567" s="2" t="s">
        <v>310</v>
      </c>
      <c r="K567" s="2" t="s">
        <v>483</v>
      </c>
      <c r="L567" s="3">
        <v>31.85</v>
      </c>
      <c r="M567" s="3">
        <v>33.44</v>
      </c>
      <c r="N567" s="3">
        <v>64.99</v>
      </c>
      <c r="O567" s="2" t="s">
        <v>203</v>
      </c>
      <c r="P567" s="2" t="s">
        <v>204</v>
      </c>
      <c r="Q567" s="2" t="s">
        <v>205</v>
      </c>
      <c r="R567" s="2" t="s">
        <v>206</v>
      </c>
      <c r="S567" s="2" t="s">
        <v>3797</v>
      </c>
      <c r="T567" s="2" t="s">
        <v>2576</v>
      </c>
      <c r="U567" s="2" t="s">
        <v>235</v>
      </c>
      <c r="V567" s="2" t="s">
        <v>209</v>
      </c>
      <c r="W567" s="2" t="s">
        <v>210</v>
      </c>
      <c r="X567" s="2" t="s">
        <v>439</v>
      </c>
      <c r="Y567" s="2" t="s">
        <v>3798</v>
      </c>
      <c r="Z567" s="4">
        <v>159</v>
      </c>
      <c r="AA567" s="4">
        <f>=ROUNDDOWN(26.5,0)</f>
      </c>
      <c r="AB567" s="5">
        <v>6</v>
      </c>
      <c r="AC567" s="2" t="s">
        <v>206</v>
      </c>
      <c r="AD567" s="4"/>
      <c r="AE567" s="4"/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206</v>
      </c>
      <c r="AM567" s="4"/>
      <c r="AN567" s="4"/>
      <c r="AO567" s="7"/>
      <c r="AP567" s="4"/>
      <c r="AQ567" s="8"/>
      <c r="AR567" s="4"/>
      <c r="AS567" s="8"/>
      <c r="AT567" s="7"/>
      <c r="AU567" s="7"/>
      <c r="AV567" s="4" t="s">
        <v>206</v>
      </c>
      <c r="AW567" s="8" t="s">
        <v>206</v>
      </c>
      <c r="AX567" s="4" t="s">
        <v>206</v>
      </c>
      <c r="AY567" s="8" t="s">
        <v>206</v>
      </c>
      <c r="AZ567" s="7" t="s">
        <v>206</v>
      </c>
      <c r="BA567" s="7" t="s">
        <v>206</v>
      </c>
      <c r="BB567" s="7"/>
      <c r="BC567" s="4" t="s">
        <v>206</v>
      </c>
      <c r="BD567" s="8" t="s">
        <v>206</v>
      </c>
      <c r="BE567" s="4" t="s">
        <v>206</v>
      </c>
      <c r="BF567" s="8" t="s">
        <v>206</v>
      </c>
      <c r="BG567" s="7" t="s">
        <v>206</v>
      </c>
      <c r="BH567" s="7" t="s">
        <v>206</v>
      </c>
      <c r="BI567" s="7"/>
      <c r="BJ567" s="4">
        <v>8</v>
      </c>
      <c r="BK567" s="8">
        <v>278.79</v>
      </c>
      <c r="BL567" s="2" t="s">
        <v>3805</v>
      </c>
      <c r="BM567" s="7"/>
      <c r="BN567" s="7"/>
      <c r="BO567" s="4"/>
      <c r="BP567" s="8"/>
      <c r="BQ567" s="4"/>
      <c r="BR567" s="8"/>
      <c r="BS567" s="7"/>
      <c r="BT567" s="7"/>
      <c r="BU567" s="2" t="s">
        <v>3806</v>
      </c>
      <c r="BV567" s="2" t="s">
        <v>206</v>
      </c>
      <c r="BW567" s="2" t="s">
        <v>206</v>
      </c>
      <c r="BX567" s="2" t="s">
        <v>214</v>
      </c>
      <c r="BY567" s="2" t="s">
        <v>215</v>
      </c>
      <c r="BZ567" s="2" t="s">
        <v>203</v>
      </c>
      <c r="CA567" s="2" t="s">
        <v>3807</v>
      </c>
      <c r="CB567" s="2" t="s">
        <v>3808</v>
      </c>
      <c r="CC567" s="2" t="s">
        <v>218</v>
      </c>
      <c r="CD567" s="2" t="s">
        <v>206</v>
      </c>
      <c r="CE567" s="4">
        <v>89</v>
      </c>
      <c r="CF567" s="4">
        <v>70</v>
      </c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  <c r="FE567" s="4"/>
      <c r="FF567" s="4"/>
      <c r="FG567" s="4"/>
      <c r="FH567" s="4"/>
      <c r="FI567" s="4"/>
      <c r="FJ567" s="4"/>
      <c r="FK567" s="4"/>
      <c r="FL567" s="4"/>
      <c r="FM567" s="4"/>
      <c r="FN567" s="4"/>
      <c r="FO567" s="4"/>
      <c r="FP567" s="4"/>
      <c r="FQ567" s="4"/>
      <c r="FR567" s="4"/>
      <c r="FS567" s="4"/>
      <c r="FT567" s="4"/>
      <c r="FU567" s="4"/>
      <c r="FV567" s="4"/>
      <c r="FW567" s="4"/>
      <c r="FX567" s="4"/>
      <c r="FY567" s="4"/>
      <c r="FZ567" s="4"/>
      <c r="GA567" s="4"/>
      <c r="GB567" s="4"/>
      <c r="GC567" s="4"/>
      <c r="GD567" s="4"/>
      <c r="GE567" s="4"/>
      <c r="GF567" s="4"/>
    </row>
    <row r="568">
      <c r="A568" s="2" t="s">
        <v>3809</v>
      </c>
      <c r="B568" s="2" t="s">
        <v>225</v>
      </c>
      <c r="C568" s="2" t="s">
        <v>1948</v>
      </c>
      <c r="D568" s="2" t="s">
        <v>227</v>
      </c>
      <c r="E568" s="2" t="s">
        <v>228</v>
      </c>
      <c r="F568" s="2" t="s">
        <v>3796</v>
      </c>
      <c r="G568" s="2" t="s">
        <v>3796</v>
      </c>
      <c r="H568" s="2" t="s">
        <v>3796</v>
      </c>
      <c r="I568" s="2" t="s">
        <v>230</v>
      </c>
      <c r="J568" s="2" t="s">
        <v>290</v>
      </c>
      <c r="K568" s="2" t="s">
        <v>262</v>
      </c>
      <c r="L568" s="3">
        <v>23.04</v>
      </c>
      <c r="M568" s="3">
        <v>24.19</v>
      </c>
      <c r="N568" s="3">
        <v>47.99</v>
      </c>
      <c r="O568" s="2" t="s">
        <v>203</v>
      </c>
      <c r="P568" s="2" t="s">
        <v>204</v>
      </c>
      <c r="Q568" s="2" t="s">
        <v>205</v>
      </c>
      <c r="R568" s="2" t="s">
        <v>206</v>
      </c>
      <c r="S568" s="2" t="s">
        <v>3810</v>
      </c>
      <c r="T568" s="2" t="s">
        <v>2576</v>
      </c>
      <c r="U568" s="2" t="s">
        <v>556</v>
      </c>
      <c r="V568" s="2" t="s">
        <v>209</v>
      </c>
      <c r="W568" s="2" t="s">
        <v>210</v>
      </c>
      <c r="X568" s="2" t="s">
        <v>439</v>
      </c>
      <c r="Y568" s="2" t="s">
        <v>211</v>
      </c>
      <c r="Z568" s="4">
        <v>289</v>
      </c>
      <c r="AA568" s="4">
        <f>=ROUNDDOWN(16.0555555555556,0)</f>
      </c>
      <c r="AB568" s="5">
        <v>18</v>
      </c>
      <c r="AC568" s="2" t="s">
        <v>206</v>
      </c>
      <c r="AD568" s="4"/>
      <c r="AE568" s="4"/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206</v>
      </c>
      <c r="AM568" s="4"/>
      <c r="AN568" s="4"/>
      <c r="AO568" s="7"/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 t="s">
        <v>206</v>
      </c>
      <c r="BD568" s="8" t="s">
        <v>206</v>
      </c>
      <c r="BE568" s="4" t="s">
        <v>206</v>
      </c>
      <c r="BF568" s="8" t="s">
        <v>206</v>
      </c>
      <c r="BG568" s="7" t="s">
        <v>206</v>
      </c>
      <c r="BH568" s="7" t="s">
        <v>206</v>
      </c>
      <c r="BI568" s="7"/>
      <c r="BJ568" s="4">
        <v>159</v>
      </c>
      <c r="BK568" s="8">
        <v>3951.15</v>
      </c>
      <c r="BL568" s="2" t="s">
        <v>3811</v>
      </c>
      <c r="BM568" s="7"/>
      <c r="BN568" s="7"/>
      <c r="BO568" s="4"/>
      <c r="BP568" s="8"/>
      <c r="BQ568" s="4"/>
      <c r="BR568" s="8"/>
      <c r="BS568" s="7"/>
      <c r="BT568" s="7"/>
      <c r="BU568" s="2" t="s">
        <v>3812</v>
      </c>
      <c r="BV568" s="2" t="s">
        <v>206</v>
      </c>
      <c r="BW568" s="2" t="s">
        <v>206</v>
      </c>
      <c r="BX568" s="2" t="s">
        <v>214</v>
      </c>
      <c r="BY568" s="2" t="s">
        <v>215</v>
      </c>
      <c r="BZ568" s="2" t="s">
        <v>203</v>
      </c>
      <c r="CA568" s="2" t="s">
        <v>216</v>
      </c>
      <c r="CB568" s="2" t="s">
        <v>3813</v>
      </c>
      <c r="CC568" s="2" t="s">
        <v>218</v>
      </c>
      <c r="CD568" s="2" t="s">
        <v>206</v>
      </c>
      <c r="CE568" s="4">
        <v>69</v>
      </c>
      <c r="CF568" s="4">
        <v>220</v>
      </c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  <c r="FE568" s="4"/>
      <c r="FF568" s="4"/>
      <c r="FG568" s="4"/>
      <c r="FH568" s="4"/>
      <c r="FI568" s="4"/>
      <c r="FJ568" s="4"/>
      <c r="FK568" s="4"/>
      <c r="FL568" s="4"/>
      <c r="FM568" s="4"/>
      <c r="FN568" s="4"/>
      <c r="FO568" s="4"/>
      <c r="FP568" s="4"/>
      <c r="FQ568" s="4"/>
      <c r="FR568" s="4"/>
      <c r="FS568" s="4"/>
      <c r="FT568" s="4"/>
      <c r="FU568" s="4"/>
      <c r="FV568" s="4"/>
      <c r="FW568" s="4"/>
      <c r="FX568" s="4"/>
      <c r="FY568" s="4"/>
      <c r="FZ568" s="4"/>
      <c r="GA568" s="4"/>
      <c r="GB568" s="4"/>
      <c r="GC568" s="4"/>
      <c r="GD568" s="4"/>
      <c r="GE568" s="4"/>
      <c r="GF568" s="4"/>
    </row>
    <row r="569">
      <c r="A569" s="2" t="s">
        <v>3814</v>
      </c>
      <c r="B569" s="2" t="s">
        <v>225</v>
      </c>
      <c r="C569" s="2" t="s">
        <v>1948</v>
      </c>
      <c r="D569" s="2" t="s">
        <v>227</v>
      </c>
      <c r="E569" s="2" t="s">
        <v>228</v>
      </c>
      <c r="F569" s="2" t="s">
        <v>3796</v>
      </c>
      <c r="G569" s="2" t="s">
        <v>3796</v>
      </c>
      <c r="H569" s="2" t="s">
        <v>3796</v>
      </c>
      <c r="I569" s="2" t="s">
        <v>230</v>
      </c>
      <c r="J569" s="2" t="s">
        <v>201</v>
      </c>
      <c r="K569" s="2" t="s">
        <v>315</v>
      </c>
      <c r="L569" s="3">
        <v>21.62</v>
      </c>
      <c r="M569" s="3">
        <v>22.7</v>
      </c>
      <c r="N569" s="3">
        <v>46.99</v>
      </c>
      <c r="O569" s="2" t="s">
        <v>203</v>
      </c>
      <c r="P569" s="2" t="s">
        <v>204</v>
      </c>
      <c r="Q569" s="2" t="s">
        <v>205</v>
      </c>
      <c r="R569" s="2" t="s">
        <v>206</v>
      </c>
      <c r="S569" s="2" t="s">
        <v>3815</v>
      </c>
      <c r="T569" s="2" t="s">
        <v>2576</v>
      </c>
      <c r="U569" s="2" t="s">
        <v>556</v>
      </c>
      <c r="V569" s="2" t="s">
        <v>209</v>
      </c>
      <c r="W569" s="2" t="s">
        <v>210</v>
      </c>
      <c r="X569" s="2" t="s">
        <v>439</v>
      </c>
      <c r="Y569" s="2" t="s">
        <v>3816</v>
      </c>
      <c r="Z569" s="4">
        <v>1</v>
      </c>
      <c r="AA569" s="4">
        <f>=ROUNDDOWN(0.125,0)</f>
      </c>
      <c r="AB569" s="5">
        <v>8</v>
      </c>
      <c r="AC569" s="2" t="s">
        <v>206</v>
      </c>
      <c r="AD569" s="4"/>
      <c r="AE569" s="4"/>
      <c r="AF569" s="6">
        <v>65</v>
      </c>
      <c r="AG569" s="6"/>
      <c r="AH569" s="7">
        <v>0.9032</v>
      </c>
      <c r="AI569" s="4"/>
      <c r="AJ569" s="4">
        <f>=ROUNDDOWN({0},0)</f>
      </c>
      <c r="AK569" s="5"/>
      <c r="AL569" s="2" t="s">
        <v>206</v>
      </c>
      <c r="AM569" s="4"/>
      <c r="AN569" s="4"/>
      <c r="AO569" s="7"/>
      <c r="AP569" s="4"/>
      <c r="AQ569" s="8"/>
      <c r="AR569" s="4"/>
      <c r="AS569" s="8"/>
      <c r="AT569" s="7"/>
      <c r="AU569" s="7"/>
      <c r="AV569" s="4" t="s">
        <v>206</v>
      </c>
      <c r="AW569" s="8" t="s">
        <v>206</v>
      </c>
      <c r="AX569" s="4" t="s">
        <v>206</v>
      </c>
      <c r="AY569" s="8" t="s">
        <v>206</v>
      </c>
      <c r="AZ569" s="7" t="s">
        <v>206</v>
      </c>
      <c r="BA569" s="7" t="s">
        <v>206</v>
      </c>
      <c r="BB569" s="7"/>
      <c r="BC569" s="4" t="s">
        <v>206</v>
      </c>
      <c r="BD569" s="8" t="s">
        <v>206</v>
      </c>
      <c r="BE569" s="4" t="s">
        <v>206</v>
      </c>
      <c r="BF569" s="8" t="s">
        <v>206</v>
      </c>
      <c r="BG569" s="7" t="s">
        <v>206</v>
      </c>
      <c r="BH569" s="7" t="s">
        <v>206</v>
      </c>
      <c r="BI569" s="7"/>
      <c r="BJ569" s="4">
        <v>94</v>
      </c>
      <c r="BK569" s="8">
        <v>2302.52</v>
      </c>
      <c r="BL569" s="2" t="s">
        <v>1841</v>
      </c>
      <c r="BM569" s="7"/>
      <c r="BN569" s="7"/>
      <c r="BO569" s="4"/>
      <c r="BP569" s="8"/>
      <c r="BQ569" s="4"/>
      <c r="BR569" s="8"/>
      <c r="BS569" s="7"/>
      <c r="BT569" s="7"/>
      <c r="BU569" s="2" t="s">
        <v>3817</v>
      </c>
      <c r="BV569" s="2" t="s">
        <v>206</v>
      </c>
      <c r="BW569" s="2" t="s">
        <v>206</v>
      </c>
      <c r="BX569" s="2" t="s">
        <v>214</v>
      </c>
      <c r="BY569" s="2" t="s">
        <v>215</v>
      </c>
      <c r="BZ569" s="2" t="s">
        <v>203</v>
      </c>
      <c r="CA569" s="2" t="s">
        <v>1996</v>
      </c>
      <c r="CB569" s="2" t="s">
        <v>1260</v>
      </c>
      <c r="CC569" s="2" t="s">
        <v>218</v>
      </c>
      <c r="CD569" s="2" t="s">
        <v>206</v>
      </c>
      <c r="CE569" s="4"/>
      <c r="CF569" s="4">
        <v>1</v>
      </c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  <c r="FD569" s="4"/>
      <c r="FE569" s="4"/>
      <c r="FF569" s="4"/>
      <c r="FG569" s="4"/>
      <c r="FH569" s="4"/>
      <c r="FI569" s="4"/>
      <c r="FJ569" s="4"/>
      <c r="FK569" s="4"/>
      <c r="FL569" s="4"/>
      <c r="FM569" s="4"/>
      <c r="FN569" s="4"/>
      <c r="FO569" s="4"/>
      <c r="FP569" s="4"/>
      <c r="FQ569" s="4"/>
      <c r="FR569" s="4"/>
      <c r="FS569" s="4"/>
      <c r="FT569" s="4"/>
      <c r="FU569" s="4"/>
      <c r="FV569" s="4"/>
      <c r="FW569" s="4"/>
      <c r="FX569" s="4"/>
      <c r="FY569" s="4"/>
      <c r="FZ569" s="4"/>
      <c r="GA569" s="4"/>
      <c r="GB569" s="4"/>
      <c r="GC569" s="4"/>
      <c r="GD569" s="4"/>
      <c r="GE569" s="4"/>
      <c r="GF569" s="4"/>
    </row>
    <row r="570">
      <c r="A570" s="2" t="s">
        <v>3818</v>
      </c>
      <c r="B570" s="2" t="s">
        <v>225</v>
      </c>
      <c r="C570" s="2" t="s">
        <v>1948</v>
      </c>
      <c r="D570" s="2" t="s">
        <v>227</v>
      </c>
      <c r="E570" s="2" t="s">
        <v>228</v>
      </c>
      <c r="F570" s="2" t="s">
        <v>3796</v>
      </c>
      <c r="G570" s="2" t="s">
        <v>3796</v>
      </c>
      <c r="H570" s="2" t="s">
        <v>3796</v>
      </c>
      <c r="I570" s="2" t="s">
        <v>230</v>
      </c>
      <c r="J570" s="2" t="s">
        <v>310</v>
      </c>
      <c r="K570" s="2" t="s">
        <v>315</v>
      </c>
      <c r="L570" s="3">
        <v>31.85</v>
      </c>
      <c r="M570" s="3">
        <v>33.44</v>
      </c>
      <c r="N570" s="3">
        <v>64.99</v>
      </c>
      <c r="O570" s="2" t="s">
        <v>203</v>
      </c>
      <c r="P570" s="2" t="s">
        <v>204</v>
      </c>
      <c r="Q570" s="2" t="s">
        <v>205</v>
      </c>
      <c r="R570" s="2" t="s">
        <v>206</v>
      </c>
      <c r="S570" s="2" t="s">
        <v>3815</v>
      </c>
      <c r="T570" s="2" t="s">
        <v>2576</v>
      </c>
      <c r="U570" s="2" t="s">
        <v>235</v>
      </c>
      <c r="V570" s="2" t="s">
        <v>209</v>
      </c>
      <c r="W570" s="2" t="s">
        <v>210</v>
      </c>
      <c r="X570" s="2" t="s">
        <v>439</v>
      </c>
      <c r="Y570" s="2" t="s">
        <v>3816</v>
      </c>
      <c r="Z570" s="4">
        <v>171</v>
      </c>
      <c r="AA570" s="4">
        <f>=ROUNDDOWN(34.2,0)</f>
      </c>
      <c r="AB570" s="5">
        <v>5</v>
      </c>
      <c r="AC570" s="2" t="s">
        <v>206</v>
      </c>
      <c r="AD570" s="4"/>
      <c r="AE570" s="4"/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206</v>
      </c>
      <c r="AM570" s="4"/>
      <c r="AN570" s="4"/>
      <c r="AO570" s="7"/>
      <c r="AP570" s="4"/>
      <c r="AQ570" s="8"/>
      <c r="AR570" s="4"/>
      <c r="AS570" s="8"/>
      <c r="AT570" s="7"/>
      <c r="AU570" s="7"/>
      <c r="AV570" s="4" t="s">
        <v>206</v>
      </c>
      <c r="AW570" s="8" t="s">
        <v>206</v>
      </c>
      <c r="AX570" s="4" t="s">
        <v>206</v>
      </c>
      <c r="AY570" s="8" t="s">
        <v>206</v>
      </c>
      <c r="AZ570" s="7" t="s">
        <v>206</v>
      </c>
      <c r="BA570" s="7" t="s">
        <v>206</v>
      </c>
      <c r="BB570" s="7"/>
      <c r="BC570" s="4" t="s">
        <v>206</v>
      </c>
      <c r="BD570" s="8" t="s">
        <v>206</v>
      </c>
      <c r="BE570" s="4" t="s">
        <v>206</v>
      </c>
      <c r="BF570" s="8" t="s">
        <v>206</v>
      </c>
      <c r="BG570" s="7" t="s">
        <v>206</v>
      </c>
      <c r="BH570" s="7" t="s">
        <v>206</v>
      </c>
      <c r="BI570" s="7"/>
      <c r="BJ570" s="4">
        <v>5</v>
      </c>
      <c r="BK570" s="8">
        <v>178.45</v>
      </c>
      <c r="BL570" s="2" t="s">
        <v>1841</v>
      </c>
      <c r="BM570" s="7"/>
      <c r="BN570" s="7"/>
      <c r="BO570" s="4"/>
      <c r="BP570" s="8"/>
      <c r="BQ570" s="4"/>
      <c r="BR570" s="8"/>
      <c r="BS570" s="7"/>
      <c r="BT570" s="7"/>
      <c r="BU570" s="2" t="s">
        <v>3819</v>
      </c>
      <c r="BV570" s="2" t="s">
        <v>206</v>
      </c>
      <c r="BW570" s="2" t="s">
        <v>206</v>
      </c>
      <c r="BX570" s="2" t="s">
        <v>214</v>
      </c>
      <c r="BY570" s="2" t="s">
        <v>215</v>
      </c>
      <c r="BZ570" s="2" t="s">
        <v>203</v>
      </c>
      <c r="CA570" s="2" t="s">
        <v>1996</v>
      </c>
      <c r="CB570" s="2" t="s">
        <v>2922</v>
      </c>
      <c r="CC570" s="2" t="s">
        <v>218</v>
      </c>
      <c r="CD570" s="2" t="s">
        <v>206</v>
      </c>
      <c r="CE570" s="4">
        <v>111</v>
      </c>
      <c r="CF570" s="4">
        <v>60</v>
      </c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/>
      <c r="EP570" s="4"/>
      <c r="EQ570" s="4"/>
      <c r="ER570" s="4"/>
      <c r="ES570" s="4"/>
      <c r="ET570" s="4"/>
      <c r="EU570" s="4"/>
      <c r="EV570" s="4"/>
      <c r="EW570" s="4"/>
      <c r="EX570" s="4"/>
      <c r="EY570" s="4"/>
      <c r="EZ570" s="4"/>
      <c r="FA570" s="4"/>
      <c r="FB570" s="4"/>
      <c r="FC570" s="4"/>
      <c r="FD570" s="4"/>
      <c r="FE570" s="4"/>
      <c r="FF570" s="4"/>
      <c r="FG570" s="4"/>
      <c r="FH570" s="4"/>
      <c r="FI570" s="4"/>
      <c r="FJ570" s="4"/>
      <c r="FK570" s="4"/>
      <c r="FL570" s="4"/>
      <c r="FM570" s="4"/>
      <c r="FN570" s="4"/>
      <c r="FO570" s="4"/>
      <c r="FP570" s="4"/>
      <c r="FQ570" s="4"/>
      <c r="FR570" s="4"/>
      <c r="FS570" s="4"/>
      <c r="FT570" s="4"/>
      <c r="FU570" s="4"/>
      <c r="FV570" s="4"/>
      <c r="FW570" s="4"/>
      <c r="FX570" s="4"/>
      <c r="FY570" s="4"/>
      <c r="FZ570" s="4"/>
      <c r="GA570" s="4"/>
      <c r="GB570" s="4"/>
      <c r="GC570" s="4"/>
      <c r="GD570" s="4"/>
      <c r="GE570" s="4"/>
      <c r="GF570" s="4"/>
    </row>
    <row r="571">
      <c r="A571" s="2" t="s">
        <v>3820</v>
      </c>
      <c r="B571" s="2" t="s">
        <v>225</v>
      </c>
      <c r="C571" s="2" t="s">
        <v>1948</v>
      </c>
      <c r="D571" s="2" t="s">
        <v>227</v>
      </c>
      <c r="E571" s="2" t="s">
        <v>228</v>
      </c>
      <c r="F571" s="2" t="s">
        <v>3796</v>
      </c>
      <c r="G571" s="2" t="s">
        <v>3796</v>
      </c>
      <c r="H571" s="2" t="s">
        <v>3796</v>
      </c>
      <c r="I571" s="2" t="s">
        <v>230</v>
      </c>
      <c r="J571" s="2" t="s">
        <v>290</v>
      </c>
      <c r="K571" s="2" t="s">
        <v>696</v>
      </c>
      <c r="L571" s="3">
        <v>23.04</v>
      </c>
      <c r="M571" s="3">
        <v>24.19</v>
      </c>
      <c r="N571" s="3">
        <v>47.99</v>
      </c>
      <c r="O571" s="2" t="s">
        <v>203</v>
      </c>
      <c r="P571" s="2" t="s">
        <v>204</v>
      </c>
      <c r="Q571" s="2" t="s">
        <v>205</v>
      </c>
      <c r="R571" s="2" t="s">
        <v>206</v>
      </c>
      <c r="S571" s="2" t="s">
        <v>3821</v>
      </c>
      <c r="T571" s="2" t="s">
        <v>2576</v>
      </c>
      <c r="U571" s="2" t="s">
        <v>556</v>
      </c>
      <c r="V571" s="2" t="s">
        <v>209</v>
      </c>
      <c r="W571" s="2" t="s">
        <v>210</v>
      </c>
      <c r="X571" s="2" t="s">
        <v>439</v>
      </c>
      <c r="Y571" s="2" t="s">
        <v>211</v>
      </c>
      <c r="Z571" s="4">
        <v>237</v>
      </c>
      <c r="AA571" s="4">
        <f>=ROUNDDOWN(33.8571428571429,0)</f>
      </c>
      <c r="AB571" s="5">
        <v>7</v>
      </c>
      <c r="AC571" s="2" t="s">
        <v>206</v>
      </c>
      <c r="AD571" s="4"/>
      <c r="AE571" s="4"/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206</v>
      </c>
      <c r="AM571" s="4"/>
      <c r="AN571" s="4"/>
      <c r="AO571" s="7"/>
      <c r="AP571" s="4"/>
      <c r="AQ571" s="8"/>
      <c r="AR571" s="4"/>
      <c r="AS571" s="8"/>
      <c r="AT571" s="7"/>
      <c r="AU571" s="7"/>
      <c r="AV571" s="4" t="s">
        <v>206</v>
      </c>
      <c r="AW571" s="8" t="s">
        <v>206</v>
      </c>
      <c r="AX571" s="4" t="s">
        <v>206</v>
      </c>
      <c r="AY571" s="8" t="s">
        <v>206</v>
      </c>
      <c r="AZ571" s="7" t="s">
        <v>206</v>
      </c>
      <c r="BA571" s="7" t="s">
        <v>206</v>
      </c>
      <c r="BB571" s="7"/>
      <c r="BC571" s="4" t="s">
        <v>206</v>
      </c>
      <c r="BD571" s="8" t="s">
        <v>206</v>
      </c>
      <c r="BE571" s="4" t="s">
        <v>206</v>
      </c>
      <c r="BF571" s="8" t="s">
        <v>206</v>
      </c>
      <c r="BG571" s="7" t="s">
        <v>206</v>
      </c>
      <c r="BH571" s="7" t="s">
        <v>206</v>
      </c>
      <c r="BI571" s="7"/>
      <c r="BJ571" s="4">
        <v>51</v>
      </c>
      <c r="BK571" s="8">
        <v>1275.53</v>
      </c>
      <c r="BL571" s="2" t="s">
        <v>3822</v>
      </c>
      <c r="BM571" s="7"/>
      <c r="BN571" s="7"/>
      <c r="BO571" s="4"/>
      <c r="BP571" s="8"/>
      <c r="BQ571" s="4"/>
      <c r="BR571" s="8"/>
      <c r="BS571" s="7"/>
      <c r="BT571" s="7"/>
      <c r="BU571" s="2" t="s">
        <v>3823</v>
      </c>
      <c r="BV571" s="2" t="s">
        <v>206</v>
      </c>
      <c r="BW571" s="2" t="s">
        <v>206</v>
      </c>
      <c r="BX571" s="2" t="s">
        <v>214</v>
      </c>
      <c r="BY571" s="2" t="s">
        <v>215</v>
      </c>
      <c r="BZ571" s="2" t="s">
        <v>203</v>
      </c>
      <c r="CA571" s="2" t="s">
        <v>216</v>
      </c>
      <c r="CB571" s="2" t="s">
        <v>3824</v>
      </c>
      <c r="CC571" s="2" t="s">
        <v>218</v>
      </c>
      <c r="CD571" s="2" t="s">
        <v>206</v>
      </c>
      <c r="CE571" s="4">
        <v>237</v>
      </c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/>
      <c r="EO571" s="4"/>
      <c r="EP571" s="4"/>
      <c r="EQ571" s="4"/>
      <c r="ER571" s="4"/>
      <c r="ES571" s="4"/>
      <c r="ET571" s="4"/>
      <c r="EU571" s="4"/>
      <c r="EV571" s="4"/>
      <c r="EW571" s="4"/>
      <c r="EX571" s="4"/>
      <c r="EY571" s="4"/>
      <c r="EZ571" s="4"/>
      <c r="FA571" s="4"/>
      <c r="FB571" s="4"/>
      <c r="FC571" s="4"/>
      <c r="FD571" s="4"/>
      <c r="FE571" s="4"/>
      <c r="FF571" s="4"/>
      <c r="FG571" s="4"/>
      <c r="FH571" s="4"/>
      <c r="FI571" s="4"/>
      <c r="FJ571" s="4"/>
      <c r="FK571" s="4"/>
      <c r="FL571" s="4"/>
      <c r="FM571" s="4"/>
      <c r="FN571" s="4"/>
      <c r="FO571" s="4"/>
      <c r="FP571" s="4"/>
      <c r="FQ571" s="4"/>
      <c r="FR571" s="4"/>
      <c r="FS571" s="4"/>
      <c r="FT571" s="4"/>
      <c r="FU571" s="4"/>
      <c r="FV571" s="4"/>
      <c r="FW571" s="4"/>
      <c r="FX571" s="4"/>
      <c r="FY571" s="4"/>
      <c r="FZ571" s="4"/>
      <c r="GA571" s="4"/>
      <c r="GB571" s="4"/>
      <c r="GC571" s="4"/>
      <c r="GD571" s="4"/>
      <c r="GE571" s="4"/>
      <c r="GF571" s="4"/>
    </row>
    <row r="572">
      <c r="A572" s="2" t="s">
        <v>3825</v>
      </c>
      <c r="B572" s="2" t="s">
        <v>225</v>
      </c>
      <c r="C572" s="2" t="s">
        <v>1948</v>
      </c>
      <c r="D572" s="2" t="s">
        <v>227</v>
      </c>
      <c r="E572" s="2" t="s">
        <v>228</v>
      </c>
      <c r="F572" s="2" t="s">
        <v>3796</v>
      </c>
      <c r="G572" s="2" t="s">
        <v>3796</v>
      </c>
      <c r="H572" s="2" t="s">
        <v>3796</v>
      </c>
      <c r="I572" s="2" t="s">
        <v>230</v>
      </c>
      <c r="J572" s="2" t="s">
        <v>310</v>
      </c>
      <c r="K572" s="2" t="s">
        <v>696</v>
      </c>
      <c r="L572" s="3">
        <v>31.85</v>
      </c>
      <c r="M572" s="3">
        <v>33.44</v>
      </c>
      <c r="N572" s="3">
        <v>64.99</v>
      </c>
      <c r="O572" s="2" t="s">
        <v>203</v>
      </c>
      <c r="P572" s="2" t="s">
        <v>204</v>
      </c>
      <c r="Q572" s="2" t="s">
        <v>205</v>
      </c>
      <c r="R572" s="2" t="s">
        <v>206</v>
      </c>
      <c r="S572" s="2" t="s">
        <v>3821</v>
      </c>
      <c r="T572" s="2" t="s">
        <v>2576</v>
      </c>
      <c r="U572" s="2" t="s">
        <v>235</v>
      </c>
      <c r="V572" s="2" t="s">
        <v>209</v>
      </c>
      <c r="W572" s="2" t="s">
        <v>210</v>
      </c>
      <c r="X572" s="2" t="s">
        <v>439</v>
      </c>
      <c r="Y572" s="2" t="s">
        <v>211</v>
      </c>
      <c r="Z572" s="4">
        <v>382</v>
      </c>
      <c r="AA572" s="4">
        <f>=ROUNDDOWN(29.3846153846154,0)</f>
      </c>
      <c r="AB572" s="5">
        <v>13</v>
      </c>
      <c r="AC572" s="2" t="s">
        <v>206</v>
      </c>
      <c r="AD572" s="4"/>
      <c r="AE572" s="4"/>
      <c r="AF572" s="6">
        <v>65</v>
      </c>
      <c r="AG572" s="6"/>
      <c r="AH572" s="7">
        <v>1</v>
      </c>
      <c r="AI572" s="4"/>
      <c r="AJ572" s="4">
        <f>=ROUNDDOWN({0},0)</f>
      </c>
      <c r="AK572" s="5"/>
      <c r="AL572" s="2" t="s">
        <v>206</v>
      </c>
      <c r="AM572" s="4"/>
      <c r="AN572" s="4"/>
      <c r="AO572" s="7"/>
      <c r="AP572" s="4"/>
      <c r="AQ572" s="8"/>
      <c r="AR572" s="4"/>
      <c r="AS572" s="8"/>
      <c r="AT572" s="7"/>
      <c r="AU572" s="7"/>
      <c r="AV572" s="4" t="s">
        <v>206</v>
      </c>
      <c r="AW572" s="8" t="s">
        <v>206</v>
      </c>
      <c r="AX572" s="4" t="s">
        <v>206</v>
      </c>
      <c r="AY572" s="8" t="s">
        <v>206</v>
      </c>
      <c r="AZ572" s="7" t="s">
        <v>206</v>
      </c>
      <c r="BA572" s="7" t="s">
        <v>206</v>
      </c>
      <c r="BB572" s="7"/>
      <c r="BC572" s="4" t="s">
        <v>206</v>
      </c>
      <c r="BD572" s="8" t="s">
        <v>206</v>
      </c>
      <c r="BE572" s="4" t="s">
        <v>206</v>
      </c>
      <c r="BF572" s="8" t="s">
        <v>206</v>
      </c>
      <c r="BG572" s="7" t="s">
        <v>206</v>
      </c>
      <c r="BH572" s="7" t="s">
        <v>206</v>
      </c>
      <c r="BI572" s="7"/>
      <c r="BJ572" s="4">
        <v>36</v>
      </c>
      <c r="BK572" s="8">
        <v>1238.14</v>
      </c>
      <c r="BL572" s="2" t="s">
        <v>1290</v>
      </c>
      <c r="BM572" s="7"/>
      <c r="BN572" s="7"/>
      <c r="BO572" s="4"/>
      <c r="BP572" s="8"/>
      <c r="BQ572" s="4"/>
      <c r="BR572" s="8"/>
      <c r="BS572" s="7"/>
      <c r="BT572" s="7"/>
      <c r="BU572" s="2" t="s">
        <v>3826</v>
      </c>
      <c r="BV572" s="2" t="s">
        <v>206</v>
      </c>
      <c r="BW572" s="2" t="s">
        <v>206</v>
      </c>
      <c r="BX572" s="2" t="s">
        <v>214</v>
      </c>
      <c r="BY572" s="2" t="s">
        <v>215</v>
      </c>
      <c r="BZ572" s="2" t="s">
        <v>203</v>
      </c>
      <c r="CA572" s="2" t="s">
        <v>216</v>
      </c>
      <c r="CB572" s="2" t="s">
        <v>3827</v>
      </c>
      <c r="CC572" s="2" t="s">
        <v>218</v>
      </c>
      <c r="CD572" s="2" t="s">
        <v>206</v>
      </c>
      <c r="CE572" s="4">
        <v>233</v>
      </c>
      <c r="CF572" s="4">
        <v>149</v>
      </c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  <c r="EJ572" s="4"/>
      <c r="EK572" s="4"/>
      <c r="EL572" s="4"/>
      <c r="EM572" s="4"/>
      <c r="EN572" s="4"/>
      <c r="EO572" s="4"/>
      <c r="EP572" s="4"/>
      <c r="EQ572" s="4"/>
      <c r="ER572" s="4"/>
      <c r="ES572" s="4"/>
      <c r="ET572" s="4"/>
      <c r="EU572" s="4"/>
      <c r="EV572" s="4"/>
      <c r="EW572" s="4"/>
      <c r="EX572" s="4"/>
      <c r="EY572" s="4"/>
      <c r="EZ572" s="4"/>
      <c r="FA572" s="4"/>
      <c r="FB572" s="4"/>
      <c r="FC572" s="4"/>
      <c r="FD572" s="4"/>
      <c r="FE572" s="4"/>
      <c r="FF572" s="4"/>
      <c r="FG572" s="4"/>
      <c r="FH572" s="4"/>
      <c r="FI572" s="4"/>
      <c r="FJ572" s="4"/>
      <c r="FK572" s="4"/>
      <c r="FL572" s="4"/>
      <c r="FM572" s="4"/>
      <c r="FN572" s="4"/>
      <c r="FO572" s="4"/>
      <c r="FP572" s="4"/>
      <c r="FQ572" s="4"/>
      <c r="FR572" s="4"/>
      <c r="FS572" s="4"/>
      <c r="FT572" s="4"/>
      <c r="FU572" s="4"/>
      <c r="FV572" s="4"/>
      <c r="FW572" s="4"/>
      <c r="FX572" s="4"/>
      <c r="FY572" s="4"/>
      <c r="FZ572" s="4"/>
      <c r="GA572" s="4"/>
      <c r="GB572" s="4"/>
      <c r="GC572" s="4"/>
      <c r="GD572" s="4"/>
      <c r="GE572" s="4"/>
      <c r="GF572" s="4"/>
    </row>
    <row r="573">
      <c r="A573" s="2" t="s">
        <v>3828</v>
      </c>
      <c r="B573" s="2" t="s">
        <v>225</v>
      </c>
      <c r="C573" s="2" t="s">
        <v>1948</v>
      </c>
      <c r="D573" s="2" t="s">
        <v>227</v>
      </c>
      <c r="E573" s="2" t="s">
        <v>228</v>
      </c>
      <c r="F573" s="2" t="s">
        <v>3796</v>
      </c>
      <c r="G573" s="2" t="s">
        <v>3796</v>
      </c>
      <c r="H573" s="2" t="s">
        <v>3796</v>
      </c>
      <c r="I573" s="2" t="s">
        <v>230</v>
      </c>
      <c r="J573" s="2" t="s">
        <v>290</v>
      </c>
      <c r="K573" s="2" t="s">
        <v>709</v>
      </c>
      <c r="L573" s="3">
        <v>23.04</v>
      </c>
      <c r="M573" s="3">
        <v>24.19</v>
      </c>
      <c r="N573" s="3">
        <v>47.99</v>
      </c>
      <c r="O573" s="2" t="s">
        <v>203</v>
      </c>
      <c r="P573" s="2" t="s">
        <v>204</v>
      </c>
      <c r="Q573" s="2" t="s">
        <v>205</v>
      </c>
      <c r="R573" s="2" t="s">
        <v>206</v>
      </c>
      <c r="S573" s="2" t="s">
        <v>3829</v>
      </c>
      <c r="T573" s="2" t="s">
        <v>2576</v>
      </c>
      <c r="U573" s="2" t="s">
        <v>556</v>
      </c>
      <c r="V573" s="2" t="s">
        <v>209</v>
      </c>
      <c r="W573" s="2" t="s">
        <v>210</v>
      </c>
      <c r="X573" s="2" t="s">
        <v>439</v>
      </c>
      <c r="Y573" s="2" t="s">
        <v>211</v>
      </c>
      <c r="Z573" s="4">
        <v>272</v>
      </c>
      <c r="AA573" s="4">
        <f>=ROUNDDOWN(20.9230769230769,0)</f>
      </c>
      <c r="AB573" s="5">
        <v>13</v>
      </c>
      <c r="AC573" s="2" t="s">
        <v>206</v>
      </c>
      <c r="AD573" s="4"/>
      <c r="AE573" s="4"/>
      <c r="AF573" s="6">
        <v>65</v>
      </c>
      <c r="AG573" s="6"/>
      <c r="AH573" s="7">
        <v>1</v>
      </c>
      <c r="AI573" s="4"/>
      <c r="AJ573" s="4">
        <f>=ROUNDDOWN({0},0)</f>
      </c>
      <c r="AK573" s="5"/>
      <c r="AL573" s="2" t="s">
        <v>206</v>
      </c>
      <c r="AM573" s="4"/>
      <c r="AN573" s="4"/>
      <c r="AO573" s="7"/>
      <c r="AP573" s="4"/>
      <c r="AQ573" s="8"/>
      <c r="AR573" s="4"/>
      <c r="AS573" s="8"/>
      <c r="AT573" s="7"/>
      <c r="AU573" s="7"/>
      <c r="AV573" s="4" t="s">
        <v>206</v>
      </c>
      <c r="AW573" s="8" t="s">
        <v>206</v>
      </c>
      <c r="AX573" s="4" t="s">
        <v>206</v>
      </c>
      <c r="AY573" s="8" t="s">
        <v>206</v>
      </c>
      <c r="AZ573" s="7" t="s">
        <v>206</v>
      </c>
      <c r="BA573" s="7" t="s">
        <v>206</v>
      </c>
      <c r="BB573" s="7"/>
      <c r="BC573" s="4" t="s">
        <v>206</v>
      </c>
      <c r="BD573" s="8" t="s">
        <v>206</v>
      </c>
      <c r="BE573" s="4" t="s">
        <v>206</v>
      </c>
      <c r="BF573" s="8" t="s">
        <v>206</v>
      </c>
      <c r="BG573" s="7" t="s">
        <v>206</v>
      </c>
      <c r="BH573" s="7" t="s">
        <v>206</v>
      </c>
      <c r="BI573" s="7"/>
      <c r="BJ573" s="4">
        <v>62</v>
      </c>
      <c r="BK573" s="8">
        <v>1523.5</v>
      </c>
      <c r="BL573" s="2" t="s">
        <v>3830</v>
      </c>
      <c r="BM573" s="7"/>
      <c r="BN573" s="7"/>
      <c r="BO573" s="4"/>
      <c r="BP573" s="8"/>
      <c r="BQ573" s="4"/>
      <c r="BR573" s="8"/>
      <c r="BS573" s="7"/>
      <c r="BT573" s="7"/>
      <c r="BU573" s="2" t="s">
        <v>3831</v>
      </c>
      <c r="BV573" s="2" t="s">
        <v>206</v>
      </c>
      <c r="BW573" s="2" t="s">
        <v>206</v>
      </c>
      <c r="BX573" s="2" t="s">
        <v>214</v>
      </c>
      <c r="BY573" s="2" t="s">
        <v>215</v>
      </c>
      <c r="BZ573" s="2" t="s">
        <v>203</v>
      </c>
      <c r="CA573" s="2" t="s">
        <v>216</v>
      </c>
      <c r="CB573" s="2" t="s">
        <v>3715</v>
      </c>
      <c r="CC573" s="2" t="s">
        <v>218</v>
      </c>
      <c r="CD573" s="2" t="s">
        <v>206</v>
      </c>
      <c r="CE573" s="4">
        <v>122</v>
      </c>
      <c r="CF573" s="4">
        <v>150</v>
      </c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/>
      <c r="EU573" s="4"/>
      <c r="EV573" s="4"/>
      <c r="EW573" s="4"/>
      <c r="EX573" s="4"/>
      <c r="EY573" s="4"/>
      <c r="EZ573" s="4"/>
      <c r="FA573" s="4"/>
      <c r="FB573" s="4"/>
      <c r="FC573" s="4"/>
      <c r="FD573" s="4"/>
      <c r="FE573" s="4"/>
      <c r="FF573" s="4"/>
      <c r="FG573" s="4"/>
      <c r="FH573" s="4"/>
      <c r="FI573" s="4"/>
      <c r="FJ573" s="4"/>
      <c r="FK573" s="4"/>
      <c r="FL573" s="4"/>
      <c r="FM573" s="4"/>
      <c r="FN573" s="4"/>
      <c r="FO573" s="4"/>
      <c r="FP573" s="4"/>
      <c r="FQ573" s="4"/>
      <c r="FR573" s="4"/>
      <c r="FS573" s="4"/>
      <c r="FT573" s="4"/>
      <c r="FU573" s="4"/>
      <c r="FV573" s="4"/>
      <c r="FW573" s="4"/>
      <c r="FX573" s="4"/>
      <c r="FY573" s="4"/>
      <c r="FZ573" s="4"/>
      <c r="GA573" s="4"/>
      <c r="GB573" s="4"/>
      <c r="GC573" s="4"/>
      <c r="GD573" s="4"/>
      <c r="GE573" s="4"/>
      <c r="GF573" s="4"/>
    </row>
    <row r="574">
      <c r="A574" s="2" t="s">
        <v>3832</v>
      </c>
      <c r="B574" s="2" t="s">
        <v>225</v>
      </c>
      <c r="C574" s="2" t="s">
        <v>1948</v>
      </c>
      <c r="D574" s="2" t="s">
        <v>227</v>
      </c>
      <c r="E574" s="2" t="s">
        <v>228</v>
      </c>
      <c r="F574" s="2" t="s">
        <v>3796</v>
      </c>
      <c r="G574" s="2" t="s">
        <v>3796</v>
      </c>
      <c r="H574" s="2" t="s">
        <v>3796</v>
      </c>
      <c r="I574" s="2" t="s">
        <v>230</v>
      </c>
      <c r="J574" s="2" t="s">
        <v>220</v>
      </c>
      <c r="K574" s="2" t="s">
        <v>709</v>
      </c>
      <c r="L574" s="3">
        <v>25.3</v>
      </c>
      <c r="M574" s="3">
        <v>26.56</v>
      </c>
      <c r="N574" s="3">
        <v>54.99</v>
      </c>
      <c r="O574" s="2" t="s">
        <v>203</v>
      </c>
      <c r="P574" s="2" t="s">
        <v>204</v>
      </c>
      <c r="Q574" s="2" t="s">
        <v>205</v>
      </c>
      <c r="R574" s="2" t="s">
        <v>206</v>
      </c>
      <c r="S574" s="2" t="s">
        <v>3829</v>
      </c>
      <c r="T574" s="2" t="s">
        <v>2576</v>
      </c>
      <c r="U574" s="2" t="s">
        <v>235</v>
      </c>
      <c r="V574" s="2" t="s">
        <v>209</v>
      </c>
      <c r="W574" s="2" t="s">
        <v>210</v>
      </c>
      <c r="X574" s="2" t="s">
        <v>439</v>
      </c>
      <c r="Y574" s="2" t="s">
        <v>211</v>
      </c>
      <c r="Z574" s="4">
        <v>99</v>
      </c>
      <c r="AA574" s="4">
        <f>=ROUNDDOWN(9,0)</f>
      </c>
      <c r="AB574" s="5">
        <v>11</v>
      </c>
      <c r="AC574" s="2" t="s">
        <v>206</v>
      </c>
      <c r="AD574" s="4"/>
      <c r="AE574" s="4"/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206</v>
      </c>
      <c r="AM574" s="4"/>
      <c r="AN574" s="4"/>
      <c r="AO574" s="7"/>
      <c r="AP574" s="4"/>
      <c r="AQ574" s="8"/>
      <c r="AR574" s="4"/>
      <c r="AS574" s="8"/>
      <c r="AT574" s="7"/>
      <c r="AU574" s="7"/>
      <c r="AV574" s="4" t="s">
        <v>206</v>
      </c>
      <c r="AW574" s="8" t="s">
        <v>206</v>
      </c>
      <c r="AX574" s="4" t="s">
        <v>206</v>
      </c>
      <c r="AY574" s="8" t="s">
        <v>206</v>
      </c>
      <c r="AZ574" s="7" t="s">
        <v>206</v>
      </c>
      <c r="BA574" s="7" t="s">
        <v>206</v>
      </c>
      <c r="BB574" s="7"/>
      <c r="BC574" s="4" t="s">
        <v>206</v>
      </c>
      <c r="BD574" s="8" t="s">
        <v>206</v>
      </c>
      <c r="BE574" s="4" t="s">
        <v>206</v>
      </c>
      <c r="BF574" s="8" t="s">
        <v>206</v>
      </c>
      <c r="BG574" s="7" t="s">
        <v>206</v>
      </c>
      <c r="BH574" s="7" t="s">
        <v>206</v>
      </c>
      <c r="BI574" s="7"/>
      <c r="BJ574" s="4">
        <v>112</v>
      </c>
      <c r="BK574" s="8">
        <v>3094.35</v>
      </c>
      <c r="BL574" s="2" t="s">
        <v>3811</v>
      </c>
      <c r="BM574" s="7"/>
      <c r="BN574" s="7"/>
      <c r="BO574" s="4"/>
      <c r="BP574" s="8"/>
      <c r="BQ574" s="4"/>
      <c r="BR574" s="8"/>
      <c r="BS574" s="7"/>
      <c r="BT574" s="7"/>
      <c r="BU574" s="2" t="s">
        <v>3833</v>
      </c>
      <c r="BV574" s="2" t="s">
        <v>206</v>
      </c>
      <c r="BW574" s="2" t="s">
        <v>206</v>
      </c>
      <c r="BX574" s="2" t="s">
        <v>214</v>
      </c>
      <c r="BY574" s="2" t="s">
        <v>215</v>
      </c>
      <c r="BZ574" s="2" t="s">
        <v>203</v>
      </c>
      <c r="CA574" s="2" t="s">
        <v>216</v>
      </c>
      <c r="CB574" s="2" t="s">
        <v>767</v>
      </c>
      <c r="CC574" s="2" t="s">
        <v>218</v>
      </c>
      <c r="CD574" s="2" t="s">
        <v>206</v>
      </c>
      <c r="CE574" s="4">
        <v>7</v>
      </c>
      <c r="CF574" s="4">
        <v>92</v>
      </c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/>
      <c r="ET574" s="4"/>
      <c r="EU574" s="4"/>
      <c r="EV574" s="4"/>
      <c r="EW574" s="4"/>
      <c r="EX574" s="4"/>
      <c r="EY574" s="4"/>
      <c r="EZ574" s="4"/>
      <c r="FA574" s="4"/>
      <c r="FB574" s="4"/>
      <c r="FC574" s="4"/>
      <c r="FD574" s="4"/>
      <c r="FE574" s="4"/>
      <c r="FF574" s="4"/>
      <c r="FG574" s="4"/>
      <c r="FH574" s="4"/>
      <c r="FI574" s="4"/>
      <c r="FJ574" s="4"/>
      <c r="FK574" s="4"/>
      <c r="FL574" s="4"/>
      <c r="FM574" s="4"/>
      <c r="FN574" s="4"/>
      <c r="FO574" s="4"/>
      <c r="FP574" s="4"/>
      <c r="FQ574" s="4"/>
      <c r="FR574" s="4"/>
      <c r="FS574" s="4"/>
      <c r="FT574" s="4"/>
      <c r="FU574" s="4"/>
      <c r="FV574" s="4"/>
      <c r="FW574" s="4"/>
      <c r="FX574" s="4"/>
      <c r="FY574" s="4"/>
      <c r="FZ574" s="4"/>
      <c r="GA574" s="4"/>
      <c r="GB574" s="4"/>
      <c r="GC574" s="4"/>
      <c r="GD574" s="4"/>
      <c r="GE574" s="4"/>
      <c r="GF574" s="4"/>
    </row>
    <row r="575">
      <c r="A575" s="2" t="s">
        <v>3834</v>
      </c>
      <c r="B575" s="2" t="s">
        <v>225</v>
      </c>
      <c r="C575" s="2" t="s">
        <v>1948</v>
      </c>
      <c r="D575" s="2" t="s">
        <v>227</v>
      </c>
      <c r="E575" s="2" t="s">
        <v>228</v>
      </c>
      <c r="F575" s="2" t="s">
        <v>3796</v>
      </c>
      <c r="G575" s="2" t="s">
        <v>3796</v>
      </c>
      <c r="H575" s="2" t="s">
        <v>3796</v>
      </c>
      <c r="I575" s="2" t="s">
        <v>230</v>
      </c>
      <c r="J575" s="2" t="s">
        <v>310</v>
      </c>
      <c r="K575" s="2" t="s">
        <v>709</v>
      </c>
      <c r="L575" s="3">
        <v>31.85</v>
      </c>
      <c r="M575" s="3">
        <v>33.44</v>
      </c>
      <c r="N575" s="3">
        <v>64.99</v>
      </c>
      <c r="O575" s="2" t="s">
        <v>203</v>
      </c>
      <c r="P575" s="2" t="s">
        <v>204</v>
      </c>
      <c r="Q575" s="2" t="s">
        <v>205</v>
      </c>
      <c r="R575" s="2" t="s">
        <v>206</v>
      </c>
      <c r="S575" s="2" t="s">
        <v>3829</v>
      </c>
      <c r="T575" s="2" t="s">
        <v>2576</v>
      </c>
      <c r="U575" s="2" t="s">
        <v>235</v>
      </c>
      <c r="V575" s="2" t="s">
        <v>209</v>
      </c>
      <c r="W575" s="2" t="s">
        <v>210</v>
      </c>
      <c r="X575" s="2" t="s">
        <v>439</v>
      </c>
      <c r="Y575" s="2" t="s">
        <v>211</v>
      </c>
      <c r="Z575" s="4">
        <v>185</v>
      </c>
      <c r="AA575" s="4">
        <f>=ROUNDDOWN(26.4285714285714,0)</f>
      </c>
      <c r="AB575" s="5">
        <v>7</v>
      </c>
      <c r="AC575" s="2" t="s">
        <v>206</v>
      </c>
      <c r="AD575" s="4"/>
      <c r="AE575" s="4"/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206</v>
      </c>
      <c r="AM575" s="4"/>
      <c r="AN575" s="4"/>
      <c r="AO575" s="7"/>
      <c r="AP575" s="4"/>
      <c r="AQ575" s="8"/>
      <c r="AR575" s="4"/>
      <c r="AS575" s="8"/>
      <c r="AT575" s="7"/>
      <c r="AU575" s="7"/>
      <c r="AV575" s="4" t="s">
        <v>206</v>
      </c>
      <c r="AW575" s="8" t="s">
        <v>206</v>
      </c>
      <c r="AX575" s="4" t="s">
        <v>206</v>
      </c>
      <c r="AY575" s="8" t="s">
        <v>206</v>
      </c>
      <c r="AZ575" s="7" t="s">
        <v>206</v>
      </c>
      <c r="BA575" s="7" t="s">
        <v>206</v>
      </c>
      <c r="BB575" s="7"/>
      <c r="BC575" s="4" t="s">
        <v>206</v>
      </c>
      <c r="BD575" s="8" t="s">
        <v>206</v>
      </c>
      <c r="BE575" s="4" t="s">
        <v>206</v>
      </c>
      <c r="BF575" s="8" t="s">
        <v>206</v>
      </c>
      <c r="BG575" s="7" t="s">
        <v>206</v>
      </c>
      <c r="BH575" s="7" t="s">
        <v>206</v>
      </c>
      <c r="BI575" s="7"/>
      <c r="BJ575" s="4">
        <v>24</v>
      </c>
      <c r="BK575" s="8">
        <v>821.83</v>
      </c>
      <c r="BL575" s="2" t="s">
        <v>3835</v>
      </c>
      <c r="BM575" s="7"/>
      <c r="BN575" s="7"/>
      <c r="BO575" s="4"/>
      <c r="BP575" s="8"/>
      <c r="BQ575" s="4"/>
      <c r="BR575" s="8"/>
      <c r="BS575" s="7"/>
      <c r="BT575" s="7"/>
      <c r="BU575" s="2" t="s">
        <v>3836</v>
      </c>
      <c r="BV575" s="2" t="s">
        <v>206</v>
      </c>
      <c r="BW575" s="2" t="s">
        <v>206</v>
      </c>
      <c r="BX575" s="2" t="s">
        <v>214</v>
      </c>
      <c r="BY575" s="2" t="s">
        <v>215</v>
      </c>
      <c r="BZ575" s="2" t="s">
        <v>203</v>
      </c>
      <c r="CA575" s="2" t="s">
        <v>216</v>
      </c>
      <c r="CB575" s="2" t="s">
        <v>3837</v>
      </c>
      <c r="CC575" s="2" t="s">
        <v>218</v>
      </c>
      <c r="CD575" s="2" t="s">
        <v>206</v>
      </c>
      <c r="CE575" s="4">
        <v>106</v>
      </c>
      <c r="CF575" s="4">
        <v>79</v>
      </c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/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/>
      <c r="ET575" s="4"/>
      <c r="EU575" s="4"/>
      <c r="EV575" s="4"/>
      <c r="EW575" s="4"/>
      <c r="EX575" s="4"/>
      <c r="EY575" s="4"/>
      <c r="EZ575" s="4"/>
      <c r="FA575" s="4"/>
      <c r="FB575" s="4"/>
      <c r="FC575" s="4"/>
      <c r="FD575" s="4"/>
      <c r="FE575" s="4"/>
      <c r="FF575" s="4"/>
      <c r="FG575" s="4"/>
      <c r="FH575" s="4"/>
      <c r="FI575" s="4"/>
      <c r="FJ575" s="4"/>
      <c r="FK575" s="4"/>
      <c r="FL575" s="4"/>
      <c r="FM575" s="4"/>
      <c r="FN575" s="4"/>
      <c r="FO575" s="4"/>
      <c r="FP575" s="4"/>
      <c r="FQ575" s="4"/>
      <c r="FR575" s="4"/>
      <c r="FS575" s="4"/>
      <c r="FT575" s="4"/>
      <c r="FU575" s="4"/>
      <c r="FV575" s="4"/>
      <c r="FW575" s="4"/>
      <c r="FX575" s="4"/>
      <c r="FY575" s="4"/>
      <c r="FZ575" s="4"/>
      <c r="GA575" s="4"/>
      <c r="GB575" s="4"/>
      <c r="GC575" s="4"/>
      <c r="GD575" s="4"/>
      <c r="GE575" s="4"/>
      <c r="GF575" s="4"/>
    </row>
    <row r="576">
      <c r="A576" s="2" t="s">
        <v>3838</v>
      </c>
      <c r="B576" s="2" t="s">
        <v>225</v>
      </c>
      <c r="C576" s="2" t="s">
        <v>1948</v>
      </c>
      <c r="D576" s="2" t="s">
        <v>227</v>
      </c>
      <c r="E576" s="2" t="s">
        <v>228</v>
      </c>
      <c r="F576" s="2" t="s">
        <v>3796</v>
      </c>
      <c r="G576" s="2" t="s">
        <v>3796</v>
      </c>
      <c r="H576" s="2" t="s">
        <v>3796</v>
      </c>
      <c r="I576" s="2" t="s">
        <v>230</v>
      </c>
      <c r="J576" s="2" t="s">
        <v>201</v>
      </c>
      <c r="K576" s="2" t="s">
        <v>2020</v>
      </c>
      <c r="L576" s="3">
        <v>24</v>
      </c>
      <c r="M576" s="3">
        <v>25.2</v>
      </c>
      <c r="N576" s="3">
        <v>49.99</v>
      </c>
      <c r="O576" s="2" t="s">
        <v>203</v>
      </c>
      <c r="P576" s="2" t="s">
        <v>204</v>
      </c>
      <c r="Q576" s="2" t="s">
        <v>205</v>
      </c>
      <c r="R576" s="2" t="s">
        <v>206</v>
      </c>
      <c r="S576" s="2" t="s">
        <v>3839</v>
      </c>
      <c r="T576" s="2" t="s">
        <v>2576</v>
      </c>
      <c r="U576" s="2" t="s">
        <v>556</v>
      </c>
      <c r="V576" s="2" t="s">
        <v>809</v>
      </c>
      <c r="W576" s="2" t="s">
        <v>210</v>
      </c>
      <c r="X576" s="2" t="s">
        <v>439</v>
      </c>
      <c r="Y576" s="2" t="s">
        <v>1299</v>
      </c>
      <c r="Z576" s="4">
        <v>211</v>
      </c>
      <c r="AA576" s="4">
        <f>=ROUNDDOWN(42.2,0)</f>
      </c>
      <c r="AB576" s="5">
        <v>5</v>
      </c>
      <c r="AC576" s="2" t="s">
        <v>206</v>
      </c>
      <c r="AD576" s="4"/>
      <c r="AE576" s="4"/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206</v>
      </c>
      <c r="AM576" s="4"/>
      <c r="AN576" s="4"/>
      <c r="AO576" s="7"/>
      <c r="AP576" s="4"/>
      <c r="AQ576" s="8"/>
      <c r="AR576" s="4"/>
      <c r="AS576" s="8"/>
      <c r="AT576" s="7"/>
      <c r="AU576" s="7"/>
      <c r="AV576" s="4" t="s">
        <v>206</v>
      </c>
      <c r="AW576" s="8" t="s">
        <v>206</v>
      </c>
      <c r="AX576" s="4" t="s">
        <v>206</v>
      </c>
      <c r="AY576" s="8" t="s">
        <v>206</v>
      </c>
      <c r="AZ576" s="7" t="s">
        <v>206</v>
      </c>
      <c r="BA576" s="7" t="s">
        <v>206</v>
      </c>
      <c r="BB576" s="7"/>
      <c r="BC576" s="4" t="s">
        <v>206</v>
      </c>
      <c r="BD576" s="8" t="s">
        <v>206</v>
      </c>
      <c r="BE576" s="4" t="s">
        <v>206</v>
      </c>
      <c r="BF576" s="8" t="s">
        <v>206</v>
      </c>
      <c r="BG576" s="7" t="s">
        <v>206</v>
      </c>
      <c r="BH576" s="7" t="s">
        <v>206</v>
      </c>
      <c r="BI576" s="7"/>
      <c r="BJ576" s="4">
        <v>12</v>
      </c>
      <c r="BK576" s="8">
        <v>313.64</v>
      </c>
      <c r="BL576" s="2" t="s">
        <v>719</v>
      </c>
      <c r="BM576" s="7"/>
      <c r="BN576" s="7"/>
      <c r="BO576" s="4"/>
      <c r="BP576" s="8"/>
      <c r="BQ576" s="4"/>
      <c r="BR576" s="8"/>
      <c r="BS576" s="7"/>
      <c r="BT576" s="7"/>
      <c r="BU576" s="2" t="s">
        <v>3840</v>
      </c>
      <c r="BV576" s="2" t="s">
        <v>206</v>
      </c>
      <c r="BW576" s="2" t="s">
        <v>206</v>
      </c>
      <c r="BX576" s="2" t="s">
        <v>214</v>
      </c>
      <c r="BY576" s="2" t="s">
        <v>215</v>
      </c>
      <c r="BZ576" s="2" t="s">
        <v>203</v>
      </c>
      <c r="CA576" s="2" t="s">
        <v>1996</v>
      </c>
      <c r="CB576" s="2" t="s">
        <v>206</v>
      </c>
      <c r="CC576" s="2" t="s">
        <v>218</v>
      </c>
      <c r="CD576" s="2" t="s">
        <v>206</v>
      </c>
      <c r="CE576" s="4">
        <v>133</v>
      </c>
      <c r="CF576" s="4">
        <v>78</v>
      </c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  <c r="EJ576" s="4"/>
      <c r="EK576" s="4"/>
      <c r="EL576" s="4"/>
      <c r="EM576" s="4"/>
      <c r="EN576" s="4"/>
      <c r="EO576" s="4"/>
      <c r="EP576" s="4"/>
      <c r="EQ576" s="4"/>
      <c r="ER576" s="4"/>
      <c r="ES576" s="4"/>
      <c r="ET576" s="4"/>
      <c r="EU576" s="4"/>
      <c r="EV576" s="4"/>
      <c r="EW576" s="4"/>
      <c r="EX576" s="4"/>
      <c r="EY576" s="4"/>
      <c r="EZ576" s="4"/>
      <c r="FA576" s="4"/>
      <c r="FB576" s="4"/>
      <c r="FC576" s="4"/>
      <c r="FD576" s="4"/>
      <c r="FE576" s="4"/>
      <c r="FF576" s="4"/>
      <c r="FG576" s="4"/>
      <c r="FH576" s="4"/>
      <c r="FI576" s="4"/>
      <c r="FJ576" s="4"/>
      <c r="FK576" s="4"/>
      <c r="FL576" s="4"/>
      <c r="FM576" s="4"/>
      <c r="FN576" s="4"/>
      <c r="FO576" s="4"/>
      <c r="FP576" s="4"/>
      <c r="FQ576" s="4"/>
      <c r="FR576" s="4"/>
      <c r="FS576" s="4"/>
      <c r="FT576" s="4"/>
      <c r="FU576" s="4"/>
      <c r="FV576" s="4"/>
      <c r="FW576" s="4"/>
      <c r="FX576" s="4"/>
      <c r="FY576" s="4"/>
      <c r="FZ576" s="4"/>
      <c r="GA576" s="4"/>
      <c r="GB576" s="4"/>
      <c r="GC576" s="4"/>
      <c r="GD576" s="4"/>
      <c r="GE576" s="4"/>
      <c r="GF576" s="4"/>
    </row>
    <row r="577">
      <c r="A577" s="2" t="s">
        <v>3841</v>
      </c>
      <c r="B577" s="2" t="s">
        <v>225</v>
      </c>
      <c r="C577" s="2" t="s">
        <v>1948</v>
      </c>
      <c r="D577" s="2" t="s">
        <v>227</v>
      </c>
      <c r="E577" s="2" t="s">
        <v>228</v>
      </c>
      <c r="F577" s="2" t="s">
        <v>3796</v>
      </c>
      <c r="G577" s="2" t="s">
        <v>3796</v>
      </c>
      <c r="H577" s="2" t="s">
        <v>3796</v>
      </c>
      <c r="I577" s="2" t="s">
        <v>230</v>
      </c>
      <c r="J577" s="2" t="s">
        <v>220</v>
      </c>
      <c r="K577" s="2" t="s">
        <v>2020</v>
      </c>
      <c r="L577" s="3">
        <v>28.2</v>
      </c>
      <c r="M577" s="3">
        <v>29.61</v>
      </c>
      <c r="N577" s="3">
        <v>59.99</v>
      </c>
      <c r="O577" s="2" t="s">
        <v>203</v>
      </c>
      <c r="P577" s="2" t="s">
        <v>204</v>
      </c>
      <c r="Q577" s="2" t="s">
        <v>205</v>
      </c>
      <c r="R577" s="2" t="s">
        <v>206</v>
      </c>
      <c r="S577" s="2" t="s">
        <v>3839</v>
      </c>
      <c r="T577" s="2" t="s">
        <v>2576</v>
      </c>
      <c r="U577" s="2" t="s">
        <v>235</v>
      </c>
      <c r="V577" s="2" t="s">
        <v>809</v>
      </c>
      <c r="W577" s="2" t="s">
        <v>210</v>
      </c>
      <c r="X577" s="2" t="s">
        <v>439</v>
      </c>
      <c r="Y577" s="2" t="s">
        <v>1299</v>
      </c>
      <c r="Z577" s="4">
        <v>303</v>
      </c>
      <c r="AA577" s="4">
        <f>=ROUNDDOWN(43.2857142857143,0)</f>
      </c>
      <c r="AB577" s="5">
        <v>7</v>
      </c>
      <c r="AC577" s="2" t="s">
        <v>206</v>
      </c>
      <c r="AD577" s="4"/>
      <c r="AE577" s="4"/>
      <c r="AF577" s="6">
        <v>65</v>
      </c>
      <c r="AG577" s="6"/>
      <c r="AH577" s="7">
        <v>1</v>
      </c>
      <c r="AI577" s="4"/>
      <c r="AJ577" s="4">
        <f>=ROUNDDOWN({0},0)</f>
      </c>
      <c r="AK577" s="5"/>
      <c r="AL577" s="2" t="s">
        <v>206</v>
      </c>
      <c r="AM577" s="4"/>
      <c r="AN577" s="4"/>
      <c r="AO577" s="7"/>
      <c r="AP577" s="4"/>
      <c r="AQ577" s="8"/>
      <c r="AR577" s="4"/>
      <c r="AS577" s="8"/>
      <c r="AT577" s="7"/>
      <c r="AU577" s="7"/>
      <c r="AV577" s="4" t="s">
        <v>206</v>
      </c>
      <c r="AW577" s="8" t="s">
        <v>206</v>
      </c>
      <c r="AX577" s="4" t="s">
        <v>206</v>
      </c>
      <c r="AY577" s="8" t="s">
        <v>206</v>
      </c>
      <c r="AZ577" s="7" t="s">
        <v>206</v>
      </c>
      <c r="BA577" s="7" t="s">
        <v>206</v>
      </c>
      <c r="BB577" s="7"/>
      <c r="BC577" s="4" t="s">
        <v>206</v>
      </c>
      <c r="BD577" s="8" t="s">
        <v>206</v>
      </c>
      <c r="BE577" s="4" t="s">
        <v>206</v>
      </c>
      <c r="BF577" s="8" t="s">
        <v>206</v>
      </c>
      <c r="BG577" s="7" t="s">
        <v>206</v>
      </c>
      <c r="BH577" s="7" t="s">
        <v>206</v>
      </c>
      <c r="BI577" s="7"/>
      <c r="BJ577" s="4">
        <v>18</v>
      </c>
      <c r="BK577" s="8">
        <v>474.09</v>
      </c>
      <c r="BL577" s="2" t="s">
        <v>3842</v>
      </c>
      <c r="BM577" s="7"/>
      <c r="BN577" s="7"/>
      <c r="BO577" s="4"/>
      <c r="BP577" s="8"/>
      <c r="BQ577" s="4"/>
      <c r="BR577" s="8"/>
      <c r="BS577" s="7"/>
      <c r="BT577" s="7"/>
      <c r="BU577" s="2" t="s">
        <v>3843</v>
      </c>
      <c r="BV577" s="2" t="s">
        <v>206</v>
      </c>
      <c r="BW577" s="2" t="s">
        <v>206</v>
      </c>
      <c r="BX577" s="2" t="s">
        <v>214</v>
      </c>
      <c r="BY577" s="2" t="s">
        <v>215</v>
      </c>
      <c r="BZ577" s="2" t="s">
        <v>203</v>
      </c>
      <c r="CA577" s="2" t="s">
        <v>1996</v>
      </c>
      <c r="CB577" s="2" t="s">
        <v>3616</v>
      </c>
      <c r="CC577" s="2" t="s">
        <v>218</v>
      </c>
      <c r="CD577" s="2" t="s">
        <v>206</v>
      </c>
      <c r="CE577" s="4">
        <v>186</v>
      </c>
      <c r="CF577" s="4">
        <v>117</v>
      </c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  <c r="EJ577" s="4"/>
      <c r="EK577" s="4"/>
      <c r="EL577" s="4"/>
      <c r="EM577" s="4"/>
      <c r="EN577" s="4"/>
      <c r="EO577" s="4"/>
      <c r="EP577" s="4"/>
      <c r="EQ577" s="4"/>
      <c r="ER577" s="4"/>
      <c r="ES577" s="4"/>
      <c r="ET577" s="4"/>
      <c r="EU577" s="4"/>
      <c r="EV577" s="4"/>
      <c r="EW577" s="4"/>
      <c r="EX577" s="4"/>
      <c r="EY577" s="4"/>
      <c r="EZ577" s="4"/>
      <c r="FA577" s="4"/>
      <c r="FB577" s="4"/>
      <c r="FC577" s="4"/>
      <c r="FD577" s="4"/>
      <c r="FE577" s="4"/>
      <c r="FF577" s="4"/>
      <c r="FG577" s="4"/>
      <c r="FH577" s="4"/>
      <c r="FI577" s="4"/>
      <c r="FJ577" s="4"/>
      <c r="FK577" s="4"/>
      <c r="FL577" s="4"/>
      <c r="FM577" s="4"/>
      <c r="FN577" s="4"/>
      <c r="FO577" s="4"/>
      <c r="FP577" s="4"/>
      <c r="FQ577" s="4"/>
      <c r="FR577" s="4"/>
      <c r="FS577" s="4"/>
      <c r="FT577" s="4"/>
      <c r="FU577" s="4"/>
      <c r="FV577" s="4"/>
      <c r="FW577" s="4"/>
      <c r="FX577" s="4"/>
      <c r="FY577" s="4"/>
      <c r="FZ577" s="4"/>
      <c r="GA577" s="4"/>
      <c r="GB577" s="4"/>
      <c r="GC577" s="4"/>
      <c r="GD577" s="4"/>
      <c r="GE577" s="4"/>
      <c r="GF577" s="4"/>
    </row>
    <row r="578">
      <c r="A578" s="2" t="s">
        <v>3844</v>
      </c>
      <c r="B578" s="2" t="s">
        <v>225</v>
      </c>
      <c r="C578" s="2" t="s">
        <v>1948</v>
      </c>
      <c r="D578" s="2" t="s">
        <v>227</v>
      </c>
      <c r="E578" s="2" t="s">
        <v>228</v>
      </c>
      <c r="F578" s="2" t="s">
        <v>3796</v>
      </c>
      <c r="G578" s="2" t="s">
        <v>3796</v>
      </c>
      <c r="H578" s="2" t="s">
        <v>3796</v>
      </c>
      <c r="I578" s="2" t="s">
        <v>230</v>
      </c>
      <c r="J578" s="2" t="s">
        <v>231</v>
      </c>
      <c r="K578" s="2" t="s">
        <v>2020</v>
      </c>
      <c r="L578" s="3">
        <v>34.5</v>
      </c>
      <c r="M578" s="3">
        <v>36.23</v>
      </c>
      <c r="N578" s="3">
        <v>74.99</v>
      </c>
      <c r="O578" s="2" t="s">
        <v>203</v>
      </c>
      <c r="P578" s="2" t="s">
        <v>204</v>
      </c>
      <c r="Q578" s="2" t="s">
        <v>205</v>
      </c>
      <c r="R578" s="2" t="s">
        <v>206</v>
      </c>
      <c r="S578" s="2" t="s">
        <v>3839</v>
      </c>
      <c r="T578" s="2" t="s">
        <v>2576</v>
      </c>
      <c r="U578" s="2" t="s">
        <v>235</v>
      </c>
      <c r="V578" s="2" t="s">
        <v>809</v>
      </c>
      <c r="W578" s="2" t="s">
        <v>210</v>
      </c>
      <c r="X578" s="2" t="s">
        <v>439</v>
      </c>
      <c r="Y578" s="2" t="s">
        <v>1299</v>
      </c>
      <c r="Z578" s="4">
        <v>365</v>
      </c>
      <c r="AA578" s="4">
        <f>=ROUNDDOWN(36.5,0)</f>
      </c>
      <c r="AB578" s="5">
        <v>10</v>
      </c>
      <c r="AC578" s="2" t="s">
        <v>206</v>
      </c>
      <c r="AD578" s="4"/>
      <c r="AE578" s="4"/>
      <c r="AF578" s="6">
        <v>65</v>
      </c>
      <c r="AG578" s="6"/>
      <c r="AH578" s="7">
        <v>1</v>
      </c>
      <c r="AI578" s="4"/>
      <c r="AJ578" s="4">
        <f>=ROUNDDOWN({0},0)</f>
      </c>
      <c r="AK578" s="5"/>
      <c r="AL578" s="2" t="s">
        <v>206</v>
      </c>
      <c r="AM578" s="4"/>
      <c r="AN578" s="4"/>
      <c r="AO578" s="7"/>
      <c r="AP578" s="4"/>
      <c r="AQ578" s="8"/>
      <c r="AR578" s="4"/>
      <c r="AS578" s="8"/>
      <c r="AT578" s="7"/>
      <c r="AU578" s="7"/>
      <c r="AV578" s="4" t="s">
        <v>206</v>
      </c>
      <c r="AW578" s="8" t="s">
        <v>206</v>
      </c>
      <c r="AX578" s="4" t="s">
        <v>206</v>
      </c>
      <c r="AY578" s="8" t="s">
        <v>206</v>
      </c>
      <c r="AZ578" s="7" t="s">
        <v>206</v>
      </c>
      <c r="BA578" s="7" t="s">
        <v>206</v>
      </c>
      <c r="BB578" s="7"/>
      <c r="BC578" s="4" t="s">
        <v>206</v>
      </c>
      <c r="BD578" s="8" t="s">
        <v>206</v>
      </c>
      <c r="BE578" s="4" t="s">
        <v>206</v>
      </c>
      <c r="BF578" s="8" t="s">
        <v>206</v>
      </c>
      <c r="BG578" s="7" t="s">
        <v>206</v>
      </c>
      <c r="BH578" s="7" t="s">
        <v>206</v>
      </c>
      <c r="BI578" s="7"/>
      <c r="BJ578" s="4">
        <v>30</v>
      </c>
      <c r="BK578" s="8">
        <v>1056.4</v>
      </c>
      <c r="BL578" s="2" t="s">
        <v>575</v>
      </c>
      <c r="BM578" s="7"/>
      <c r="BN578" s="7"/>
      <c r="BO578" s="4"/>
      <c r="BP578" s="8"/>
      <c r="BQ578" s="4"/>
      <c r="BR578" s="8"/>
      <c r="BS578" s="7"/>
      <c r="BT578" s="7"/>
      <c r="BU578" s="2" t="s">
        <v>3845</v>
      </c>
      <c r="BV578" s="2" t="s">
        <v>206</v>
      </c>
      <c r="BW578" s="2" t="s">
        <v>206</v>
      </c>
      <c r="BX578" s="2" t="s">
        <v>214</v>
      </c>
      <c r="BY578" s="2" t="s">
        <v>215</v>
      </c>
      <c r="BZ578" s="2" t="s">
        <v>203</v>
      </c>
      <c r="CA578" s="2" t="s">
        <v>1996</v>
      </c>
      <c r="CB578" s="2" t="s">
        <v>3846</v>
      </c>
      <c r="CC578" s="2" t="s">
        <v>218</v>
      </c>
      <c r="CD578" s="2" t="s">
        <v>206</v>
      </c>
      <c r="CE578" s="4">
        <v>216</v>
      </c>
      <c r="CF578" s="4">
        <v>149</v>
      </c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  <c r="EM578" s="4"/>
      <c r="EN578" s="4"/>
      <c r="EO578" s="4"/>
      <c r="EP578" s="4"/>
      <c r="EQ578" s="4"/>
      <c r="ER578" s="4"/>
      <c r="ES578" s="4"/>
      <c r="ET578" s="4"/>
      <c r="EU578" s="4"/>
      <c r="EV578" s="4"/>
      <c r="EW578" s="4"/>
      <c r="EX578" s="4"/>
      <c r="EY578" s="4"/>
      <c r="EZ578" s="4"/>
      <c r="FA578" s="4"/>
      <c r="FB578" s="4"/>
      <c r="FC578" s="4"/>
      <c r="FD578" s="4"/>
      <c r="FE578" s="4"/>
      <c r="FF578" s="4"/>
      <c r="FG578" s="4"/>
      <c r="FH578" s="4"/>
      <c r="FI578" s="4"/>
      <c r="FJ578" s="4"/>
      <c r="FK578" s="4"/>
      <c r="FL578" s="4"/>
      <c r="FM578" s="4"/>
      <c r="FN578" s="4"/>
      <c r="FO578" s="4"/>
      <c r="FP578" s="4"/>
      <c r="FQ578" s="4"/>
      <c r="FR578" s="4"/>
      <c r="FS578" s="4"/>
      <c r="FT578" s="4"/>
      <c r="FU578" s="4"/>
      <c r="FV578" s="4"/>
      <c r="FW578" s="4"/>
      <c r="FX578" s="4"/>
      <c r="FY578" s="4"/>
      <c r="FZ578" s="4"/>
      <c r="GA578" s="4"/>
      <c r="GB578" s="4"/>
      <c r="GC578" s="4"/>
      <c r="GD578" s="4"/>
      <c r="GE578" s="4"/>
      <c r="GF578" s="4"/>
    </row>
    <row r="579">
      <c r="A579" s="2" t="s">
        <v>3847</v>
      </c>
      <c r="B579" s="2" t="s">
        <v>225</v>
      </c>
      <c r="C579" s="2" t="s">
        <v>1948</v>
      </c>
      <c r="D579" s="2" t="s">
        <v>227</v>
      </c>
      <c r="E579" s="2" t="s">
        <v>228</v>
      </c>
      <c r="F579" s="2" t="s">
        <v>3796</v>
      </c>
      <c r="G579" s="2" t="s">
        <v>3796</v>
      </c>
      <c r="H579" s="2" t="s">
        <v>3796</v>
      </c>
      <c r="I579" s="2" t="s">
        <v>230</v>
      </c>
      <c r="J579" s="2" t="s">
        <v>201</v>
      </c>
      <c r="K579" s="2" t="s">
        <v>3848</v>
      </c>
      <c r="L579" s="3">
        <v>24</v>
      </c>
      <c r="M579" s="3">
        <v>25.2</v>
      </c>
      <c r="N579" s="3">
        <v>49.99</v>
      </c>
      <c r="O579" s="2" t="s">
        <v>203</v>
      </c>
      <c r="P579" s="2" t="s">
        <v>204</v>
      </c>
      <c r="Q579" s="2" t="s">
        <v>205</v>
      </c>
      <c r="R579" s="2" t="s">
        <v>206</v>
      </c>
      <c r="S579" s="2" t="s">
        <v>3849</v>
      </c>
      <c r="T579" s="2" t="s">
        <v>2576</v>
      </c>
      <c r="U579" s="2" t="s">
        <v>556</v>
      </c>
      <c r="V579" s="2" t="s">
        <v>1932</v>
      </c>
      <c r="W579" s="2" t="s">
        <v>210</v>
      </c>
      <c r="X579" s="2" t="s">
        <v>439</v>
      </c>
      <c r="Y579" s="2" t="s">
        <v>1299</v>
      </c>
      <c r="Z579" s="4">
        <v>326</v>
      </c>
      <c r="AA579" s="4">
        <f>=ROUNDDOWN(32.6,0)</f>
      </c>
      <c r="AB579" s="5">
        <v>10</v>
      </c>
      <c r="AC579" s="2" t="s">
        <v>206</v>
      </c>
      <c r="AD579" s="4"/>
      <c r="AE579" s="4"/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206</v>
      </c>
      <c r="AM579" s="4"/>
      <c r="AN579" s="4"/>
      <c r="AO579" s="7"/>
      <c r="AP579" s="4"/>
      <c r="AQ579" s="8"/>
      <c r="AR579" s="4"/>
      <c r="AS579" s="8"/>
      <c r="AT579" s="7"/>
      <c r="AU579" s="7"/>
      <c r="AV579" s="4" t="s">
        <v>206</v>
      </c>
      <c r="AW579" s="8" t="s">
        <v>206</v>
      </c>
      <c r="AX579" s="4" t="s">
        <v>206</v>
      </c>
      <c r="AY579" s="8" t="s">
        <v>206</v>
      </c>
      <c r="AZ579" s="7" t="s">
        <v>206</v>
      </c>
      <c r="BA579" s="7" t="s">
        <v>206</v>
      </c>
      <c r="BB579" s="7"/>
      <c r="BC579" s="4" t="s">
        <v>206</v>
      </c>
      <c r="BD579" s="8" t="s">
        <v>206</v>
      </c>
      <c r="BE579" s="4" t="s">
        <v>206</v>
      </c>
      <c r="BF579" s="8" t="s">
        <v>206</v>
      </c>
      <c r="BG579" s="7" t="s">
        <v>206</v>
      </c>
      <c r="BH579" s="7" t="s">
        <v>206</v>
      </c>
      <c r="BI579" s="7"/>
      <c r="BJ579" s="4">
        <v>26</v>
      </c>
      <c r="BK579" s="8">
        <v>646.56</v>
      </c>
      <c r="BL579" s="2" t="s">
        <v>719</v>
      </c>
      <c r="BM579" s="7"/>
      <c r="BN579" s="7"/>
      <c r="BO579" s="4"/>
      <c r="BP579" s="8"/>
      <c r="BQ579" s="4"/>
      <c r="BR579" s="8"/>
      <c r="BS579" s="7"/>
      <c r="BT579" s="7"/>
      <c r="BU579" s="2" t="s">
        <v>3850</v>
      </c>
      <c r="BV579" s="2" t="s">
        <v>206</v>
      </c>
      <c r="BW579" s="2" t="s">
        <v>206</v>
      </c>
      <c r="BX579" s="2" t="s">
        <v>214</v>
      </c>
      <c r="BY579" s="2" t="s">
        <v>215</v>
      </c>
      <c r="BZ579" s="2" t="s">
        <v>203</v>
      </c>
      <c r="CA579" s="2" t="s">
        <v>1996</v>
      </c>
      <c r="CB579" s="2" t="s">
        <v>2912</v>
      </c>
      <c r="CC579" s="2" t="s">
        <v>218</v>
      </c>
      <c r="CD579" s="2" t="s">
        <v>206</v>
      </c>
      <c r="CE579" s="4">
        <v>188</v>
      </c>
      <c r="CF579" s="4">
        <v>138</v>
      </c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  <c r="EM579" s="4"/>
      <c r="EN579" s="4"/>
      <c r="EO579" s="4"/>
      <c r="EP579" s="4"/>
      <c r="EQ579" s="4"/>
      <c r="ER579" s="4"/>
      <c r="ES579" s="4"/>
      <c r="ET579" s="4"/>
      <c r="EU579" s="4"/>
      <c r="EV579" s="4"/>
      <c r="EW579" s="4"/>
      <c r="EX579" s="4"/>
      <c r="EY579" s="4"/>
      <c r="EZ579" s="4"/>
      <c r="FA579" s="4"/>
      <c r="FB579" s="4"/>
      <c r="FC579" s="4"/>
      <c r="FD579" s="4"/>
      <c r="FE579" s="4"/>
      <c r="FF579" s="4"/>
      <c r="FG579" s="4"/>
      <c r="FH579" s="4"/>
      <c r="FI579" s="4"/>
      <c r="FJ579" s="4"/>
      <c r="FK579" s="4"/>
      <c r="FL579" s="4"/>
      <c r="FM579" s="4"/>
      <c r="FN579" s="4"/>
      <c r="FO579" s="4"/>
      <c r="FP579" s="4"/>
      <c r="FQ579" s="4"/>
      <c r="FR579" s="4"/>
      <c r="FS579" s="4"/>
      <c r="FT579" s="4"/>
      <c r="FU579" s="4"/>
      <c r="FV579" s="4"/>
      <c r="FW579" s="4"/>
      <c r="FX579" s="4"/>
      <c r="FY579" s="4"/>
      <c r="FZ579" s="4"/>
      <c r="GA579" s="4"/>
      <c r="GB579" s="4"/>
      <c r="GC579" s="4"/>
      <c r="GD579" s="4"/>
      <c r="GE579" s="4"/>
      <c r="GF579" s="4"/>
    </row>
    <row r="580">
      <c r="A580" s="2" t="s">
        <v>3851</v>
      </c>
      <c r="B580" s="2" t="s">
        <v>225</v>
      </c>
      <c r="C580" s="2" t="s">
        <v>1948</v>
      </c>
      <c r="D580" s="2" t="s">
        <v>227</v>
      </c>
      <c r="E580" s="2" t="s">
        <v>228</v>
      </c>
      <c r="F580" s="2" t="s">
        <v>3796</v>
      </c>
      <c r="G580" s="2" t="s">
        <v>3796</v>
      </c>
      <c r="H580" s="2" t="s">
        <v>3796</v>
      </c>
      <c r="I580" s="2" t="s">
        <v>230</v>
      </c>
      <c r="J580" s="2" t="s">
        <v>220</v>
      </c>
      <c r="K580" s="2" t="s">
        <v>3848</v>
      </c>
      <c r="L580" s="3">
        <v>28.2</v>
      </c>
      <c r="M580" s="3">
        <v>29.61</v>
      </c>
      <c r="N580" s="3">
        <v>59.99</v>
      </c>
      <c r="O580" s="2" t="s">
        <v>203</v>
      </c>
      <c r="P580" s="2" t="s">
        <v>204</v>
      </c>
      <c r="Q580" s="2" t="s">
        <v>205</v>
      </c>
      <c r="R580" s="2" t="s">
        <v>206</v>
      </c>
      <c r="S580" s="2" t="s">
        <v>3849</v>
      </c>
      <c r="T580" s="2" t="s">
        <v>2576</v>
      </c>
      <c r="U580" s="2" t="s">
        <v>235</v>
      </c>
      <c r="V580" s="2" t="s">
        <v>1932</v>
      </c>
      <c r="W580" s="2" t="s">
        <v>210</v>
      </c>
      <c r="X580" s="2" t="s">
        <v>439</v>
      </c>
      <c r="Y580" s="2" t="s">
        <v>1299</v>
      </c>
      <c r="Z580" s="4">
        <v>332</v>
      </c>
      <c r="AA580" s="4">
        <f>=ROUNDDOWN(36.8888888888889,0)</f>
      </c>
      <c r="AB580" s="5">
        <v>9</v>
      </c>
      <c r="AC580" s="2" t="s">
        <v>206</v>
      </c>
      <c r="AD580" s="4"/>
      <c r="AE580" s="4"/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206</v>
      </c>
      <c r="AM580" s="4"/>
      <c r="AN580" s="4"/>
      <c r="AO580" s="7"/>
      <c r="AP580" s="4"/>
      <c r="AQ580" s="8"/>
      <c r="AR580" s="4"/>
      <c r="AS580" s="8"/>
      <c r="AT580" s="7"/>
      <c r="AU580" s="7"/>
      <c r="AV580" s="4" t="s">
        <v>206</v>
      </c>
      <c r="AW580" s="8" t="s">
        <v>206</v>
      </c>
      <c r="AX580" s="4" t="s">
        <v>206</v>
      </c>
      <c r="AY580" s="8" t="s">
        <v>206</v>
      </c>
      <c r="AZ580" s="7" t="s">
        <v>206</v>
      </c>
      <c r="BA580" s="7" t="s">
        <v>206</v>
      </c>
      <c r="BB580" s="7"/>
      <c r="BC580" s="4" t="s">
        <v>206</v>
      </c>
      <c r="BD580" s="8" t="s">
        <v>206</v>
      </c>
      <c r="BE580" s="4" t="s">
        <v>206</v>
      </c>
      <c r="BF580" s="8" t="s">
        <v>206</v>
      </c>
      <c r="BG580" s="7" t="s">
        <v>206</v>
      </c>
      <c r="BH580" s="7" t="s">
        <v>206</v>
      </c>
      <c r="BI580" s="7"/>
      <c r="BJ580" s="4">
        <v>45</v>
      </c>
      <c r="BK580" s="8">
        <v>1315.03</v>
      </c>
      <c r="BL580" s="2" t="s">
        <v>3852</v>
      </c>
      <c r="BM580" s="7"/>
      <c r="BN580" s="7"/>
      <c r="BO580" s="4"/>
      <c r="BP580" s="8"/>
      <c r="BQ580" s="4"/>
      <c r="BR580" s="8"/>
      <c r="BS580" s="7"/>
      <c r="BT580" s="7"/>
      <c r="BU580" s="2" t="s">
        <v>3853</v>
      </c>
      <c r="BV580" s="2" t="s">
        <v>206</v>
      </c>
      <c r="BW580" s="2" t="s">
        <v>206</v>
      </c>
      <c r="BX580" s="2" t="s">
        <v>214</v>
      </c>
      <c r="BY580" s="2" t="s">
        <v>215</v>
      </c>
      <c r="BZ580" s="2" t="s">
        <v>203</v>
      </c>
      <c r="CA580" s="2" t="s">
        <v>1996</v>
      </c>
      <c r="CB580" s="2" t="s">
        <v>2919</v>
      </c>
      <c r="CC580" s="2" t="s">
        <v>218</v>
      </c>
      <c r="CD580" s="2" t="s">
        <v>206</v>
      </c>
      <c r="CE580" s="4">
        <v>196</v>
      </c>
      <c r="CF580" s="4">
        <v>136</v>
      </c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  <c r="EM580" s="4"/>
      <c r="EN580" s="4"/>
      <c r="EO580" s="4"/>
      <c r="EP580" s="4"/>
      <c r="EQ580" s="4"/>
      <c r="ER580" s="4"/>
      <c r="ES580" s="4"/>
      <c r="ET580" s="4"/>
      <c r="EU580" s="4"/>
      <c r="EV580" s="4"/>
      <c r="EW580" s="4"/>
      <c r="EX580" s="4"/>
      <c r="EY580" s="4"/>
      <c r="EZ580" s="4"/>
      <c r="FA580" s="4"/>
      <c r="FB580" s="4"/>
      <c r="FC580" s="4"/>
      <c r="FD580" s="4"/>
      <c r="FE580" s="4"/>
      <c r="FF580" s="4"/>
      <c r="FG580" s="4"/>
      <c r="FH580" s="4"/>
      <c r="FI580" s="4"/>
      <c r="FJ580" s="4"/>
      <c r="FK580" s="4"/>
      <c r="FL580" s="4"/>
      <c r="FM580" s="4"/>
      <c r="FN580" s="4"/>
      <c r="FO580" s="4"/>
      <c r="FP580" s="4"/>
      <c r="FQ580" s="4"/>
      <c r="FR580" s="4"/>
      <c r="FS580" s="4"/>
      <c r="FT580" s="4"/>
      <c r="FU580" s="4"/>
      <c r="FV580" s="4"/>
      <c r="FW580" s="4"/>
      <c r="FX580" s="4"/>
      <c r="FY580" s="4"/>
      <c r="FZ580" s="4"/>
      <c r="GA580" s="4"/>
      <c r="GB580" s="4"/>
      <c r="GC580" s="4"/>
      <c r="GD580" s="4"/>
      <c r="GE580" s="4"/>
      <c r="GF580" s="4"/>
    </row>
    <row r="581">
      <c r="A581" s="2" t="s">
        <v>3854</v>
      </c>
      <c r="B581" s="2" t="s">
        <v>225</v>
      </c>
      <c r="C581" s="2" t="s">
        <v>1948</v>
      </c>
      <c r="D581" s="2" t="s">
        <v>227</v>
      </c>
      <c r="E581" s="2" t="s">
        <v>228</v>
      </c>
      <c r="F581" s="2" t="s">
        <v>3796</v>
      </c>
      <c r="G581" s="2" t="s">
        <v>3796</v>
      </c>
      <c r="H581" s="2" t="s">
        <v>3796</v>
      </c>
      <c r="I581" s="2" t="s">
        <v>230</v>
      </c>
      <c r="J581" s="2" t="s">
        <v>201</v>
      </c>
      <c r="K581" s="2" t="s">
        <v>353</v>
      </c>
      <c r="L581" s="3">
        <v>21.62</v>
      </c>
      <c r="M581" s="3">
        <v>22.7</v>
      </c>
      <c r="N581" s="3">
        <v>46.99</v>
      </c>
      <c r="O581" s="2" t="s">
        <v>203</v>
      </c>
      <c r="P581" s="2" t="s">
        <v>204</v>
      </c>
      <c r="Q581" s="2" t="s">
        <v>205</v>
      </c>
      <c r="R581" s="2" t="s">
        <v>206</v>
      </c>
      <c r="S581" s="2" t="s">
        <v>3855</v>
      </c>
      <c r="T581" s="2" t="s">
        <v>2576</v>
      </c>
      <c r="U581" s="2" t="s">
        <v>556</v>
      </c>
      <c r="V581" s="2" t="s">
        <v>209</v>
      </c>
      <c r="W581" s="2" t="s">
        <v>210</v>
      </c>
      <c r="X581" s="2" t="s">
        <v>439</v>
      </c>
      <c r="Y581" s="2" t="s">
        <v>211</v>
      </c>
      <c r="Z581" s="4">
        <v>291</v>
      </c>
      <c r="AA581" s="4">
        <f>=ROUNDDOWN(17.1176470588235,0)</f>
      </c>
      <c r="AB581" s="5">
        <v>17</v>
      </c>
      <c r="AC581" s="2" t="s">
        <v>206</v>
      </c>
      <c r="AD581" s="4"/>
      <c r="AE581" s="4"/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206</v>
      </c>
      <c r="AM581" s="4"/>
      <c r="AN581" s="4"/>
      <c r="AO581" s="7"/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 t="s">
        <v>206</v>
      </c>
      <c r="BD581" s="8" t="s">
        <v>206</v>
      </c>
      <c r="BE581" s="4" t="s">
        <v>206</v>
      </c>
      <c r="BF581" s="8" t="s">
        <v>206</v>
      </c>
      <c r="BG581" s="7" t="s">
        <v>206</v>
      </c>
      <c r="BH581" s="7" t="s">
        <v>206</v>
      </c>
      <c r="BI581" s="7"/>
      <c r="BJ581" s="4">
        <v>154</v>
      </c>
      <c r="BK581" s="8">
        <v>3629.71</v>
      </c>
      <c r="BL581" s="2" t="s">
        <v>3856</v>
      </c>
      <c r="BM581" s="7"/>
      <c r="BN581" s="7"/>
      <c r="BO581" s="4"/>
      <c r="BP581" s="8"/>
      <c r="BQ581" s="4"/>
      <c r="BR581" s="8"/>
      <c r="BS581" s="7"/>
      <c r="BT581" s="7"/>
      <c r="BU581" s="2" t="s">
        <v>3857</v>
      </c>
      <c r="BV581" s="2" t="s">
        <v>206</v>
      </c>
      <c r="BW581" s="2" t="s">
        <v>206</v>
      </c>
      <c r="BX581" s="2" t="s">
        <v>214</v>
      </c>
      <c r="BY581" s="2" t="s">
        <v>215</v>
      </c>
      <c r="BZ581" s="2" t="s">
        <v>203</v>
      </c>
      <c r="CA581" s="2" t="s">
        <v>216</v>
      </c>
      <c r="CB581" s="2" t="s">
        <v>3858</v>
      </c>
      <c r="CC581" s="2" t="s">
        <v>218</v>
      </c>
      <c r="CD581" s="2" t="s">
        <v>206</v>
      </c>
      <c r="CE581" s="4">
        <v>111</v>
      </c>
      <c r="CF581" s="4">
        <v>180</v>
      </c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/>
      <c r="ES581" s="4"/>
      <c r="ET581" s="4"/>
      <c r="EU581" s="4"/>
      <c r="EV581" s="4"/>
      <c r="EW581" s="4"/>
      <c r="EX581" s="4"/>
      <c r="EY581" s="4"/>
      <c r="EZ581" s="4"/>
      <c r="FA581" s="4"/>
      <c r="FB581" s="4"/>
      <c r="FC581" s="4"/>
      <c r="FD581" s="4"/>
      <c r="FE581" s="4"/>
      <c r="FF581" s="4"/>
      <c r="FG581" s="4"/>
      <c r="FH581" s="4"/>
      <c r="FI581" s="4"/>
      <c r="FJ581" s="4"/>
      <c r="FK581" s="4"/>
      <c r="FL581" s="4"/>
      <c r="FM581" s="4"/>
      <c r="FN581" s="4"/>
      <c r="FO581" s="4"/>
      <c r="FP581" s="4"/>
      <c r="FQ581" s="4"/>
      <c r="FR581" s="4"/>
      <c r="FS581" s="4"/>
      <c r="FT581" s="4"/>
      <c r="FU581" s="4"/>
      <c r="FV581" s="4"/>
      <c r="FW581" s="4"/>
      <c r="FX581" s="4"/>
      <c r="FY581" s="4"/>
      <c r="FZ581" s="4"/>
      <c r="GA581" s="4"/>
      <c r="GB581" s="4"/>
      <c r="GC581" s="4"/>
      <c r="GD581" s="4"/>
      <c r="GE581" s="4"/>
      <c r="GF581" s="4"/>
    </row>
    <row r="582">
      <c r="A582" s="2" t="s">
        <v>3859</v>
      </c>
      <c r="B582" s="2" t="s">
        <v>225</v>
      </c>
      <c r="C582" s="2" t="s">
        <v>1948</v>
      </c>
      <c r="D582" s="2" t="s">
        <v>227</v>
      </c>
      <c r="E582" s="2" t="s">
        <v>228</v>
      </c>
      <c r="F582" s="2" t="s">
        <v>3796</v>
      </c>
      <c r="G582" s="2" t="s">
        <v>3796</v>
      </c>
      <c r="H582" s="2" t="s">
        <v>3796</v>
      </c>
      <c r="I582" s="2" t="s">
        <v>230</v>
      </c>
      <c r="J582" s="2" t="s">
        <v>201</v>
      </c>
      <c r="K582" s="2" t="s">
        <v>374</v>
      </c>
      <c r="L582" s="3">
        <v>21.62</v>
      </c>
      <c r="M582" s="3">
        <v>22.7</v>
      </c>
      <c r="N582" s="3">
        <v>46.99</v>
      </c>
      <c r="O582" s="2" t="s">
        <v>203</v>
      </c>
      <c r="P582" s="2" t="s">
        <v>204</v>
      </c>
      <c r="Q582" s="2" t="s">
        <v>205</v>
      </c>
      <c r="R582" s="2" t="s">
        <v>206</v>
      </c>
      <c r="S582" s="2" t="s">
        <v>3860</v>
      </c>
      <c r="T582" s="2" t="s">
        <v>2576</v>
      </c>
      <c r="U582" s="2" t="s">
        <v>556</v>
      </c>
      <c r="V582" s="2" t="s">
        <v>209</v>
      </c>
      <c r="W582" s="2" t="s">
        <v>210</v>
      </c>
      <c r="X582" s="2" t="s">
        <v>439</v>
      </c>
      <c r="Y582" s="2" t="s">
        <v>211</v>
      </c>
      <c r="Z582" s="4">
        <v>126</v>
      </c>
      <c r="AA582" s="4">
        <f>=ROUNDDOWN(15.75,0)</f>
      </c>
      <c r="AB582" s="5">
        <v>8</v>
      </c>
      <c r="AC582" s="2" t="s">
        <v>206</v>
      </c>
      <c r="AD582" s="4"/>
      <c r="AE582" s="4"/>
      <c r="AF582" s="6">
        <v>65</v>
      </c>
      <c r="AG582" s="6"/>
      <c r="AH582" s="7">
        <v>1</v>
      </c>
      <c r="AI582" s="4"/>
      <c r="AJ582" s="4">
        <f>=ROUNDDOWN({0},0)</f>
      </c>
      <c r="AK582" s="5"/>
      <c r="AL582" s="2" t="s">
        <v>206</v>
      </c>
      <c r="AM582" s="4"/>
      <c r="AN582" s="4"/>
      <c r="AO582" s="7"/>
      <c r="AP582" s="4"/>
      <c r="AQ582" s="8"/>
      <c r="AR582" s="4"/>
      <c r="AS582" s="8"/>
      <c r="AT582" s="7"/>
      <c r="AU582" s="7"/>
      <c r="AV582" s="4" t="s">
        <v>206</v>
      </c>
      <c r="AW582" s="8" t="s">
        <v>206</v>
      </c>
      <c r="AX582" s="4" t="s">
        <v>206</v>
      </c>
      <c r="AY582" s="8" t="s">
        <v>206</v>
      </c>
      <c r="AZ582" s="7" t="s">
        <v>206</v>
      </c>
      <c r="BA582" s="7" t="s">
        <v>206</v>
      </c>
      <c r="BB582" s="7"/>
      <c r="BC582" s="4" t="s">
        <v>206</v>
      </c>
      <c r="BD582" s="8" t="s">
        <v>206</v>
      </c>
      <c r="BE582" s="4" t="s">
        <v>206</v>
      </c>
      <c r="BF582" s="8" t="s">
        <v>206</v>
      </c>
      <c r="BG582" s="7" t="s">
        <v>206</v>
      </c>
      <c r="BH582" s="7" t="s">
        <v>206</v>
      </c>
      <c r="BI582" s="7"/>
      <c r="BJ582" s="4">
        <v>62</v>
      </c>
      <c r="BK582" s="8">
        <v>1458.29</v>
      </c>
      <c r="BL582" s="2" t="s">
        <v>3861</v>
      </c>
      <c r="BM582" s="7"/>
      <c r="BN582" s="7"/>
      <c r="BO582" s="4"/>
      <c r="BP582" s="8"/>
      <c r="BQ582" s="4"/>
      <c r="BR582" s="8"/>
      <c r="BS582" s="7"/>
      <c r="BT582" s="7"/>
      <c r="BU582" s="2" t="s">
        <v>3862</v>
      </c>
      <c r="BV582" s="2" t="s">
        <v>206</v>
      </c>
      <c r="BW582" s="2" t="s">
        <v>206</v>
      </c>
      <c r="BX582" s="2" t="s">
        <v>214</v>
      </c>
      <c r="BY582" s="2" t="s">
        <v>215</v>
      </c>
      <c r="BZ582" s="2" t="s">
        <v>203</v>
      </c>
      <c r="CA582" s="2" t="s">
        <v>216</v>
      </c>
      <c r="CB582" s="2" t="s">
        <v>3863</v>
      </c>
      <c r="CC582" s="2" t="s">
        <v>218</v>
      </c>
      <c r="CD582" s="2" t="s">
        <v>206</v>
      </c>
      <c r="CE582" s="4">
        <v>46</v>
      </c>
      <c r="CF582" s="4">
        <v>80</v>
      </c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/>
      <c r="EP582" s="4"/>
      <c r="EQ582" s="4"/>
      <c r="ER582" s="4"/>
      <c r="ES582" s="4"/>
      <c r="ET582" s="4"/>
      <c r="EU582" s="4"/>
      <c r="EV582" s="4"/>
      <c r="EW582" s="4"/>
      <c r="EX582" s="4"/>
      <c r="EY582" s="4"/>
      <c r="EZ582" s="4"/>
      <c r="FA582" s="4"/>
      <c r="FB582" s="4"/>
      <c r="FC582" s="4"/>
      <c r="FD582" s="4"/>
      <c r="FE582" s="4"/>
      <c r="FF582" s="4"/>
      <c r="FG582" s="4"/>
      <c r="FH582" s="4"/>
      <c r="FI582" s="4"/>
      <c r="FJ582" s="4"/>
      <c r="FK582" s="4"/>
      <c r="FL582" s="4"/>
      <c r="FM582" s="4"/>
      <c r="FN582" s="4"/>
      <c r="FO582" s="4"/>
      <c r="FP582" s="4"/>
      <c r="FQ582" s="4"/>
      <c r="FR582" s="4"/>
      <c r="FS582" s="4"/>
      <c r="FT582" s="4"/>
      <c r="FU582" s="4"/>
      <c r="FV582" s="4"/>
      <c r="FW582" s="4"/>
      <c r="FX582" s="4"/>
      <c r="FY582" s="4"/>
      <c r="FZ582" s="4"/>
      <c r="GA582" s="4"/>
      <c r="GB582" s="4"/>
      <c r="GC582" s="4"/>
      <c r="GD582" s="4"/>
      <c r="GE582" s="4"/>
      <c r="GF582" s="4"/>
    </row>
    <row r="583">
      <c r="A583" s="2" t="s">
        <v>3864</v>
      </c>
      <c r="B583" s="2" t="s">
        <v>225</v>
      </c>
      <c r="C583" s="2" t="s">
        <v>1948</v>
      </c>
      <c r="D583" s="2" t="s">
        <v>227</v>
      </c>
      <c r="E583" s="2" t="s">
        <v>228</v>
      </c>
      <c r="F583" s="2" t="s">
        <v>3796</v>
      </c>
      <c r="G583" s="2" t="s">
        <v>3796</v>
      </c>
      <c r="H583" s="2" t="s">
        <v>3796</v>
      </c>
      <c r="I583" s="2" t="s">
        <v>230</v>
      </c>
      <c r="J583" s="2" t="s">
        <v>290</v>
      </c>
      <c r="K583" s="2" t="s">
        <v>374</v>
      </c>
      <c r="L583" s="3">
        <v>23.04</v>
      </c>
      <c r="M583" s="3">
        <v>24.19</v>
      </c>
      <c r="N583" s="3">
        <v>47.99</v>
      </c>
      <c r="O583" s="2" t="s">
        <v>203</v>
      </c>
      <c r="P583" s="2" t="s">
        <v>204</v>
      </c>
      <c r="Q583" s="2" t="s">
        <v>205</v>
      </c>
      <c r="R583" s="2" t="s">
        <v>206</v>
      </c>
      <c r="S583" s="2" t="s">
        <v>3860</v>
      </c>
      <c r="T583" s="2" t="s">
        <v>2576</v>
      </c>
      <c r="U583" s="2" t="s">
        <v>556</v>
      </c>
      <c r="V583" s="2" t="s">
        <v>209</v>
      </c>
      <c r="W583" s="2" t="s">
        <v>210</v>
      </c>
      <c r="X583" s="2" t="s">
        <v>439</v>
      </c>
      <c r="Y583" s="2" t="s">
        <v>211</v>
      </c>
      <c r="Z583" s="4">
        <v>172</v>
      </c>
      <c r="AA583" s="4">
        <f>=ROUNDDOWN(21.5,0)</f>
      </c>
      <c r="AB583" s="5">
        <v>8</v>
      </c>
      <c r="AC583" s="2" t="s">
        <v>206</v>
      </c>
      <c r="AD583" s="4"/>
      <c r="AE583" s="4"/>
      <c r="AF583" s="6">
        <v>65</v>
      </c>
      <c r="AG583" s="6"/>
      <c r="AH583" s="7">
        <v>1</v>
      </c>
      <c r="AI583" s="4"/>
      <c r="AJ583" s="4">
        <f>=ROUNDDOWN({0},0)</f>
      </c>
      <c r="AK583" s="5"/>
      <c r="AL583" s="2" t="s">
        <v>206</v>
      </c>
      <c r="AM583" s="4"/>
      <c r="AN583" s="4"/>
      <c r="AO583" s="7"/>
      <c r="AP583" s="4"/>
      <c r="AQ583" s="8"/>
      <c r="AR583" s="4"/>
      <c r="AS583" s="8"/>
      <c r="AT583" s="7"/>
      <c r="AU583" s="7"/>
      <c r="AV583" s="4" t="s">
        <v>206</v>
      </c>
      <c r="AW583" s="8" t="s">
        <v>206</v>
      </c>
      <c r="AX583" s="4" t="s">
        <v>206</v>
      </c>
      <c r="AY583" s="8" t="s">
        <v>206</v>
      </c>
      <c r="AZ583" s="7" t="s">
        <v>206</v>
      </c>
      <c r="BA583" s="7" t="s">
        <v>206</v>
      </c>
      <c r="BB583" s="7"/>
      <c r="BC583" s="4" t="s">
        <v>206</v>
      </c>
      <c r="BD583" s="8" t="s">
        <v>206</v>
      </c>
      <c r="BE583" s="4" t="s">
        <v>206</v>
      </c>
      <c r="BF583" s="8" t="s">
        <v>206</v>
      </c>
      <c r="BG583" s="7" t="s">
        <v>206</v>
      </c>
      <c r="BH583" s="7" t="s">
        <v>206</v>
      </c>
      <c r="BI583" s="7"/>
      <c r="BJ583" s="4">
        <v>41</v>
      </c>
      <c r="BK583" s="8">
        <v>1026.47</v>
      </c>
      <c r="BL583" s="2" t="s">
        <v>3865</v>
      </c>
      <c r="BM583" s="7"/>
      <c r="BN583" s="7"/>
      <c r="BO583" s="4"/>
      <c r="BP583" s="8"/>
      <c r="BQ583" s="4"/>
      <c r="BR583" s="8"/>
      <c r="BS583" s="7"/>
      <c r="BT583" s="7"/>
      <c r="BU583" s="2" t="s">
        <v>3866</v>
      </c>
      <c r="BV583" s="2" t="s">
        <v>206</v>
      </c>
      <c r="BW583" s="2" t="s">
        <v>206</v>
      </c>
      <c r="BX583" s="2" t="s">
        <v>214</v>
      </c>
      <c r="BY583" s="2" t="s">
        <v>215</v>
      </c>
      <c r="BZ583" s="2" t="s">
        <v>203</v>
      </c>
      <c r="CA583" s="2" t="s">
        <v>216</v>
      </c>
      <c r="CB583" s="2" t="s">
        <v>3867</v>
      </c>
      <c r="CC583" s="2" t="s">
        <v>218</v>
      </c>
      <c r="CD583" s="2" t="s">
        <v>206</v>
      </c>
      <c r="CE583" s="4">
        <v>72</v>
      </c>
      <c r="CF583" s="4">
        <v>100</v>
      </c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/>
      <c r="EU583" s="4"/>
      <c r="EV583" s="4"/>
      <c r="EW583" s="4"/>
      <c r="EX583" s="4"/>
      <c r="EY583" s="4"/>
      <c r="EZ583" s="4"/>
      <c r="FA583" s="4"/>
      <c r="FB583" s="4"/>
      <c r="FC583" s="4"/>
      <c r="FD583" s="4"/>
      <c r="FE583" s="4"/>
      <c r="FF583" s="4"/>
      <c r="FG583" s="4"/>
      <c r="FH583" s="4"/>
      <c r="FI583" s="4"/>
      <c r="FJ583" s="4"/>
      <c r="FK583" s="4"/>
      <c r="FL583" s="4"/>
      <c r="FM583" s="4"/>
      <c r="FN583" s="4"/>
      <c r="FO583" s="4"/>
      <c r="FP583" s="4"/>
      <c r="FQ583" s="4"/>
      <c r="FR583" s="4"/>
      <c r="FS583" s="4"/>
      <c r="FT583" s="4"/>
      <c r="FU583" s="4"/>
      <c r="FV583" s="4"/>
      <c r="FW583" s="4"/>
      <c r="FX583" s="4"/>
      <c r="FY583" s="4"/>
      <c r="FZ583" s="4"/>
      <c r="GA583" s="4"/>
      <c r="GB583" s="4"/>
      <c r="GC583" s="4"/>
      <c r="GD583" s="4"/>
      <c r="GE583" s="4"/>
      <c r="GF583" s="4"/>
    </row>
    <row r="584">
      <c r="A584" s="2" t="s">
        <v>3868</v>
      </c>
      <c r="B584" s="2" t="s">
        <v>225</v>
      </c>
      <c r="C584" s="2" t="s">
        <v>1948</v>
      </c>
      <c r="D584" s="2" t="s">
        <v>227</v>
      </c>
      <c r="E584" s="2" t="s">
        <v>228</v>
      </c>
      <c r="F584" s="2" t="s">
        <v>3796</v>
      </c>
      <c r="G584" s="2" t="s">
        <v>3796</v>
      </c>
      <c r="H584" s="2" t="s">
        <v>3796</v>
      </c>
      <c r="I584" s="2" t="s">
        <v>230</v>
      </c>
      <c r="J584" s="2" t="s">
        <v>220</v>
      </c>
      <c r="K584" s="2" t="s">
        <v>374</v>
      </c>
      <c r="L584" s="3">
        <v>25.3</v>
      </c>
      <c r="M584" s="3">
        <v>26.56</v>
      </c>
      <c r="N584" s="3">
        <v>54.99</v>
      </c>
      <c r="O584" s="2" t="s">
        <v>203</v>
      </c>
      <c r="P584" s="2" t="s">
        <v>204</v>
      </c>
      <c r="Q584" s="2" t="s">
        <v>205</v>
      </c>
      <c r="R584" s="2" t="s">
        <v>206</v>
      </c>
      <c r="S584" s="2" t="s">
        <v>3860</v>
      </c>
      <c r="T584" s="2" t="s">
        <v>2576</v>
      </c>
      <c r="U584" s="2" t="s">
        <v>235</v>
      </c>
      <c r="V584" s="2" t="s">
        <v>209</v>
      </c>
      <c r="W584" s="2" t="s">
        <v>210</v>
      </c>
      <c r="X584" s="2" t="s">
        <v>439</v>
      </c>
      <c r="Y584" s="2" t="s">
        <v>211</v>
      </c>
      <c r="Z584" s="4">
        <v>178</v>
      </c>
      <c r="AA584" s="4">
        <f>=ROUNDDOWN(19.7777777777778,0)</f>
      </c>
      <c r="AB584" s="5">
        <v>9</v>
      </c>
      <c r="AC584" s="2" t="s">
        <v>206</v>
      </c>
      <c r="AD584" s="4"/>
      <c r="AE584" s="4"/>
      <c r="AF584" s="6">
        <v>65</v>
      </c>
      <c r="AG584" s="6"/>
      <c r="AH584" s="7">
        <v>1</v>
      </c>
      <c r="AI584" s="4"/>
      <c r="AJ584" s="4">
        <f>=ROUNDDOWN({0},0)</f>
      </c>
      <c r="AK584" s="5"/>
      <c r="AL584" s="2" t="s">
        <v>206</v>
      </c>
      <c r="AM584" s="4"/>
      <c r="AN584" s="4"/>
      <c r="AO584" s="7"/>
      <c r="AP584" s="4"/>
      <c r="AQ584" s="8"/>
      <c r="AR584" s="4"/>
      <c r="AS584" s="8"/>
      <c r="AT584" s="7"/>
      <c r="AU584" s="7"/>
      <c r="AV584" s="4" t="s">
        <v>206</v>
      </c>
      <c r="AW584" s="8" t="s">
        <v>206</v>
      </c>
      <c r="AX584" s="4" t="s">
        <v>206</v>
      </c>
      <c r="AY584" s="8" t="s">
        <v>206</v>
      </c>
      <c r="AZ584" s="7" t="s">
        <v>206</v>
      </c>
      <c r="BA584" s="7" t="s">
        <v>206</v>
      </c>
      <c r="BB584" s="7"/>
      <c r="BC584" s="4" t="s">
        <v>206</v>
      </c>
      <c r="BD584" s="8" t="s">
        <v>206</v>
      </c>
      <c r="BE584" s="4" t="s">
        <v>206</v>
      </c>
      <c r="BF584" s="8" t="s">
        <v>206</v>
      </c>
      <c r="BG584" s="7" t="s">
        <v>206</v>
      </c>
      <c r="BH584" s="7" t="s">
        <v>206</v>
      </c>
      <c r="BI584" s="7"/>
      <c r="BJ584" s="4">
        <v>82</v>
      </c>
      <c r="BK584" s="8">
        <v>2268.6</v>
      </c>
      <c r="BL584" s="2" t="s">
        <v>3869</v>
      </c>
      <c r="BM584" s="7"/>
      <c r="BN584" s="7"/>
      <c r="BO584" s="4"/>
      <c r="BP584" s="8"/>
      <c r="BQ584" s="4"/>
      <c r="BR584" s="8"/>
      <c r="BS584" s="7"/>
      <c r="BT584" s="7"/>
      <c r="BU584" s="2" t="s">
        <v>3870</v>
      </c>
      <c r="BV584" s="2" t="s">
        <v>206</v>
      </c>
      <c r="BW584" s="2" t="s">
        <v>206</v>
      </c>
      <c r="BX584" s="2" t="s">
        <v>214</v>
      </c>
      <c r="BY584" s="2" t="s">
        <v>215</v>
      </c>
      <c r="BZ584" s="2" t="s">
        <v>203</v>
      </c>
      <c r="CA584" s="2" t="s">
        <v>216</v>
      </c>
      <c r="CB584" s="2" t="s">
        <v>3871</v>
      </c>
      <c r="CC584" s="2" t="s">
        <v>218</v>
      </c>
      <c r="CD584" s="2" t="s">
        <v>206</v>
      </c>
      <c r="CE584" s="4">
        <v>58</v>
      </c>
      <c r="CF584" s="4">
        <v>120</v>
      </c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  <c r="EM584" s="4"/>
      <c r="EN584" s="4"/>
      <c r="EO584" s="4"/>
      <c r="EP584" s="4"/>
      <c r="EQ584" s="4"/>
      <c r="ER584" s="4"/>
      <c r="ES584" s="4"/>
      <c r="ET584" s="4"/>
      <c r="EU584" s="4"/>
      <c r="EV584" s="4"/>
      <c r="EW584" s="4"/>
      <c r="EX584" s="4"/>
      <c r="EY584" s="4"/>
      <c r="EZ584" s="4"/>
      <c r="FA584" s="4"/>
      <c r="FB584" s="4"/>
      <c r="FC584" s="4"/>
      <c r="FD584" s="4"/>
      <c r="FE584" s="4"/>
      <c r="FF584" s="4"/>
      <c r="FG584" s="4"/>
      <c r="FH584" s="4"/>
      <c r="FI584" s="4"/>
      <c r="FJ584" s="4"/>
      <c r="FK584" s="4"/>
      <c r="FL584" s="4"/>
      <c r="FM584" s="4"/>
      <c r="FN584" s="4"/>
      <c r="FO584" s="4"/>
      <c r="FP584" s="4"/>
      <c r="FQ584" s="4"/>
      <c r="FR584" s="4"/>
      <c r="FS584" s="4"/>
      <c r="FT584" s="4"/>
      <c r="FU584" s="4"/>
      <c r="FV584" s="4"/>
      <c r="FW584" s="4"/>
      <c r="FX584" s="4"/>
      <c r="FY584" s="4"/>
      <c r="FZ584" s="4"/>
      <c r="GA584" s="4"/>
      <c r="GB584" s="4"/>
      <c r="GC584" s="4"/>
      <c r="GD584" s="4"/>
      <c r="GE584" s="4"/>
      <c r="GF584" s="4"/>
    </row>
    <row r="585">
      <c r="A585" s="2" t="s">
        <v>3872</v>
      </c>
      <c r="B585" s="2" t="s">
        <v>225</v>
      </c>
      <c r="C585" s="2" t="s">
        <v>1948</v>
      </c>
      <c r="D585" s="2" t="s">
        <v>227</v>
      </c>
      <c r="E585" s="2" t="s">
        <v>228</v>
      </c>
      <c r="F585" s="2" t="s">
        <v>3796</v>
      </c>
      <c r="G585" s="2" t="s">
        <v>3796</v>
      </c>
      <c r="H585" s="2" t="s">
        <v>3796</v>
      </c>
      <c r="I585" s="2" t="s">
        <v>230</v>
      </c>
      <c r="J585" s="2" t="s">
        <v>310</v>
      </c>
      <c r="K585" s="2" t="s">
        <v>1587</v>
      </c>
      <c r="L585" s="3">
        <v>31.85</v>
      </c>
      <c r="M585" s="3">
        <v>33.44</v>
      </c>
      <c r="N585" s="3">
        <v>64.99</v>
      </c>
      <c r="O585" s="2" t="s">
        <v>203</v>
      </c>
      <c r="P585" s="2" t="s">
        <v>204</v>
      </c>
      <c r="Q585" s="2" t="s">
        <v>205</v>
      </c>
      <c r="R585" s="2" t="s">
        <v>206</v>
      </c>
      <c r="S585" s="2" t="s">
        <v>3873</v>
      </c>
      <c r="T585" s="2" t="s">
        <v>2576</v>
      </c>
      <c r="U585" s="2" t="s">
        <v>235</v>
      </c>
      <c r="V585" s="2" t="s">
        <v>209</v>
      </c>
      <c r="W585" s="2" t="s">
        <v>210</v>
      </c>
      <c r="X585" s="2" t="s">
        <v>439</v>
      </c>
      <c r="Y585" s="2" t="s">
        <v>211</v>
      </c>
      <c r="Z585" s="4">
        <v>197</v>
      </c>
      <c r="AA585" s="4">
        <f>=ROUNDDOWN(24.625,0)</f>
      </c>
      <c r="AB585" s="5">
        <v>8</v>
      </c>
      <c r="AC585" s="2" t="s">
        <v>206</v>
      </c>
      <c r="AD585" s="4"/>
      <c r="AE585" s="4"/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206</v>
      </c>
      <c r="AM585" s="4"/>
      <c r="AN585" s="4"/>
      <c r="AO585" s="7"/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 t="s">
        <v>206</v>
      </c>
      <c r="BD585" s="8" t="s">
        <v>206</v>
      </c>
      <c r="BE585" s="4" t="s">
        <v>206</v>
      </c>
      <c r="BF585" s="8" t="s">
        <v>206</v>
      </c>
      <c r="BG585" s="7" t="s">
        <v>206</v>
      </c>
      <c r="BH585" s="7" t="s">
        <v>206</v>
      </c>
      <c r="BI585" s="7"/>
      <c r="BJ585" s="4">
        <v>23</v>
      </c>
      <c r="BK585" s="8">
        <v>785.44</v>
      </c>
      <c r="BL585" s="2" t="s">
        <v>1290</v>
      </c>
      <c r="BM585" s="7"/>
      <c r="BN585" s="7"/>
      <c r="BO585" s="4"/>
      <c r="BP585" s="8"/>
      <c r="BQ585" s="4"/>
      <c r="BR585" s="8"/>
      <c r="BS585" s="7"/>
      <c r="BT585" s="7"/>
      <c r="BU585" s="2" t="s">
        <v>3874</v>
      </c>
      <c r="BV585" s="2" t="s">
        <v>206</v>
      </c>
      <c r="BW585" s="2" t="s">
        <v>206</v>
      </c>
      <c r="BX585" s="2" t="s">
        <v>214</v>
      </c>
      <c r="BY585" s="2" t="s">
        <v>215</v>
      </c>
      <c r="BZ585" s="2" t="s">
        <v>203</v>
      </c>
      <c r="CA585" s="2" t="s">
        <v>216</v>
      </c>
      <c r="CB585" s="2" t="s">
        <v>3875</v>
      </c>
      <c r="CC585" s="2" t="s">
        <v>218</v>
      </c>
      <c r="CD585" s="2" t="s">
        <v>206</v>
      </c>
      <c r="CE585" s="4">
        <v>108</v>
      </c>
      <c r="CF585" s="4">
        <v>89</v>
      </c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/>
      <c r="EL585" s="4"/>
      <c r="EM585" s="4"/>
      <c r="EN585" s="4"/>
      <c r="EO585" s="4"/>
      <c r="EP585" s="4"/>
      <c r="EQ585" s="4"/>
      <c r="ER585" s="4"/>
      <c r="ES585" s="4"/>
      <c r="ET585" s="4"/>
      <c r="EU585" s="4"/>
      <c r="EV585" s="4"/>
      <c r="EW585" s="4"/>
      <c r="EX585" s="4"/>
      <c r="EY585" s="4"/>
      <c r="EZ585" s="4"/>
      <c r="FA585" s="4"/>
      <c r="FB585" s="4"/>
      <c r="FC585" s="4"/>
      <c r="FD585" s="4"/>
      <c r="FE585" s="4"/>
      <c r="FF585" s="4"/>
      <c r="FG585" s="4"/>
      <c r="FH585" s="4"/>
      <c r="FI585" s="4"/>
      <c r="FJ585" s="4"/>
      <c r="FK585" s="4"/>
      <c r="FL585" s="4"/>
      <c r="FM585" s="4"/>
      <c r="FN585" s="4"/>
      <c r="FO585" s="4"/>
      <c r="FP585" s="4"/>
      <c r="FQ585" s="4"/>
      <c r="FR585" s="4"/>
      <c r="FS585" s="4"/>
      <c r="FT585" s="4"/>
      <c r="FU585" s="4"/>
      <c r="FV585" s="4"/>
      <c r="FW585" s="4"/>
      <c r="FX585" s="4"/>
      <c r="FY585" s="4"/>
      <c r="FZ585" s="4"/>
      <c r="GA585" s="4"/>
      <c r="GB585" s="4"/>
      <c r="GC585" s="4"/>
      <c r="GD585" s="4"/>
      <c r="GE585" s="4"/>
      <c r="GF585" s="4"/>
    </row>
    <row r="586">
      <c r="A586" s="2" t="s">
        <v>3876</v>
      </c>
      <c r="B586" s="2" t="s">
        <v>225</v>
      </c>
      <c r="C586" s="2" t="s">
        <v>1948</v>
      </c>
      <c r="D586" s="2" t="s">
        <v>227</v>
      </c>
      <c r="E586" s="2" t="s">
        <v>228</v>
      </c>
      <c r="F586" s="2" t="s">
        <v>3796</v>
      </c>
      <c r="G586" s="2" t="s">
        <v>3796</v>
      </c>
      <c r="H586" s="2" t="s">
        <v>3796</v>
      </c>
      <c r="I586" s="2" t="s">
        <v>230</v>
      </c>
      <c r="J586" s="2" t="s">
        <v>220</v>
      </c>
      <c r="K586" s="2" t="s">
        <v>605</v>
      </c>
      <c r="L586" s="3">
        <v>25.3</v>
      </c>
      <c r="M586" s="3">
        <v>26.56</v>
      </c>
      <c r="N586" s="3">
        <v>54.99</v>
      </c>
      <c r="O586" s="2" t="s">
        <v>203</v>
      </c>
      <c r="P586" s="2" t="s">
        <v>773</v>
      </c>
      <c r="Q586" s="2" t="s">
        <v>205</v>
      </c>
      <c r="R586" s="2" t="s">
        <v>206</v>
      </c>
      <c r="S586" s="2" t="s">
        <v>3877</v>
      </c>
      <c r="T586" s="2" t="s">
        <v>2576</v>
      </c>
      <c r="U586" s="2" t="s">
        <v>235</v>
      </c>
      <c r="V586" s="2" t="s">
        <v>209</v>
      </c>
      <c r="W586" s="2" t="s">
        <v>210</v>
      </c>
      <c r="X586" s="2" t="s">
        <v>439</v>
      </c>
      <c r="Y586" s="2" t="s">
        <v>3878</v>
      </c>
      <c r="Z586" s="4">
        <v>451</v>
      </c>
      <c r="AA586" s="4">
        <f>=ROUNDDOWN(26.5294117647059,0)</f>
      </c>
      <c r="AB586" s="5">
        <v>17</v>
      </c>
      <c r="AC586" s="2" t="s">
        <v>206</v>
      </c>
      <c r="AD586" s="4"/>
      <c r="AE586" s="4"/>
      <c r="AF586" s="6">
        <v>65</v>
      </c>
      <c r="AG586" s="6"/>
      <c r="AH586" s="7">
        <v>1</v>
      </c>
      <c r="AI586" s="4"/>
      <c r="AJ586" s="4">
        <f>=ROUNDDOWN({0},0)</f>
      </c>
      <c r="AK586" s="5"/>
      <c r="AL586" s="2" t="s">
        <v>206</v>
      </c>
      <c r="AM586" s="4"/>
      <c r="AN586" s="4"/>
      <c r="AO586" s="7"/>
      <c r="AP586" s="4"/>
      <c r="AQ586" s="8"/>
      <c r="AR586" s="4"/>
      <c r="AS586" s="8"/>
      <c r="AT586" s="7"/>
      <c r="AU586" s="7"/>
      <c r="AV586" s="4" t="s">
        <v>206</v>
      </c>
      <c r="AW586" s="8" t="s">
        <v>206</v>
      </c>
      <c r="AX586" s="4" t="s">
        <v>206</v>
      </c>
      <c r="AY586" s="8" t="s">
        <v>206</v>
      </c>
      <c r="AZ586" s="7" t="s">
        <v>206</v>
      </c>
      <c r="BA586" s="7" t="s">
        <v>206</v>
      </c>
      <c r="BB586" s="7"/>
      <c r="BC586" s="4" t="s">
        <v>206</v>
      </c>
      <c r="BD586" s="8" t="s">
        <v>206</v>
      </c>
      <c r="BE586" s="4" t="s">
        <v>206</v>
      </c>
      <c r="BF586" s="8" t="s">
        <v>206</v>
      </c>
      <c r="BG586" s="7" t="s">
        <v>206</v>
      </c>
      <c r="BH586" s="7" t="s">
        <v>206</v>
      </c>
      <c r="BI586" s="7"/>
      <c r="BJ586" s="4">
        <v>51</v>
      </c>
      <c r="BK586" s="8">
        <v>1416.07</v>
      </c>
      <c r="BL586" s="2" t="s">
        <v>1924</v>
      </c>
      <c r="BM586" s="7"/>
      <c r="BN586" s="7"/>
      <c r="BO586" s="4"/>
      <c r="BP586" s="8"/>
      <c r="BQ586" s="4"/>
      <c r="BR586" s="8"/>
      <c r="BS586" s="7"/>
      <c r="BT586" s="7"/>
      <c r="BU586" s="2" t="s">
        <v>3879</v>
      </c>
      <c r="BV586" s="2" t="s">
        <v>206</v>
      </c>
      <c r="BW586" s="2" t="s">
        <v>206</v>
      </c>
      <c r="BX586" s="2" t="s">
        <v>214</v>
      </c>
      <c r="BY586" s="2" t="s">
        <v>215</v>
      </c>
      <c r="BZ586" s="2" t="s">
        <v>203</v>
      </c>
      <c r="CA586" s="2" t="s">
        <v>3880</v>
      </c>
      <c r="CB586" s="2" t="s">
        <v>3881</v>
      </c>
      <c r="CC586" s="2" t="s">
        <v>218</v>
      </c>
      <c r="CD586" s="2" t="s">
        <v>206</v>
      </c>
      <c r="CE586" s="4">
        <v>243</v>
      </c>
      <c r="CF586" s="4">
        <v>208</v>
      </c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/>
      <c r="ES586" s="4"/>
      <c r="ET586" s="4"/>
      <c r="EU586" s="4"/>
      <c r="EV586" s="4"/>
      <c r="EW586" s="4"/>
      <c r="EX586" s="4"/>
      <c r="EY586" s="4"/>
      <c r="EZ586" s="4"/>
      <c r="FA586" s="4"/>
      <c r="FB586" s="4"/>
      <c r="FC586" s="4"/>
      <c r="FD586" s="4"/>
      <c r="FE586" s="4"/>
      <c r="FF586" s="4"/>
      <c r="FG586" s="4"/>
      <c r="FH586" s="4"/>
      <c r="FI586" s="4"/>
      <c r="FJ586" s="4"/>
      <c r="FK586" s="4"/>
      <c r="FL586" s="4"/>
      <c r="FM586" s="4"/>
      <c r="FN586" s="4"/>
      <c r="FO586" s="4"/>
      <c r="FP586" s="4"/>
      <c r="FQ586" s="4"/>
      <c r="FR586" s="4"/>
      <c r="FS586" s="4"/>
      <c r="FT586" s="4"/>
      <c r="FU586" s="4"/>
      <c r="FV586" s="4"/>
      <c r="FW586" s="4"/>
      <c r="FX586" s="4"/>
      <c r="FY586" s="4"/>
      <c r="FZ586" s="4"/>
      <c r="GA586" s="4"/>
      <c r="GB586" s="4"/>
      <c r="GC586" s="4"/>
      <c r="GD586" s="4"/>
      <c r="GE586" s="4"/>
      <c r="GF586" s="4"/>
    </row>
    <row r="587">
      <c r="A587" s="2" t="s">
        <v>3882</v>
      </c>
      <c r="B587" s="2" t="s">
        <v>225</v>
      </c>
      <c r="C587" s="2" t="s">
        <v>1948</v>
      </c>
      <c r="D587" s="2" t="s">
        <v>227</v>
      </c>
      <c r="E587" s="2" t="s">
        <v>228</v>
      </c>
      <c r="F587" s="2" t="s">
        <v>3796</v>
      </c>
      <c r="G587" s="2" t="s">
        <v>3796</v>
      </c>
      <c r="H587" s="2" t="s">
        <v>3796</v>
      </c>
      <c r="I587" s="2" t="s">
        <v>230</v>
      </c>
      <c r="J587" s="2" t="s">
        <v>310</v>
      </c>
      <c r="K587" s="2" t="s">
        <v>605</v>
      </c>
      <c r="L587" s="3">
        <v>31.85</v>
      </c>
      <c r="M587" s="3">
        <v>33.44</v>
      </c>
      <c r="N587" s="3">
        <v>64.99</v>
      </c>
      <c r="O587" s="2" t="s">
        <v>203</v>
      </c>
      <c r="P587" s="2" t="s">
        <v>204</v>
      </c>
      <c r="Q587" s="2" t="s">
        <v>205</v>
      </c>
      <c r="R587" s="2" t="s">
        <v>206</v>
      </c>
      <c r="S587" s="2" t="s">
        <v>3877</v>
      </c>
      <c r="T587" s="2" t="s">
        <v>2576</v>
      </c>
      <c r="U587" s="2" t="s">
        <v>235</v>
      </c>
      <c r="V587" s="2" t="s">
        <v>209</v>
      </c>
      <c r="W587" s="2" t="s">
        <v>210</v>
      </c>
      <c r="X587" s="2" t="s">
        <v>439</v>
      </c>
      <c r="Y587" s="2" t="s">
        <v>3798</v>
      </c>
      <c r="Z587" s="4">
        <v>202</v>
      </c>
      <c r="AA587" s="4">
        <f>=ROUNDDOWN(25.25,0)</f>
      </c>
      <c r="AB587" s="5">
        <v>8</v>
      </c>
      <c r="AC587" s="2" t="s">
        <v>206</v>
      </c>
      <c r="AD587" s="4"/>
      <c r="AE587" s="4"/>
      <c r="AF587" s="6">
        <v>65</v>
      </c>
      <c r="AG587" s="6"/>
      <c r="AH587" s="7">
        <v>1</v>
      </c>
      <c r="AI587" s="4"/>
      <c r="AJ587" s="4">
        <f>=ROUNDDOWN({0},0)</f>
      </c>
      <c r="AK587" s="5"/>
      <c r="AL587" s="2" t="s">
        <v>206</v>
      </c>
      <c r="AM587" s="4"/>
      <c r="AN587" s="4"/>
      <c r="AO587" s="7"/>
      <c r="AP587" s="4"/>
      <c r="AQ587" s="8"/>
      <c r="AR587" s="4"/>
      <c r="AS587" s="8"/>
      <c r="AT587" s="7"/>
      <c r="AU587" s="7"/>
      <c r="AV587" s="4" t="s">
        <v>206</v>
      </c>
      <c r="AW587" s="8" t="s">
        <v>206</v>
      </c>
      <c r="AX587" s="4" t="s">
        <v>206</v>
      </c>
      <c r="AY587" s="8" t="s">
        <v>206</v>
      </c>
      <c r="AZ587" s="7" t="s">
        <v>206</v>
      </c>
      <c r="BA587" s="7" t="s">
        <v>206</v>
      </c>
      <c r="BB587" s="7"/>
      <c r="BC587" s="4" t="s">
        <v>206</v>
      </c>
      <c r="BD587" s="8" t="s">
        <v>206</v>
      </c>
      <c r="BE587" s="4" t="s">
        <v>206</v>
      </c>
      <c r="BF587" s="8" t="s">
        <v>206</v>
      </c>
      <c r="BG587" s="7" t="s">
        <v>206</v>
      </c>
      <c r="BH587" s="7" t="s">
        <v>206</v>
      </c>
      <c r="BI587" s="7"/>
      <c r="BJ587" s="4">
        <v>24</v>
      </c>
      <c r="BK587" s="8">
        <v>836.1</v>
      </c>
      <c r="BL587" s="2" t="s">
        <v>1297</v>
      </c>
      <c r="BM587" s="7"/>
      <c r="BN587" s="7"/>
      <c r="BO587" s="4"/>
      <c r="BP587" s="8"/>
      <c r="BQ587" s="4"/>
      <c r="BR587" s="8"/>
      <c r="BS587" s="7"/>
      <c r="BT587" s="7"/>
      <c r="BU587" s="2" t="s">
        <v>3883</v>
      </c>
      <c r="BV587" s="2" t="s">
        <v>206</v>
      </c>
      <c r="BW587" s="2" t="s">
        <v>206</v>
      </c>
      <c r="BX587" s="2" t="s">
        <v>214</v>
      </c>
      <c r="BY587" s="2" t="s">
        <v>215</v>
      </c>
      <c r="BZ587" s="2" t="s">
        <v>203</v>
      </c>
      <c r="CA587" s="2" t="s">
        <v>3800</v>
      </c>
      <c r="CB587" s="2" t="s">
        <v>2663</v>
      </c>
      <c r="CC587" s="2" t="s">
        <v>218</v>
      </c>
      <c r="CD587" s="2" t="s">
        <v>206</v>
      </c>
      <c r="CE587" s="4">
        <v>112</v>
      </c>
      <c r="CF587" s="4">
        <v>90</v>
      </c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  <c r="EM587" s="4"/>
      <c r="EN587" s="4"/>
      <c r="EO587" s="4"/>
      <c r="EP587" s="4"/>
      <c r="EQ587" s="4"/>
      <c r="ER587" s="4"/>
      <c r="ES587" s="4"/>
      <c r="ET587" s="4"/>
      <c r="EU587" s="4"/>
      <c r="EV587" s="4"/>
      <c r="EW587" s="4"/>
      <c r="EX587" s="4"/>
      <c r="EY587" s="4"/>
      <c r="EZ587" s="4"/>
      <c r="FA587" s="4"/>
      <c r="FB587" s="4"/>
      <c r="FC587" s="4"/>
      <c r="FD587" s="4"/>
      <c r="FE587" s="4"/>
      <c r="FF587" s="4"/>
      <c r="FG587" s="4"/>
      <c r="FH587" s="4"/>
      <c r="FI587" s="4"/>
      <c r="FJ587" s="4"/>
      <c r="FK587" s="4"/>
      <c r="FL587" s="4"/>
      <c r="FM587" s="4"/>
      <c r="FN587" s="4"/>
      <c r="FO587" s="4"/>
      <c r="FP587" s="4"/>
      <c r="FQ587" s="4"/>
      <c r="FR587" s="4"/>
      <c r="FS587" s="4"/>
      <c r="FT587" s="4"/>
      <c r="FU587" s="4"/>
      <c r="FV587" s="4"/>
      <c r="FW587" s="4"/>
      <c r="FX587" s="4"/>
      <c r="FY587" s="4"/>
      <c r="FZ587" s="4"/>
      <c r="GA587" s="4"/>
      <c r="GB587" s="4"/>
      <c r="GC587" s="4"/>
      <c r="GD587" s="4"/>
      <c r="GE587" s="4"/>
      <c r="GF587" s="4"/>
    </row>
    <row r="588">
      <c r="A588" s="2" t="s">
        <v>3884</v>
      </c>
      <c r="B588" s="2" t="s">
        <v>225</v>
      </c>
      <c r="C588" s="2" t="s">
        <v>1948</v>
      </c>
      <c r="D588" s="2" t="s">
        <v>227</v>
      </c>
      <c r="E588" s="2" t="s">
        <v>228</v>
      </c>
      <c r="F588" s="2" t="s">
        <v>3796</v>
      </c>
      <c r="G588" s="2" t="s">
        <v>3796</v>
      </c>
      <c r="H588" s="2" t="s">
        <v>3796</v>
      </c>
      <c r="I588" s="2" t="s">
        <v>230</v>
      </c>
      <c r="J588" s="2" t="s">
        <v>290</v>
      </c>
      <c r="K588" s="2" t="s">
        <v>674</v>
      </c>
      <c r="L588" s="3">
        <v>23.04</v>
      </c>
      <c r="M588" s="3">
        <v>24.19</v>
      </c>
      <c r="N588" s="3">
        <v>47.99</v>
      </c>
      <c r="O588" s="2" t="s">
        <v>203</v>
      </c>
      <c r="P588" s="2" t="s">
        <v>204</v>
      </c>
      <c r="Q588" s="2" t="s">
        <v>205</v>
      </c>
      <c r="R588" s="2" t="s">
        <v>206</v>
      </c>
      <c r="S588" s="2" t="s">
        <v>3885</v>
      </c>
      <c r="T588" s="2" t="s">
        <v>2576</v>
      </c>
      <c r="U588" s="2" t="s">
        <v>556</v>
      </c>
      <c r="V588" s="2" t="s">
        <v>209</v>
      </c>
      <c r="W588" s="2" t="s">
        <v>210</v>
      </c>
      <c r="X588" s="2" t="s">
        <v>439</v>
      </c>
      <c r="Y588" s="2" t="s">
        <v>211</v>
      </c>
      <c r="Z588" s="4">
        <v>139</v>
      </c>
      <c r="AA588" s="4">
        <f>=ROUNDDOWN(34.75,0)</f>
      </c>
      <c r="AB588" s="5">
        <v>4</v>
      </c>
      <c r="AC588" s="2" t="s">
        <v>206</v>
      </c>
      <c r="AD588" s="4"/>
      <c r="AE588" s="4"/>
      <c r="AF588" s="6">
        <v>65</v>
      </c>
      <c r="AG588" s="6"/>
      <c r="AH588" s="7">
        <v>1</v>
      </c>
      <c r="AI588" s="4"/>
      <c r="AJ588" s="4">
        <f>=ROUNDDOWN({0},0)</f>
      </c>
      <c r="AK588" s="5"/>
      <c r="AL588" s="2" t="s">
        <v>206</v>
      </c>
      <c r="AM588" s="4"/>
      <c r="AN588" s="4"/>
      <c r="AO588" s="7"/>
      <c r="AP588" s="4"/>
      <c r="AQ588" s="8"/>
      <c r="AR588" s="4"/>
      <c r="AS588" s="8"/>
      <c r="AT588" s="7"/>
      <c r="AU588" s="7"/>
      <c r="AV588" s="4" t="s">
        <v>206</v>
      </c>
      <c r="AW588" s="8" t="s">
        <v>206</v>
      </c>
      <c r="AX588" s="4" t="s">
        <v>206</v>
      </c>
      <c r="AY588" s="8" t="s">
        <v>206</v>
      </c>
      <c r="AZ588" s="7" t="s">
        <v>206</v>
      </c>
      <c r="BA588" s="7" t="s">
        <v>206</v>
      </c>
      <c r="BB588" s="7"/>
      <c r="BC588" s="4" t="s">
        <v>206</v>
      </c>
      <c r="BD588" s="8" t="s">
        <v>206</v>
      </c>
      <c r="BE588" s="4" t="s">
        <v>206</v>
      </c>
      <c r="BF588" s="8" t="s">
        <v>206</v>
      </c>
      <c r="BG588" s="7" t="s">
        <v>206</v>
      </c>
      <c r="BH588" s="7" t="s">
        <v>206</v>
      </c>
      <c r="BI588" s="7"/>
      <c r="BJ588" s="4">
        <v>8</v>
      </c>
      <c r="BK588" s="8">
        <v>198.44</v>
      </c>
      <c r="BL588" s="2" t="s">
        <v>3886</v>
      </c>
      <c r="BM588" s="7"/>
      <c r="BN588" s="7"/>
      <c r="BO588" s="4"/>
      <c r="BP588" s="8"/>
      <c r="BQ588" s="4"/>
      <c r="BR588" s="8"/>
      <c r="BS588" s="7"/>
      <c r="BT588" s="7"/>
      <c r="BU588" s="2" t="s">
        <v>3887</v>
      </c>
      <c r="BV588" s="2" t="s">
        <v>206</v>
      </c>
      <c r="BW588" s="2" t="s">
        <v>206</v>
      </c>
      <c r="BX588" s="2" t="s">
        <v>214</v>
      </c>
      <c r="BY588" s="2" t="s">
        <v>215</v>
      </c>
      <c r="BZ588" s="2" t="s">
        <v>203</v>
      </c>
      <c r="CA588" s="2" t="s">
        <v>216</v>
      </c>
      <c r="CB588" s="2" t="s">
        <v>3888</v>
      </c>
      <c r="CC588" s="2" t="s">
        <v>218</v>
      </c>
      <c r="CD588" s="2" t="s">
        <v>206</v>
      </c>
      <c r="CE588" s="4">
        <v>89</v>
      </c>
      <c r="CF588" s="4">
        <v>50</v>
      </c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/>
      <c r="EO588" s="4"/>
      <c r="EP588" s="4"/>
      <c r="EQ588" s="4"/>
      <c r="ER588" s="4"/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  <c r="FD588" s="4"/>
      <c r="FE588" s="4"/>
      <c r="FF588" s="4"/>
      <c r="FG588" s="4"/>
      <c r="FH588" s="4"/>
      <c r="FI588" s="4"/>
      <c r="FJ588" s="4"/>
      <c r="FK588" s="4"/>
      <c r="FL588" s="4"/>
      <c r="FM588" s="4"/>
      <c r="FN588" s="4"/>
      <c r="FO588" s="4"/>
      <c r="FP588" s="4"/>
      <c r="FQ588" s="4"/>
      <c r="FR588" s="4"/>
      <c r="FS588" s="4"/>
      <c r="FT588" s="4"/>
      <c r="FU588" s="4"/>
      <c r="FV588" s="4"/>
      <c r="FW588" s="4"/>
      <c r="FX588" s="4"/>
      <c r="FY588" s="4"/>
      <c r="FZ588" s="4"/>
      <c r="GA588" s="4"/>
      <c r="GB588" s="4"/>
      <c r="GC588" s="4"/>
      <c r="GD588" s="4"/>
      <c r="GE588" s="4"/>
      <c r="GF588" s="4"/>
    </row>
    <row r="589">
      <c r="A589" s="2" t="s">
        <v>3889</v>
      </c>
      <c r="B589" s="2" t="s">
        <v>225</v>
      </c>
      <c r="C589" s="2" t="s">
        <v>1948</v>
      </c>
      <c r="D589" s="2" t="s">
        <v>227</v>
      </c>
      <c r="E589" s="2" t="s">
        <v>228</v>
      </c>
      <c r="F589" s="2" t="s">
        <v>3796</v>
      </c>
      <c r="G589" s="2" t="s">
        <v>3796</v>
      </c>
      <c r="H589" s="2" t="s">
        <v>3796</v>
      </c>
      <c r="I589" s="2" t="s">
        <v>230</v>
      </c>
      <c r="J589" s="2" t="s">
        <v>220</v>
      </c>
      <c r="K589" s="2" t="s">
        <v>674</v>
      </c>
      <c r="L589" s="3">
        <v>25.3</v>
      </c>
      <c r="M589" s="3">
        <v>26.56</v>
      </c>
      <c r="N589" s="3">
        <v>54.99</v>
      </c>
      <c r="O589" s="2" t="s">
        <v>203</v>
      </c>
      <c r="P589" s="2" t="s">
        <v>204</v>
      </c>
      <c r="Q589" s="2" t="s">
        <v>205</v>
      </c>
      <c r="R589" s="2" t="s">
        <v>206</v>
      </c>
      <c r="S589" s="2" t="s">
        <v>3885</v>
      </c>
      <c r="T589" s="2" t="s">
        <v>2576</v>
      </c>
      <c r="U589" s="2" t="s">
        <v>235</v>
      </c>
      <c r="V589" s="2" t="s">
        <v>209</v>
      </c>
      <c r="W589" s="2" t="s">
        <v>210</v>
      </c>
      <c r="X589" s="2" t="s">
        <v>439</v>
      </c>
      <c r="Y589" s="2" t="s">
        <v>211</v>
      </c>
      <c r="Z589" s="4">
        <v>211</v>
      </c>
      <c r="AA589" s="4">
        <f>=ROUNDDOWN(35.1666666666667,0)</f>
      </c>
      <c r="AB589" s="5">
        <v>6</v>
      </c>
      <c r="AC589" s="2" t="s">
        <v>206</v>
      </c>
      <c r="AD589" s="4"/>
      <c r="AE589" s="4"/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206</v>
      </c>
      <c r="AM589" s="4"/>
      <c r="AN589" s="4"/>
      <c r="AO589" s="7"/>
      <c r="AP589" s="4"/>
      <c r="AQ589" s="8"/>
      <c r="AR589" s="4"/>
      <c r="AS589" s="8"/>
      <c r="AT589" s="7"/>
      <c r="AU589" s="7"/>
      <c r="AV589" s="4" t="s">
        <v>206</v>
      </c>
      <c r="AW589" s="8" t="s">
        <v>206</v>
      </c>
      <c r="AX589" s="4" t="s">
        <v>206</v>
      </c>
      <c r="AY589" s="8" t="s">
        <v>206</v>
      </c>
      <c r="AZ589" s="7" t="s">
        <v>206</v>
      </c>
      <c r="BA589" s="7" t="s">
        <v>206</v>
      </c>
      <c r="BB589" s="7"/>
      <c r="BC589" s="4" t="s">
        <v>206</v>
      </c>
      <c r="BD589" s="8" t="s">
        <v>206</v>
      </c>
      <c r="BE589" s="4" t="s">
        <v>206</v>
      </c>
      <c r="BF589" s="8" t="s">
        <v>206</v>
      </c>
      <c r="BG589" s="7" t="s">
        <v>206</v>
      </c>
      <c r="BH589" s="7" t="s">
        <v>206</v>
      </c>
      <c r="BI589" s="7"/>
      <c r="BJ589" s="4">
        <v>31</v>
      </c>
      <c r="BK589" s="8">
        <v>856.68</v>
      </c>
      <c r="BL589" s="2" t="s">
        <v>3890</v>
      </c>
      <c r="BM589" s="7"/>
      <c r="BN589" s="7"/>
      <c r="BO589" s="4"/>
      <c r="BP589" s="8"/>
      <c r="BQ589" s="4"/>
      <c r="BR589" s="8"/>
      <c r="BS589" s="7"/>
      <c r="BT589" s="7"/>
      <c r="BU589" s="2" t="s">
        <v>3891</v>
      </c>
      <c r="BV589" s="2" t="s">
        <v>206</v>
      </c>
      <c r="BW589" s="2" t="s">
        <v>206</v>
      </c>
      <c r="BX589" s="2" t="s">
        <v>214</v>
      </c>
      <c r="BY589" s="2" t="s">
        <v>215</v>
      </c>
      <c r="BZ589" s="2" t="s">
        <v>203</v>
      </c>
      <c r="CA589" s="2" t="s">
        <v>216</v>
      </c>
      <c r="CB589" s="2" t="s">
        <v>767</v>
      </c>
      <c r="CC589" s="2" t="s">
        <v>218</v>
      </c>
      <c r="CD589" s="2" t="s">
        <v>206</v>
      </c>
      <c r="CE589" s="4">
        <v>121</v>
      </c>
      <c r="CF589" s="4">
        <v>90</v>
      </c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  <c r="FG589" s="4"/>
      <c r="FH589" s="4"/>
      <c r="FI589" s="4"/>
      <c r="FJ589" s="4"/>
      <c r="FK589" s="4"/>
      <c r="FL589" s="4"/>
      <c r="FM589" s="4"/>
      <c r="FN589" s="4"/>
      <c r="FO589" s="4"/>
      <c r="FP589" s="4"/>
      <c r="FQ589" s="4"/>
      <c r="FR589" s="4"/>
      <c r="FS589" s="4"/>
      <c r="FT589" s="4"/>
      <c r="FU589" s="4"/>
      <c r="FV589" s="4"/>
      <c r="FW589" s="4"/>
      <c r="FX589" s="4"/>
      <c r="FY589" s="4"/>
      <c r="FZ589" s="4"/>
      <c r="GA589" s="4"/>
      <c r="GB589" s="4"/>
      <c r="GC589" s="4"/>
      <c r="GD589" s="4"/>
      <c r="GE589" s="4"/>
      <c r="GF589" s="4"/>
    </row>
    <row r="590">
      <c r="A590" s="2" t="s">
        <v>3892</v>
      </c>
      <c r="B590" s="2" t="s">
        <v>225</v>
      </c>
      <c r="C590" s="2" t="s">
        <v>1145</v>
      </c>
      <c r="D590" s="2" t="s">
        <v>227</v>
      </c>
      <c r="E590" s="2" t="s">
        <v>228</v>
      </c>
      <c r="F590" s="2" t="s">
        <v>292</v>
      </c>
      <c r="G590" s="2" t="s">
        <v>292</v>
      </c>
      <c r="H590" s="2" t="s">
        <v>292</v>
      </c>
      <c r="I590" s="2" t="s">
        <v>3893</v>
      </c>
      <c r="J590" s="2" t="s">
        <v>290</v>
      </c>
      <c r="K590" s="2" t="s">
        <v>262</v>
      </c>
      <c r="L590" s="3">
        <v>11.18</v>
      </c>
      <c r="M590" s="3">
        <v>11.74</v>
      </c>
      <c r="N590" s="3">
        <v>27.99</v>
      </c>
      <c r="O590" s="2" t="s">
        <v>203</v>
      </c>
      <c r="P590" s="2" t="s">
        <v>204</v>
      </c>
      <c r="Q590" s="2" t="s">
        <v>205</v>
      </c>
      <c r="R590" s="2" t="s">
        <v>206</v>
      </c>
      <c r="S590" s="2" t="s">
        <v>3894</v>
      </c>
      <c r="T590" s="2" t="s">
        <v>292</v>
      </c>
      <c r="U590" s="2" t="s">
        <v>556</v>
      </c>
      <c r="V590" s="2" t="s">
        <v>209</v>
      </c>
      <c r="W590" s="2" t="s">
        <v>210</v>
      </c>
      <c r="X590" s="2" t="s">
        <v>206</v>
      </c>
      <c r="Y590" s="2" t="s">
        <v>3895</v>
      </c>
      <c r="Z590" s="4">
        <v>195</v>
      </c>
      <c r="AA590" s="4">
        <f>=ROUNDDOWN(97.5,0)</f>
      </c>
      <c r="AB590" s="5">
        <v>2</v>
      </c>
      <c r="AC590" s="2" t="s">
        <v>206</v>
      </c>
      <c r="AD590" s="4"/>
      <c r="AE590" s="4"/>
      <c r="AF590" s="6">
        <v>65</v>
      </c>
      <c r="AG590" s="6"/>
      <c r="AH590" s="7">
        <v>1</v>
      </c>
      <c r="AI590" s="4"/>
      <c r="AJ590" s="4">
        <f>=ROUNDDOWN({0},0)</f>
      </c>
      <c r="AK590" s="5"/>
      <c r="AL590" s="2" t="s">
        <v>206</v>
      </c>
      <c r="AM590" s="4"/>
      <c r="AN590" s="4"/>
      <c r="AO590" s="7"/>
      <c r="AP590" s="4"/>
      <c r="AQ590" s="8"/>
      <c r="AR590" s="4"/>
      <c r="AS590" s="8"/>
      <c r="AT590" s="7"/>
      <c r="AU590" s="7"/>
      <c r="AV590" s="4" t="s">
        <v>206</v>
      </c>
      <c r="AW590" s="8" t="s">
        <v>206</v>
      </c>
      <c r="AX590" s="4" t="s">
        <v>206</v>
      </c>
      <c r="AY590" s="8" t="s">
        <v>206</v>
      </c>
      <c r="AZ590" s="7" t="s">
        <v>206</v>
      </c>
      <c r="BA590" s="7" t="s">
        <v>206</v>
      </c>
      <c r="BB590" s="7"/>
      <c r="BC590" s="4" t="s">
        <v>206</v>
      </c>
      <c r="BD590" s="8" t="s">
        <v>206</v>
      </c>
      <c r="BE590" s="4" t="s">
        <v>206</v>
      </c>
      <c r="BF590" s="8" t="s">
        <v>206</v>
      </c>
      <c r="BG590" s="7" t="s">
        <v>206</v>
      </c>
      <c r="BH590" s="7" t="s">
        <v>206</v>
      </c>
      <c r="BI590" s="7"/>
      <c r="BJ590" s="4">
        <v>5</v>
      </c>
      <c r="BK590" s="8">
        <v>61.66</v>
      </c>
      <c r="BL590" s="2" t="s">
        <v>719</v>
      </c>
      <c r="BM590" s="7"/>
      <c r="BN590" s="7"/>
      <c r="BO590" s="4"/>
      <c r="BP590" s="8"/>
      <c r="BQ590" s="4"/>
      <c r="BR590" s="8"/>
      <c r="BS590" s="7"/>
      <c r="BT590" s="7"/>
      <c r="BU590" s="2" t="s">
        <v>3896</v>
      </c>
      <c r="BV590" s="2" t="s">
        <v>206</v>
      </c>
      <c r="BW590" s="2" t="s">
        <v>206</v>
      </c>
      <c r="BX590" s="2" t="s">
        <v>214</v>
      </c>
      <c r="BY590" s="2" t="s">
        <v>215</v>
      </c>
      <c r="BZ590" s="2" t="s">
        <v>203</v>
      </c>
      <c r="CA590" s="2" t="s">
        <v>240</v>
      </c>
      <c r="CB590" s="2" t="s">
        <v>2530</v>
      </c>
      <c r="CC590" s="2" t="s">
        <v>218</v>
      </c>
      <c r="CD590" s="2" t="s">
        <v>206</v>
      </c>
      <c r="CE590" s="4">
        <v>195</v>
      </c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  <c r="FD590" s="4"/>
      <c r="FE590" s="4"/>
      <c r="FF590" s="4"/>
      <c r="FG590" s="4"/>
      <c r="FH590" s="4"/>
      <c r="FI590" s="4"/>
      <c r="FJ590" s="4"/>
      <c r="FK590" s="4"/>
      <c r="FL590" s="4"/>
      <c r="FM590" s="4"/>
      <c r="FN590" s="4"/>
      <c r="FO590" s="4"/>
      <c r="FP590" s="4"/>
      <c r="FQ590" s="4"/>
      <c r="FR590" s="4"/>
      <c r="FS590" s="4"/>
      <c r="FT590" s="4"/>
      <c r="FU590" s="4"/>
      <c r="FV590" s="4"/>
      <c r="FW590" s="4"/>
      <c r="FX590" s="4"/>
      <c r="FY590" s="4"/>
      <c r="FZ590" s="4"/>
      <c r="GA590" s="4"/>
      <c r="GB590" s="4"/>
      <c r="GC590" s="4"/>
      <c r="GD590" s="4"/>
      <c r="GE590" s="4"/>
      <c r="GF590" s="4"/>
    </row>
    <row r="591">
      <c r="A591" s="2" t="s">
        <v>3897</v>
      </c>
      <c r="B591" s="2" t="s">
        <v>225</v>
      </c>
      <c r="C591" s="2" t="s">
        <v>1145</v>
      </c>
      <c r="D591" s="2" t="s">
        <v>227</v>
      </c>
      <c r="E591" s="2" t="s">
        <v>228</v>
      </c>
      <c r="F591" s="2" t="s">
        <v>292</v>
      </c>
      <c r="G591" s="2" t="s">
        <v>292</v>
      </c>
      <c r="H591" s="2" t="s">
        <v>292</v>
      </c>
      <c r="I591" s="2" t="s">
        <v>3893</v>
      </c>
      <c r="J591" s="2" t="s">
        <v>220</v>
      </c>
      <c r="K591" s="2" t="s">
        <v>262</v>
      </c>
      <c r="L591" s="3">
        <v>12.92</v>
      </c>
      <c r="M591" s="3">
        <v>13.57</v>
      </c>
      <c r="N591" s="3">
        <v>30.99</v>
      </c>
      <c r="O591" s="2" t="s">
        <v>203</v>
      </c>
      <c r="P591" s="2" t="s">
        <v>204</v>
      </c>
      <c r="Q591" s="2" t="s">
        <v>205</v>
      </c>
      <c r="R591" s="2" t="s">
        <v>206</v>
      </c>
      <c r="S591" s="2" t="s">
        <v>3894</v>
      </c>
      <c r="T591" s="2" t="s">
        <v>292</v>
      </c>
      <c r="U591" s="2" t="s">
        <v>235</v>
      </c>
      <c r="V591" s="2" t="s">
        <v>209</v>
      </c>
      <c r="W591" s="2" t="s">
        <v>210</v>
      </c>
      <c r="X591" s="2" t="s">
        <v>206</v>
      </c>
      <c r="Y591" s="2" t="s">
        <v>3895</v>
      </c>
      <c r="Z591" s="4">
        <v>124</v>
      </c>
      <c r="AA591" s="4">
        <f>=ROUNDDOWN(53.9130434782609,0)</f>
      </c>
      <c r="AB591" s="5">
        <v>2.3</v>
      </c>
      <c r="AC591" s="2" t="s">
        <v>206</v>
      </c>
      <c r="AD591" s="4"/>
      <c r="AE591" s="4"/>
      <c r="AF591" s="6">
        <v>65</v>
      </c>
      <c r="AG591" s="6"/>
      <c r="AH591" s="7">
        <v>1</v>
      </c>
      <c r="AI591" s="4"/>
      <c r="AJ591" s="4">
        <f>=ROUNDDOWN({0},0)</f>
      </c>
      <c r="AK591" s="5"/>
      <c r="AL591" s="2" t="s">
        <v>206</v>
      </c>
      <c r="AM591" s="4"/>
      <c r="AN591" s="4"/>
      <c r="AO591" s="7"/>
      <c r="AP591" s="4"/>
      <c r="AQ591" s="8"/>
      <c r="AR591" s="4"/>
      <c r="AS591" s="8"/>
      <c r="AT591" s="7"/>
      <c r="AU591" s="7"/>
      <c r="AV591" s="4" t="s">
        <v>206</v>
      </c>
      <c r="AW591" s="8" t="s">
        <v>206</v>
      </c>
      <c r="AX591" s="4" t="s">
        <v>206</v>
      </c>
      <c r="AY591" s="8" t="s">
        <v>206</v>
      </c>
      <c r="AZ591" s="7" t="s">
        <v>206</v>
      </c>
      <c r="BA591" s="7" t="s">
        <v>206</v>
      </c>
      <c r="BB591" s="7"/>
      <c r="BC591" s="4" t="s">
        <v>206</v>
      </c>
      <c r="BD591" s="8" t="s">
        <v>206</v>
      </c>
      <c r="BE591" s="4" t="s">
        <v>206</v>
      </c>
      <c r="BF591" s="8" t="s">
        <v>206</v>
      </c>
      <c r="BG591" s="7" t="s">
        <v>206</v>
      </c>
      <c r="BH591" s="7" t="s">
        <v>206</v>
      </c>
      <c r="BI591" s="7"/>
      <c r="BJ591" s="4">
        <v>5</v>
      </c>
      <c r="BK591" s="8">
        <v>69.23</v>
      </c>
      <c r="BL591" s="2" t="s">
        <v>1308</v>
      </c>
      <c r="BM591" s="7"/>
      <c r="BN591" s="7"/>
      <c r="BO591" s="4"/>
      <c r="BP591" s="8"/>
      <c r="BQ591" s="4"/>
      <c r="BR591" s="8"/>
      <c r="BS591" s="7"/>
      <c r="BT591" s="7"/>
      <c r="BU591" s="2" t="s">
        <v>3898</v>
      </c>
      <c r="BV591" s="2" t="s">
        <v>206</v>
      </c>
      <c r="BW591" s="2" t="s">
        <v>206</v>
      </c>
      <c r="BX591" s="2" t="s">
        <v>214</v>
      </c>
      <c r="BY591" s="2" t="s">
        <v>215</v>
      </c>
      <c r="BZ591" s="2" t="s">
        <v>203</v>
      </c>
      <c r="CA591" s="2" t="s">
        <v>240</v>
      </c>
      <c r="CB591" s="2" t="s">
        <v>3899</v>
      </c>
      <c r="CC591" s="2" t="s">
        <v>218</v>
      </c>
      <c r="CD591" s="2" t="s">
        <v>206</v>
      </c>
      <c r="CE591" s="4">
        <v>124</v>
      </c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  <c r="FD591" s="4"/>
      <c r="FE591" s="4"/>
      <c r="FF591" s="4"/>
      <c r="FG591" s="4"/>
      <c r="FH591" s="4"/>
      <c r="FI591" s="4"/>
      <c r="FJ591" s="4"/>
      <c r="FK591" s="4"/>
      <c r="FL591" s="4"/>
      <c r="FM591" s="4"/>
      <c r="FN591" s="4"/>
      <c r="FO591" s="4"/>
      <c r="FP591" s="4"/>
      <c r="FQ591" s="4"/>
      <c r="FR591" s="4"/>
      <c r="FS591" s="4"/>
      <c r="FT591" s="4"/>
      <c r="FU591" s="4"/>
      <c r="FV591" s="4"/>
      <c r="FW591" s="4"/>
      <c r="FX591" s="4"/>
      <c r="FY591" s="4"/>
      <c r="FZ591" s="4"/>
      <c r="GA591" s="4"/>
      <c r="GB591" s="4"/>
      <c r="GC591" s="4"/>
      <c r="GD591" s="4"/>
      <c r="GE591" s="4"/>
      <c r="GF591" s="4"/>
    </row>
    <row r="592">
      <c r="A592" s="2" t="s">
        <v>3900</v>
      </c>
      <c r="B592" s="2" t="s">
        <v>225</v>
      </c>
      <c r="C592" s="2" t="s">
        <v>1145</v>
      </c>
      <c r="D592" s="2" t="s">
        <v>227</v>
      </c>
      <c r="E592" s="2" t="s">
        <v>228</v>
      </c>
      <c r="F592" s="2" t="s">
        <v>292</v>
      </c>
      <c r="G592" s="2" t="s">
        <v>292</v>
      </c>
      <c r="H592" s="2" t="s">
        <v>292</v>
      </c>
      <c r="I592" s="2" t="s">
        <v>3893</v>
      </c>
      <c r="J592" s="2" t="s">
        <v>282</v>
      </c>
      <c r="K592" s="2" t="s">
        <v>262</v>
      </c>
      <c r="L592" s="3">
        <v>14.21</v>
      </c>
      <c r="M592" s="3">
        <v>14.92</v>
      </c>
      <c r="N592" s="3">
        <v>32.99</v>
      </c>
      <c r="O592" s="2" t="s">
        <v>203</v>
      </c>
      <c r="P592" s="2" t="s">
        <v>204</v>
      </c>
      <c r="Q592" s="2" t="s">
        <v>205</v>
      </c>
      <c r="R592" s="2" t="s">
        <v>206</v>
      </c>
      <c r="S592" s="2" t="s">
        <v>3894</v>
      </c>
      <c r="T592" s="2" t="s">
        <v>292</v>
      </c>
      <c r="U592" s="2" t="s">
        <v>235</v>
      </c>
      <c r="V592" s="2" t="s">
        <v>209</v>
      </c>
      <c r="W592" s="2" t="s">
        <v>210</v>
      </c>
      <c r="X592" s="2" t="s">
        <v>206</v>
      </c>
      <c r="Y592" s="2" t="s">
        <v>3895</v>
      </c>
      <c r="Z592" s="4">
        <v>169</v>
      </c>
      <c r="AA592" s="4">
        <f>=ROUNDDOWN(33.8,0)</f>
      </c>
      <c r="AB592" s="5">
        <v>5</v>
      </c>
      <c r="AC592" s="2" t="s">
        <v>206</v>
      </c>
      <c r="AD592" s="4"/>
      <c r="AE592" s="4"/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206</v>
      </c>
      <c r="AM592" s="4"/>
      <c r="AN592" s="4"/>
      <c r="AO592" s="7"/>
      <c r="AP592" s="4"/>
      <c r="AQ592" s="8"/>
      <c r="AR592" s="4"/>
      <c r="AS592" s="8"/>
      <c r="AT592" s="7"/>
      <c r="AU592" s="7"/>
      <c r="AV592" s="4" t="s">
        <v>206</v>
      </c>
      <c r="AW592" s="8" t="s">
        <v>206</v>
      </c>
      <c r="AX592" s="4" t="s">
        <v>206</v>
      </c>
      <c r="AY592" s="8" t="s">
        <v>206</v>
      </c>
      <c r="AZ592" s="7" t="s">
        <v>206</v>
      </c>
      <c r="BA592" s="7" t="s">
        <v>206</v>
      </c>
      <c r="BB592" s="7"/>
      <c r="BC592" s="4" t="s">
        <v>206</v>
      </c>
      <c r="BD592" s="8" t="s">
        <v>206</v>
      </c>
      <c r="BE592" s="4" t="s">
        <v>206</v>
      </c>
      <c r="BF592" s="8" t="s">
        <v>206</v>
      </c>
      <c r="BG592" s="7" t="s">
        <v>206</v>
      </c>
      <c r="BH592" s="7" t="s">
        <v>206</v>
      </c>
      <c r="BI592" s="7"/>
      <c r="BJ592" s="4">
        <v>7</v>
      </c>
      <c r="BK592" s="8">
        <v>107.65</v>
      </c>
      <c r="BL592" s="2" t="s">
        <v>3901</v>
      </c>
      <c r="BM592" s="7"/>
      <c r="BN592" s="7"/>
      <c r="BO592" s="4"/>
      <c r="BP592" s="8"/>
      <c r="BQ592" s="4"/>
      <c r="BR592" s="8"/>
      <c r="BS592" s="7"/>
      <c r="BT592" s="7"/>
      <c r="BU592" s="2" t="s">
        <v>3902</v>
      </c>
      <c r="BV592" s="2" t="s">
        <v>206</v>
      </c>
      <c r="BW592" s="2" t="s">
        <v>206</v>
      </c>
      <c r="BX592" s="2" t="s">
        <v>214</v>
      </c>
      <c r="BY592" s="2" t="s">
        <v>215</v>
      </c>
      <c r="BZ592" s="2" t="s">
        <v>203</v>
      </c>
      <c r="CA592" s="2" t="s">
        <v>240</v>
      </c>
      <c r="CB592" s="2" t="s">
        <v>3903</v>
      </c>
      <c r="CC592" s="2" t="s">
        <v>218</v>
      </c>
      <c r="CD592" s="2" t="s">
        <v>206</v>
      </c>
      <c r="CE592" s="4">
        <v>169</v>
      </c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  <c r="FD592" s="4"/>
      <c r="FE592" s="4"/>
      <c r="FF592" s="4"/>
      <c r="FG592" s="4"/>
      <c r="FH592" s="4"/>
      <c r="FI592" s="4"/>
      <c r="FJ592" s="4"/>
      <c r="FK592" s="4"/>
      <c r="FL592" s="4"/>
      <c r="FM592" s="4"/>
      <c r="FN592" s="4"/>
      <c r="FO592" s="4"/>
      <c r="FP592" s="4"/>
      <c r="FQ592" s="4"/>
      <c r="FR592" s="4"/>
      <c r="FS592" s="4"/>
      <c r="FT592" s="4"/>
      <c r="FU592" s="4"/>
      <c r="FV592" s="4"/>
      <c r="FW592" s="4"/>
      <c r="FX592" s="4"/>
      <c r="FY592" s="4"/>
      <c r="FZ592" s="4"/>
      <c r="GA592" s="4"/>
      <c r="GB592" s="4"/>
      <c r="GC592" s="4"/>
      <c r="GD592" s="4"/>
      <c r="GE592" s="4"/>
      <c r="GF592" s="4"/>
    </row>
    <row r="593">
      <c r="A593" s="2" t="s">
        <v>3904</v>
      </c>
      <c r="B593" s="2" t="s">
        <v>225</v>
      </c>
      <c r="C593" s="2" t="s">
        <v>1145</v>
      </c>
      <c r="D593" s="2" t="s">
        <v>227</v>
      </c>
      <c r="E593" s="2" t="s">
        <v>228</v>
      </c>
      <c r="F593" s="2" t="s">
        <v>292</v>
      </c>
      <c r="G593" s="2" t="s">
        <v>292</v>
      </c>
      <c r="H593" s="2" t="s">
        <v>292</v>
      </c>
      <c r="I593" s="2" t="s">
        <v>3893</v>
      </c>
      <c r="J593" s="2" t="s">
        <v>231</v>
      </c>
      <c r="K593" s="2" t="s">
        <v>262</v>
      </c>
      <c r="L593" s="3">
        <v>16.75</v>
      </c>
      <c r="M593" s="3">
        <v>17.59</v>
      </c>
      <c r="N593" s="3">
        <v>37.99</v>
      </c>
      <c r="O593" s="2" t="s">
        <v>203</v>
      </c>
      <c r="P593" s="2" t="s">
        <v>204</v>
      </c>
      <c r="Q593" s="2" t="s">
        <v>205</v>
      </c>
      <c r="R593" s="2" t="s">
        <v>206</v>
      </c>
      <c r="S593" s="2" t="s">
        <v>3894</v>
      </c>
      <c r="T593" s="2" t="s">
        <v>292</v>
      </c>
      <c r="U593" s="2" t="s">
        <v>235</v>
      </c>
      <c r="V593" s="2" t="s">
        <v>209</v>
      </c>
      <c r="W593" s="2" t="s">
        <v>210</v>
      </c>
      <c r="X593" s="2" t="s">
        <v>206</v>
      </c>
      <c r="Y593" s="2" t="s">
        <v>3895</v>
      </c>
      <c r="Z593" s="4">
        <v>179</v>
      </c>
      <c r="AA593" s="4">
        <f>=ROUNDDOWN(59.6666666666667,0)</f>
      </c>
      <c r="AB593" s="5">
        <v>3</v>
      </c>
      <c r="AC593" s="2" t="s">
        <v>206</v>
      </c>
      <c r="AD593" s="4"/>
      <c r="AE593" s="4"/>
      <c r="AF593" s="6">
        <v>65</v>
      </c>
      <c r="AG593" s="6"/>
      <c r="AH593" s="7">
        <v>1</v>
      </c>
      <c r="AI593" s="4"/>
      <c r="AJ593" s="4">
        <f>=ROUNDDOWN({0},0)</f>
      </c>
      <c r="AK593" s="5"/>
      <c r="AL593" s="2" t="s">
        <v>206</v>
      </c>
      <c r="AM593" s="4"/>
      <c r="AN593" s="4"/>
      <c r="AO593" s="7"/>
      <c r="AP593" s="4"/>
      <c r="AQ593" s="8"/>
      <c r="AR593" s="4"/>
      <c r="AS593" s="8"/>
      <c r="AT593" s="7"/>
      <c r="AU593" s="7"/>
      <c r="AV593" s="4" t="s">
        <v>206</v>
      </c>
      <c r="AW593" s="8" t="s">
        <v>206</v>
      </c>
      <c r="AX593" s="4" t="s">
        <v>206</v>
      </c>
      <c r="AY593" s="8" t="s">
        <v>206</v>
      </c>
      <c r="AZ593" s="7" t="s">
        <v>206</v>
      </c>
      <c r="BA593" s="7" t="s">
        <v>206</v>
      </c>
      <c r="BB593" s="7"/>
      <c r="BC593" s="4" t="s">
        <v>206</v>
      </c>
      <c r="BD593" s="8" t="s">
        <v>206</v>
      </c>
      <c r="BE593" s="4" t="s">
        <v>206</v>
      </c>
      <c r="BF593" s="8" t="s">
        <v>206</v>
      </c>
      <c r="BG593" s="7" t="s">
        <v>206</v>
      </c>
      <c r="BH593" s="7" t="s">
        <v>206</v>
      </c>
      <c r="BI593" s="7"/>
      <c r="BJ593" s="4">
        <v>22</v>
      </c>
      <c r="BK593" s="8">
        <v>385.94</v>
      </c>
      <c r="BL593" s="2" t="s">
        <v>3905</v>
      </c>
      <c r="BM593" s="7"/>
      <c r="BN593" s="7"/>
      <c r="BO593" s="4"/>
      <c r="BP593" s="8"/>
      <c r="BQ593" s="4"/>
      <c r="BR593" s="8"/>
      <c r="BS593" s="7"/>
      <c r="BT593" s="7"/>
      <c r="BU593" s="2" t="s">
        <v>3906</v>
      </c>
      <c r="BV593" s="2" t="s">
        <v>206</v>
      </c>
      <c r="BW593" s="2" t="s">
        <v>206</v>
      </c>
      <c r="BX593" s="2" t="s">
        <v>214</v>
      </c>
      <c r="BY593" s="2" t="s">
        <v>215</v>
      </c>
      <c r="BZ593" s="2" t="s">
        <v>203</v>
      </c>
      <c r="CA593" s="2" t="s">
        <v>240</v>
      </c>
      <c r="CB593" s="2" t="s">
        <v>206</v>
      </c>
      <c r="CC593" s="2" t="s">
        <v>218</v>
      </c>
      <c r="CD593" s="2" t="s">
        <v>206</v>
      </c>
      <c r="CE593" s="4">
        <v>179</v>
      </c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  <c r="FE593" s="4"/>
      <c r="FF593" s="4"/>
      <c r="FG593" s="4"/>
      <c r="FH593" s="4"/>
      <c r="FI593" s="4"/>
      <c r="FJ593" s="4"/>
      <c r="FK593" s="4"/>
      <c r="FL593" s="4"/>
      <c r="FM593" s="4"/>
      <c r="FN593" s="4"/>
      <c r="FO593" s="4"/>
      <c r="FP593" s="4"/>
      <c r="FQ593" s="4"/>
      <c r="FR593" s="4"/>
      <c r="FS593" s="4"/>
      <c r="FT593" s="4"/>
      <c r="FU593" s="4"/>
      <c r="FV593" s="4"/>
      <c r="FW593" s="4"/>
      <c r="FX593" s="4"/>
      <c r="FY593" s="4"/>
      <c r="FZ593" s="4"/>
      <c r="GA593" s="4"/>
      <c r="GB593" s="4"/>
      <c r="GC593" s="4"/>
      <c r="GD593" s="4"/>
      <c r="GE593" s="4"/>
      <c r="GF593" s="4"/>
    </row>
    <row r="594">
      <c r="A594" s="2" t="s">
        <v>3907</v>
      </c>
      <c r="B594" s="2" t="s">
        <v>225</v>
      </c>
      <c r="C594" s="2" t="s">
        <v>1145</v>
      </c>
      <c r="D594" s="2" t="s">
        <v>227</v>
      </c>
      <c r="E594" s="2" t="s">
        <v>228</v>
      </c>
      <c r="F594" s="2" t="s">
        <v>292</v>
      </c>
      <c r="G594" s="2" t="s">
        <v>292</v>
      </c>
      <c r="H594" s="2" t="s">
        <v>292</v>
      </c>
      <c r="I594" s="2" t="s">
        <v>3893</v>
      </c>
      <c r="J594" s="2" t="s">
        <v>290</v>
      </c>
      <c r="K594" s="2" t="s">
        <v>315</v>
      </c>
      <c r="L594" s="3">
        <v>11.18</v>
      </c>
      <c r="M594" s="3">
        <v>11.74</v>
      </c>
      <c r="N594" s="3">
        <v>27.99</v>
      </c>
      <c r="O594" s="2" t="s">
        <v>203</v>
      </c>
      <c r="P594" s="2" t="s">
        <v>204</v>
      </c>
      <c r="Q594" s="2" t="s">
        <v>205</v>
      </c>
      <c r="R594" s="2" t="s">
        <v>206</v>
      </c>
      <c r="S594" s="2" t="s">
        <v>3908</v>
      </c>
      <c r="T594" s="2" t="s">
        <v>292</v>
      </c>
      <c r="U594" s="2" t="s">
        <v>556</v>
      </c>
      <c r="V594" s="2" t="s">
        <v>209</v>
      </c>
      <c r="W594" s="2" t="s">
        <v>210</v>
      </c>
      <c r="X594" s="2" t="s">
        <v>206</v>
      </c>
      <c r="Y594" s="2" t="s">
        <v>3895</v>
      </c>
      <c r="Z594" s="4">
        <v>191</v>
      </c>
      <c r="AA594" s="4">
        <f>=ROUNDDOWN(95.5,0)</f>
      </c>
      <c r="AB594" s="5">
        <v>2</v>
      </c>
      <c r="AC594" s="2" t="s">
        <v>206</v>
      </c>
      <c r="AD594" s="4"/>
      <c r="AE594" s="4"/>
      <c r="AF594" s="6">
        <v>65</v>
      </c>
      <c r="AG594" s="6"/>
      <c r="AH594" s="7">
        <v>1</v>
      </c>
      <c r="AI594" s="4"/>
      <c r="AJ594" s="4">
        <f>=ROUNDDOWN({0},0)</f>
      </c>
      <c r="AK594" s="5"/>
      <c r="AL594" s="2" t="s">
        <v>206</v>
      </c>
      <c r="AM594" s="4"/>
      <c r="AN594" s="4"/>
      <c r="AO594" s="7"/>
      <c r="AP594" s="4"/>
      <c r="AQ594" s="8"/>
      <c r="AR594" s="4"/>
      <c r="AS594" s="8"/>
      <c r="AT594" s="7"/>
      <c r="AU594" s="7"/>
      <c r="AV594" s="4" t="s">
        <v>206</v>
      </c>
      <c r="AW594" s="8" t="s">
        <v>206</v>
      </c>
      <c r="AX594" s="4" t="s">
        <v>206</v>
      </c>
      <c r="AY594" s="8" t="s">
        <v>206</v>
      </c>
      <c r="AZ594" s="7" t="s">
        <v>206</v>
      </c>
      <c r="BA594" s="7" t="s">
        <v>206</v>
      </c>
      <c r="BB594" s="7"/>
      <c r="BC594" s="4" t="s">
        <v>206</v>
      </c>
      <c r="BD594" s="8" t="s">
        <v>206</v>
      </c>
      <c r="BE594" s="4" t="s">
        <v>206</v>
      </c>
      <c r="BF594" s="8" t="s">
        <v>206</v>
      </c>
      <c r="BG594" s="7" t="s">
        <v>206</v>
      </c>
      <c r="BH594" s="7" t="s">
        <v>206</v>
      </c>
      <c r="BI594" s="7"/>
      <c r="BJ594" s="4">
        <v>2</v>
      </c>
      <c r="BK594" s="8">
        <v>24.66</v>
      </c>
      <c r="BL594" s="2" t="s">
        <v>1325</v>
      </c>
      <c r="BM594" s="7"/>
      <c r="BN594" s="7"/>
      <c r="BO594" s="4"/>
      <c r="BP594" s="8"/>
      <c r="BQ594" s="4"/>
      <c r="BR594" s="8"/>
      <c r="BS594" s="7"/>
      <c r="BT594" s="7"/>
      <c r="BU594" s="2" t="s">
        <v>3909</v>
      </c>
      <c r="BV594" s="2" t="s">
        <v>206</v>
      </c>
      <c r="BW594" s="2" t="s">
        <v>206</v>
      </c>
      <c r="BX594" s="2" t="s">
        <v>214</v>
      </c>
      <c r="BY594" s="2" t="s">
        <v>215</v>
      </c>
      <c r="BZ594" s="2" t="s">
        <v>203</v>
      </c>
      <c r="CA594" s="2" t="s">
        <v>240</v>
      </c>
      <c r="CB594" s="2" t="s">
        <v>3538</v>
      </c>
      <c r="CC594" s="2" t="s">
        <v>218</v>
      </c>
      <c r="CD594" s="2" t="s">
        <v>206</v>
      </c>
      <c r="CE594" s="4">
        <v>191</v>
      </c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  <c r="FE594" s="4"/>
      <c r="FF594" s="4"/>
      <c r="FG594" s="4"/>
      <c r="FH594" s="4"/>
      <c r="FI594" s="4"/>
      <c r="FJ594" s="4"/>
      <c r="FK594" s="4"/>
      <c r="FL594" s="4"/>
      <c r="FM594" s="4"/>
      <c r="FN594" s="4"/>
      <c r="FO594" s="4"/>
      <c r="FP594" s="4"/>
      <c r="FQ594" s="4"/>
      <c r="FR594" s="4"/>
      <c r="FS594" s="4"/>
      <c r="FT594" s="4"/>
      <c r="FU594" s="4"/>
      <c r="FV594" s="4"/>
      <c r="FW594" s="4"/>
      <c r="FX594" s="4"/>
      <c r="FY594" s="4"/>
      <c r="FZ594" s="4"/>
      <c r="GA594" s="4"/>
      <c r="GB594" s="4"/>
      <c r="GC594" s="4"/>
      <c r="GD594" s="4"/>
      <c r="GE594" s="4"/>
      <c r="GF594" s="4"/>
    </row>
    <row r="595">
      <c r="A595" s="2" t="s">
        <v>3910</v>
      </c>
      <c r="B595" s="2" t="s">
        <v>225</v>
      </c>
      <c r="C595" s="2" t="s">
        <v>1145</v>
      </c>
      <c r="D595" s="2" t="s">
        <v>227</v>
      </c>
      <c r="E595" s="2" t="s">
        <v>228</v>
      </c>
      <c r="F595" s="2" t="s">
        <v>292</v>
      </c>
      <c r="G595" s="2" t="s">
        <v>292</v>
      </c>
      <c r="H595" s="2" t="s">
        <v>292</v>
      </c>
      <c r="I595" s="2" t="s">
        <v>3893</v>
      </c>
      <c r="J595" s="2" t="s">
        <v>282</v>
      </c>
      <c r="K595" s="2" t="s">
        <v>315</v>
      </c>
      <c r="L595" s="3">
        <v>14.21</v>
      </c>
      <c r="M595" s="3">
        <v>14.92</v>
      </c>
      <c r="N595" s="3">
        <v>32.99</v>
      </c>
      <c r="O595" s="2" t="s">
        <v>203</v>
      </c>
      <c r="P595" s="2" t="s">
        <v>204</v>
      </c>
      <c r="Q595" s="2" t="s">
        <v>205</v>
      </c>
      <c r="R595" s="2" t="s">
        <v>206</v>
      </c>
      <c r="S595" s="2" t="s">
        <v>3908</v>
      </c>
      <c r="T595" s="2" t="s">
        <v>292</v>
      </c>
      <c r="U595" s="2" t="s">
        <v>235</v>
      </c>
      <c r="V595" s="2" t="s">
        <v>209</v>
      </c>
      <c r="W595" s="2" t="s">
        <v>210</v>
      </c>
      <c r="X595" s="2" t="s">
        <v>206</v>
      </c>
      <c r="Y595" s="2" t="s">
        <v>3895</v>
      </c>
      <c r="Z595" s="4">
        <v>179</v>
      </c>
      <c r="AA595" s="4">
        <f>=ROUNDDOWN(43.6585365853659,0)</f>
      </c>
      <c r="AB595" s="5">
        <v>4.1</v>
      </c>
      <c r="AC595" s="2" t="s">
        <v>1758</v>
      </c>
      <c r="AD595" s="4">
        <v>120</v>
      </c>
      <c r="AE595" s="4">
        <v>120</v>
      </c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206</v>
      </c>
      <c r="AM595" s="4"/>
      <c r="AN595" s="4"/>
      <c r="AO595" s="7"/>
      <c r="AP595" s="4"/>
      <c r="AQ595" s="8"/>
      <c r="AR595" s="4"/>
      <c r="AS595" s="8"/>
      <c r="AT595" s="7"/>
      <c r="AU595" s="7"/>
      <c r="AV595" s="4" t="s">
        <v>206</v>
      </c>
      <c r="AW595" s="8" t="s">
        <v>206</v>
      </c>
      <c r="AX595" s="4" t="s">
        <v>206</v>
      </c>
      <c r="AY595" s="8" t="s">
        <v>206</v>
      </c>
      <c r="AZ595" s="7" t="s">
        <v>206</v>
      </c>
      <c r="BA595" s="7" t="s">
        <v>206</v>
      </c>
      <c r="BB595" s="7"/>
      <c r="BC595" s="4" t="s">
        <v>206</v>
      </c>
      <c r="BD595" s="8" t="s">
        <v>206</v>
      </c>
      <c r="BE595" s="4" t="s">
        <v>206</v>
      </c>
      <c r="BF595" s="8" t="s">
        <v>206</v>
      </c>
      <c r="BG595" s="7" t="s">
        <v>206</v>
      </c>
      <c r="BH595" s="7" t="s">
        <v>206</v>
      </c>
      <c r="BI595" s="7"/>
      <c r="BJ595" s="4">
        <v>9</v>
      </c>
      <c r="BK595" s="8">
        <v>157.48</v>
      </c>
      <c r="BL595" s="2" t="s">
        <v>3911</v>
      </c>
      <c r="BM595" s="7"/>
      <c r="BN595" s="7"/>
      <c r="BO595" s="4"/>
      <c r="BP595" s="8"/>
      <c r="BQ595" s="4"/>
      <c r="BR595" s="8"/>
      <c r="BS595" s="7"/>
      <c r="BT595" s="7"/>
      <c r="BU595" s="2" t="s">
        <v>3912</v>
      </c>
      <c r="BV595" s="2" t="s">
        <v>206</v>
      </c>
      <c r="BW595" s="2" t="s">
        <v>206</v>
      </c>
      <c r="BX595" s="2" t="s">
        <v>214</v>
      </c>
      <c r="BY595" s="2" t="s">
        <v>215</v>
      </c>
      <c r="BZ595" s="2" t="s">
        <v>203</v>
      </c>
      <c r="CA595" s="2" t="s">
        <v>240</v>
      </c>
      <c r="CB595" s="2" t="s">
        <v>3913</v>
      </c>
      <c r="CC595" s="2" t="s">
        <v>218</v>
      </c>
      <c r="CD595" s="2" t="s">
        <v>206</v>
      </c>
      <c r="CE595" s="4">
        <v>179</v>
      </c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  <c r="FD595" s="4"/>
      <c r="FE595" s="4"/>
      <c r="FF595" s="4"/>
      <c r="FG595" s="4"/>
      <c r="FH595" s="4"/>
      <c r="FI595" s="4">
        <v>120</v>
      </c>
      <c r="FJ595" s="4"/>
      <c r="FK595" s="4"/>
      <c r="FL595" s="4"/>
      <c r="FM595" s="4"/>
      <c r="FN595" s="4"/>
      <c r="FO595" s="4"/>
      <c r="FP595" s="4"/>
      <c r="FQ595" s="4"/>
      <c r="FR595" s="4"/>
      <c r="FS595" s="4"/>
      <c r="FT595" s="4"/>
      <c r="FU595" s="4"/>
      <c r="FV595" s="4"/>
      <c r="FW595" s="4"/>
      <c r="FX595" s="4"/>
      <c r="FY595" s="4"/>
      <c r="FZ595" s="4"/>
      <c r="GA595" s="4"/>
      <c r="GB595" s="4"/>
      <c r="GC595" s="4"/>
      <c r="GD595" s="4"/>
      <c r="GE595" s="4"/>
      <c r="GF595" s="4"/>
    </row>
    <row r="596">
      <c r="A596" s="2" t="s">
        <v>3914</v>
      </c>
      <c r="B596" s="2" t="s">
        <v>225</v>
      </c>
      <c r="C596" s="2" t="s">
        <v>1145</v>
      </c>
      <c r="D596" s="2" t="s">
        <v>227</v>
      </c>
      <c r="E596" s="2" t="s">
        <v>228</v>
      </c>
      <c r="F596" s="2" t="s">
        <v>292</v>
      </c>
      <c r="G596" s="2" t="s">
        <v>292</v>
      </c>
      <c r="H596" s="2" t="s">
        <v>292</v>
      </c>
      <c r="I596" s="2" t="s">
        <v>3893</v>
      </c>
      <c r="J596" s="2" t="s">
        <v>231</v>
      </c>
      <c r="K596" s="2" t="s">
        <v>315</v>
      </c>
      <c r="L596" s="3">
        <v>16.75</v>
      </c>
      <c r="M596" s="3">
        <v>17.59</v>
      </c>
      <c r="N596" s="3">
        <v>37.99</v>
      </c>
      <c r="O596" s="2" t="s">
        <v>203</v>
      </c>
      <c r="P596" s="2" t="s">
        <v>204</v>
      </c>
      <c r="Q596" s="2" t="s">
        <v>205</v>
      </c>
      <c r="R596" s="2" t="s">
        <v>206</v>
      </c>
      <c r="S596" s="2" t="s">
        <v>3908</v>
      </c>
      <c r="T596" s="2" t="s">
        <v>292</v>
      </c>
      <c r="U596" s="2" t="s">
        <v>235</v>
      </c>
      <c r="V596" s="2" t="s">
        <v>209</v>
      </c>
      <c r="W596" s="2" t="s">
        <v>210</v>
      </c>
      <c r="X596" s="2" t="s">
        <v>206</v>
      </c>
      <c r="Y596" s="2" t="s">
        <v>3895</v>
      </c>
      <c r="Z596" s="4">
        <v>80</v>
      </c>
      <c r="AA596" s="4">
        <f>=ROUNDDOWN(53.3333333333333,0)</f>
      </c>
      <c r="AB596" s="5">
        <v>1.5</v>
      </c>
      <c r="AC596" s="2" t="s">
        <v>1758</v>
      </c>
      <c r="AD596" s="4">
        <v>30</v>
      </c>
      <c r="AE596" s="4">
        <v>30</v>
      </c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206</v>
      </c>
      <c r="AM596" s="4"/>
      <c r="AN596" s="4"/>
      <c r="AO596" s="7"/>
      <c r="AP596" s="4"/>
      <c r="AQ596" s="8"/>
      <c r="AR596" s="4"/>
      <c r="AS596" s="8"/>
      <c r="AT596" s="7"/>
      <c r="AU596" s="7"/>
      <c r="AV596" s="4" t="s">
        <v>206</v>
      </c>
      <c r="AW596" s="8" t="s">
        <v>206</v>
      </c>
      <c r="AX596" s="4" t="s">
        <v>206</v>
      </c>
      <c r="AY596" s="8" t="s">
        <v>206</v>
      </c>
      <c r="AZ596" s="7" t="s">
        <v>206</v>
      </c>
      <c r="BA596" s="7" t="s">
        <v>206</v>
      </c>
      <c r="BB596" s="7"/>
      <c r="BC596" s="4" t="s">
        <v>206</v>
      </c>
      <c r="BD596" s="8" t="s">
        <v>206</v>
      </c>
      <c r="BE596" s="4" t="s">
        <v>206</v>
      </c>
      <c r="BF596" s="8" t="s">
        <v>206</v>
      </c>
      <c r="BG596" s="7" t="s">
        <v>206</v>
      </c>
      <c r="BH596" s="7" t="s">
        <v>206</v>
      </c>
      <c r="BI596" s="7"/>
      <c r="BJ596" s="4">
        <v>3</v>
      </c>
      <c r="BK596" s="8">
        <v>49.44</v>
      </c>
      <c r="BL596" s="2" t="s">
        <v>3915</v>
      </c>
      <c r="BM596" s="7"/>
      <c r="BN596" s="7"/>
      <c r="BO596" s="4"/>
      <c r="BP596" s="8"/>
      <c r="BQ596" s="4"/>
      <c r="BR596" s="8"/>
      <c r="BS596" s="7"/>
      <c r="BT596" s="7"/>
      <c r="BU596" s="2" t="s">
        <v>3916</v>
      </c>
      <c r="BV596" s="2" t="s">
        <v>206</v>
      </c>
      <c r="BW596" s="2" t="s">
        <v>206</v>
      </c>
      <c r="BX596" s="2" t="s">
        <v>214</v>
      </c>
      <c r="BY596" s="2" t="s">
        <v>215</v>
      </c>
      <c r="BZ596" s="2" t="s">
        <v>203</v>
      </c>
      <c r="CA596" s="2" t="s">
        <v>240</v>
      </c>
      <c r="CB596" s="2" t="s">
        <v>3628</v>
      </c>
      <c r="CC596" s="2" t="s">
        <v>218</v>
      </c>
      <c r="CD596" s="2" t="s">
        <v>206</v>
      </c>
      <c r="CE596" s="4">
        <v>80</v>
      </c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  <c r="FD596" s="4"/>
      <c r="FE596" s="4"/>
      <c r="FF596" s="4"/>
      <c r="FG596" s="4"/>
      <c r="FH596" s="4"/>
      <c r="FI596" s="4">
        <v>30</v>
      </c>
      <c r="FJ596" s="4"/>
      <c r="FK596" s="4"/>
      <c r="FL596" s="4"/>
      <c r="FM596" s="4"/>
      <c r="FN596" s="4"/>
      <c r="FO596" s="4"/>
      <c r="FP596" s="4"/>
      <c r="FQ596" s="4"/>
      <c r="FR596" s="4"/>
      <c r="FS596" s="4"/>
      <c r="FT596" s="4"/>
      <c r="FU596" s="4"/>
      <c r="FV596" s="4"/>
      <c r="FW596" s="4"/>
      <c r="FX596" s="4"/>
      <c r="FY596" s="4"/>
      <c r="FZ596" s="4"/>
      <c r="GA596" s="4"/>
      <c r="GB596" s="4"/>
      <c r="GC596" s="4"/>
      <c r="GD596" s="4"/>
      <c r="GE596" s="4"/>
      <c r="GF596" s="4"/>
    </row>
    <row r="597">
      <c r="A597" s="2" t="s">
        <v>3917</v>
      </c>
      <c r="B597" s="2" t="s">
        <v>225</v>
      </c>
      <c r="C597" s="2" t="s">
        <v>1145</v>
      </c>
      <c r="D597" s="2" t="s">
        <v>227</v>
      </c>
      <c r="E597" s="2" t="s">
        <v>228</v>
      </c>
      <c r="F597" s="2" t="s">
        <v>292</v>
      </c>
      <c r="G597" s="2" t="s">
        <v>292</v>
      </c>
      <c r="H597" s="2" t="s">
        <v>292</v>
      </c>
      <c r="I597" s="2" t="s">
        <v>3893</v>
      </c>
      <c r="J597" s="2" t="s">
        <v>201</v>
      </c>
      <c r="K597" s="2" t="s">
        <v>1049</v>
      </c>
      <c r="L597" s="3">
        <v>11.18</v>
      </c>
      <c r="M597" s="3">
        <v>11.74</v>
      </c>
      <c r="N597" s="3">
        <v>27.99</v>
      </c>
      <c r="O597" s="2" t="s">
        <v>203</v>
      </c>
      <c r="P597" s="2" t="s">
        <v>204</v>
      </c>
      <c r="Q597" s="2" t="s">
        <v>205</v>
      </c>
      <c r="R597" s="2" t="s">
        <v>206</v>
      </c>
      <c r="S597" s="2" t="s">
        <v>3918</v>
      </c>
      <c r="T597" s="2" t="s">
        <v>292</v>
      </c>
      <c r="U597" s="2" t="s">
        <v>206</v>
      </c>
      <c r="V597" s="2" t="s">
        <v>209</v>
      </c>
      <c r="W597" s="2" t="s">
        <v>210</v>
      </c>
      <c r="X597" s="2" t="s">
        <v>206</v>
      </c>
      <c r="Y597" s="2" t="s">
        <v>211</v>
      </c>
      <c r="Z597" s="4">
        <v>154</v>
      </c>
      <c r="AA597" s="4">
        <f>=ROUNDDOWN(19.25,0)</f>
      </c>
      <c r="AB597" s="5">
        <v>8</v>
      </c>
      <c r="AC597" s="2" t="s">
        <v>121</v>
      </c>
      <c r="AD597" s="4">
        <v>40</v>
      </c>
      <c r="AE597" s="4">
        <v>170</v>
      </c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206</v>
      </c>
      <c r="AM597" s="4"/>
      <c r="AN597" s="4"/>
      <c r="AO597" s="7"/>
      <c r="AP597" s="4"/>
      <c r="AQ597" s="8"/>
      <c r="AR597" s="4"/>
      <c r="AS597" s="8"/>
      <c r="AT597" s="7"/>
      <c r="AU597" s="7"/>
      <c r="AV597" s="4" t="s">
        <v>206</v>
      </c>
      <c r="AW597" s="8" t="s">
        <v>206</v>
      </c>
      <c r="AX597" s="4" t="s">
        <v>206</v>
      </c>
      <c r="AY597" s="8" t="s">
        <v>206</v>
      </c>
      <c r="AZ597" s="7" t="s">
        <v>206</v>
      </c>
      <c r="BA597" s="7" t="s">
        <v>206</v>
      </c>
      <c r="BB597" s="7" t="s">
        <v>206</v>
      </c>
      <c r="BC597" s="4" t="s">
        <v>206</v>
      </c>
      <c r="BD597" s="8" t="s">
        <v>206</v>
      </c>
      <c r="BE597" s="4" t="s">
        <v>206</v>
      </c>
      <c r="BF597" s="8" t="s">
        <v>206</v>
      </c>
      <c r="BG597" s="7" t="s">
        <v>206</v>
      </c>
      <c r="BH597" s="7" t="s">
        <v>206</v>
      </c>
      <c r="BI597" s="7"/>
      <c r="BJ597" s="4">
        <v>35</v>
      </c>
      <c r="BK597" s="8">
        <v>409.95</v>
      </c>
      <c r="BL597" s="2" t="s">
        <v>3919</v>
      </c>
      <c r="BM597" s="7"/>
      <c r="BN597" s="7"/>
      <c r="BO597" s="4"/>
      <c r="BP597" s="8"/>
      <c r="BQ597" s="4"/>
      <c r="BR597" s="8"/>
      <c r="BS597" s="7"/>
      <c r="BT597" s="7"/>
      <c r="BU597" s="2" t="s">
        <v>3920</v>
      </c>
      <c r="BV597" s="2" t="s">
        <v>206</v>
      </c>
      <c r="BW597" s="2" t="s">
        <v>206</v>
      </c>
      <c r="BX597" s="2" t="s">
        <v>214</v>
      </c>
      <c r="BY597" s="2" t="s">
        <v>215</v>
      </c>
      <c r="BZ597" s="2" t="s">
        <v>203</v>
      </c>
      <c r="CA597" s="2" t="s">
        <v>3921</v>
      </c>
      <c r="CB597" s="2" t="s">
        <v>3922</v>
      </c>
      <c r="CC597" s="2" t="s">
        <v>218</v>
      </c>
      <c r="CD597" s="2" t="s">
        <v>206</v>
      </c>
      <c r="CE597" s="4">
        <v>154</v>
      </c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>
        <v>40</v>
      </c>
      <c r="DJ597" s="4"/>
      <c r="DK597" s="4"/>
      <c r="DL597" s="4"/>
      <c r="DM597" s="4"/>
      <c r="DN597" s="4"/>
      <c r="DO597" s="4"/>
      <c r="DP597" s="4"/>
      <c r="DQ597" s="4"/>
      <c r="DR597" s="4">
        <v>50</v>
      </c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  <c r="FE597" s="4"/>
      <c r="FF597" s="4"/>
      <c r="FG597" s="4"/>
      <c r="FH597" s="4"/>
      <c r="FI597" s="4">
        <v>80</v>
      </c>
      <c r="FJ597" s="4"/>
      <c r="FK597" s="4"/>
      <c r="FL597" s="4"/>
      <c r="FM597" s="4"/>
      <c r="FN597" s="4"/>
      <c r="FO597" s="4"/>
      <c r="FP597" s="4"/>
      <c r="FQ597" s="4"/>
      <c r="FR597" s="4"/>
      <c r="FS597" s="4"/>
      <c r="FT597" s="4"/>
      <c r="FU597" s="4"/>
      <c r="FV597" s="4"/>
      <c r="FW597" s="4"/>
      <c r="FX597" s="4"/>
      <c r="FY597" s="4"/>
      <c r="FZ597" s="4"/>
      <c r="GA597" s="4"/>
      <c r="GB597" s="4"/>
      <c r="GC597" s="4"/>
      <c r="GD597" s="4"/>
      <c r="GE597" s="4"/>
      <c r="GF597" s="4"/>
    </row>
    <row r="598">
      <c r="A598" s="2" t="s">
        <v>3923</v>
      </c>
      <c r="B598" s="2" t="s">
        <v>225</v>
      </c>
      <c r="C598" s="2" t="s">
        <v>1145</v>
      </c>
      <c r="D598" s="2" t="s">
        <v>227</v>
      </c>
      <c r="E598" s="2" t="s">
        <v>228</v>
      </c>
      <c r="F598" s="2" t="s">
        <v>292</v>
      </c>
      <c r="G598" s="2" t="s">
        <v>292</v>
      </c>
      <c r="H598" s="2" t="s">
        <v>292</v>
      </c>
      <c r="I598" s="2" t="s">
        <v>3924</v>
      </c>
      <c r="J598" s="2" t="s">
        <v>201</v>
      </c>
      <c r="K598" s="2" t="s">
        <v>1049</v>
      </c>
      <c r="L598" s="3">
        <v>12.15</v>
      </c>
      <c r="M598" s="3">
        <v>12.76</v>
      </c>
      <c r="N598" s="3">
        <v>26.99</v>
      </c>
      <c r="O598" s="2" t="s">
        <v>203</v>
      </c>
      <c r="P598" s="2" t="s">
        <v>204</v>
      </c>
      <c r="Q598" s="2" t="s">
        <v>205</v>
      </c>
      <c r="R598" s="2" t="s">
        <v>206</v>
      </c>
      <c r="S598" s="2" t="s">
        <v>3918</v>
      </c>
      <c r="T598" s="2" t="s">
        <v>292</v>
      </c>
      <c r="U598" s="2" t="s">
        <v>235</v>
      </c>
      <c r="V598" s="2" t="s">
        <v>209</v>
      </c>
      <c r="W598" s="2" t="s">
        <v>210</v>
      </c>
      <c r="X598" s="2" t="s">
        <v>439</v>
      </c>
      <c r="Y598" s="2" t="s">
        <v>3925</v>
      </c>
      <c r="Z598" s="4">
        <v>251</v>
      </c>
      <c r="AA598" s="4">
        <f>=ROUNDDOWN(62.75,0)</f>
      </c>
      <c r="AB598" s="5">
        <v>4</v>
      </c>
      <c r="AC598" s="2" t="s">
        <v>206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206</v>
      </c>
      <c r="AM598" s="4"/>
      <c r="AN598" s="4"/>
      <c r="AO598" s="7"/>
      <c r="AP598" s="4"/>
      <c r="AQ598" s="8"/>
      <c r="AR598" s="4"/>
      <c r="AS598" s="8"/>
      <c r="AT598" s="7"/>
      <c r="AU598" s="7"/>
      <c r="AV598" s="4" t="s">
        <v>206</v>
      </c>
      <c r="AW598" s="8" t="s">
        <v>206</v>
      </c>
      <c r="AX598" s="4" t="s">
        <v>206</v>
      </c>
      <c r="AY598" s="8" t="s">
        <v>206</v>
      </c>
      <c r="AZ598" s="7" t="s">
        <v>206</v>
      </c>
      <c r="BA598" s="7" t="s">
        <v>206</v>
      </c>
      <c r="BB598" s="7" t="s">
        <v>206</v>
      </c>
      <c r="BC598" s="4" t="s">
        <v>206</v>
      </c>
      <c r="BD598" s="8" t="s">
        <v>206</v>
      </c>
      <c r="BE598" s="4" t="s">
        <v>206</v>
      </c>
      <c r="BF598" s="8" t="s">
        <v>206</v>
      </c>
      <c r="BG598" s="7" t="s">
        <v>206</v>
      </c>
      <c r="BH598" s="7" t="s">
        <v>206</v>
      </c>
      <c r="BI598" s="7"/>
      <c r="BJ598" s="4">
        <v>15</v>
      </c>
      <c r="BK598" s="8">
        <v>190.9</v>
      </c>
      <c r="BL598" s="2" t="s">
        <v>3926</v>
      </c>
      <c r="BM598" s="7"/>
      <c r="BN598" s="7"/>
      <c r="BO598" s="4"/>
      <c r="BP598" s="8"/>
      <c r="BQ598" s="4"/>
      <c r="BR598" s="8"/>
      <c r="BS598" s="7"/>
      <c r="BT598" s="7"/>
      <c r="BU598" s="2" t="s">
        <v>3927</v>
      </c>
      <c r="BV598" s="2" t="s">
        <v>206</v>
      </c>
      <c r="BW598" s="2" t="s">
        <v>206</v>
      </c>
      <c r="BX598" s="2" t="s">
        <v>214</v>
      </c>
      <c r="BY598" s="2" t="s">
        <v>215</v>
      </c>
      <c r="BZ598" s="2" t="s">
        <v>203</v>
      </c>
      <c r="CA598" s="2" t="s">
        <v>3928</v>
      </c>
      <c r="CB598" s="2" t="s">
        <v>2708</v>
      </c>
      <c r="CC598" s="2" t="s">
        <v>218</v>
      </c>
      <c r="CD598" s="2" t="s">
        <v>206</v>
      </c>
      <c r="CE598" s="4">
        <v>251</v>
      </c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  <c r="FE598" s="4"/>
      <c r="FF598" s="4"/>
      <c r="FG598" s="4"/>
      <c r="FH598" s="4"/>
      <c r="FI598" s="4"/>
      <c r="FJ598" s="4"/>
      <c r="FK598" s="4"/>
      <c r="FL598" s="4"/>
      <c r="FM598" s="4"/>
      <c r="FN598" s="4"/>
      <c r="FO598" s="4"/>
      <c r="FP598" s="4"/>
      <c r="FQ598" s="4"/>
      <c r="FR598" s="4"/>
      <c r="FS598" s="4"/>
      <c r="FT598" s="4"/>
      <c r="FU598" s="4"/>
      <c r="FV598" s="4"/>
      <c r="FW598" s="4"/>
      <c r="FX598" s="4"/>
      <c r="FY598" s="4"/>
      <c r="FZ598" s="4"/>
      <c r="GA598" s="4"/>
      <c r="GB598" s="4"/>
      <c r="GC598" s="4"/>
      <c r="GD598" s="4"/>
      <c r="GE598" s="4"/>
      <c r="GF598" s="4"/>
    </row>
    <row r="599">
      <c r="A599" s="2" t="s">
        <v>3929</v>
      </c>
      <c r="B599" s="2" t="s">
        <v>225</v>
      </c>
      <c r="C599" s="2" t="s">
        <v>1145</v>
      </c>
      <c r="D599" s="2" t="s">
        <v>227</v>
      </c>
      <c r="E599" s="2" t="s">
        <v>228</v>
      </c>
      <c r="F599" s="2" t="s">
        <v>292</v>
      </c>
      <c r="G599" s="2" t="s">
        <v>292</v>
      </c>
      <c r="H599" s="2" t="s">
        <v>292</v>
      </c>
      <c r="I599" s="2" t="s">
        <v>3924</v>
      </c>
      <c r="J599" s="2" t="s">
        <v>290</v>
      </c>
      <c r="K599" s="2" t="s">
        <v>1049</v>
      </c>
      <c r="L599" s="3">
        <v>12.15</v>
      </c>
      <c r="M599" s="3">
        <v>12.76</v>
      </c>
      <c r="N599" s="3">
        <v>26.99</v>
      </c>
      <c r="O599" s="2" t="s">
        <v>203</v>
      </c>
      <c r="P599" s="2" t="s">
        <v>204</v>
      </c>
      <c r="Q599" s="2" t="s">
        <v>205</v>
      </c>
      <c r="R599" s="2" t="s">
        <v>206</v>
      </c>
      <c r="S599" s="2" t="s">
        <v>3918</v>
      </c>
      <c r="T599" s="2" t="s">
        <v>292</v>
      </c>
      <c r="U599" s="2" t="s">
        <v>235</v>
      </c>
      <c r="V599" s="2" t="s">
        <v>209</v>
      </c>
      <c r="W599" s="2" t="s">
        <v>210</v>
      </c>
      <c r="X599" s="2" t="s">
        <v>439</v>
      </c>
      <c r="Y599" s="2" t="s">
        <v>3925</v>
      </c>
      <c r="Z599" s="4">
        <v>588</v>
      </c>
      <c r="AA599" s="4">
        <f>=ROUNDDOWN(84,0)</f>
      </c>
      <c r="AB599" s="5">
        <v>7</v>
      </c>
      <c r="AC599" s="2" t="s">
        <v>206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206</v>
      </c>
      <c r="AM599" s="4"/>
      <c r="AN599" s="4"/>
      <c r="AO599" s="7"/>
      <c r="AP599" s="4"/>
      <c r="AQ599" s="8"/>
      <c r="AR599" s="4"/>
      <c r="AS599" s="8"/>
      <c r="AT599" s="7"/>
      <c r="AU599" s="7"/>
      <c r="AV599" s="4" t="s">
        <v>206</v>
      </c>
      <c r="AW599" s="8" t="s">
        <v>206</v>
      </c>
      <c r="AX599" s="4" t="s">
        <v>206</v>
      </c>
      <c r="AY599" s="8" t="s">
        <v>206</v>
      </c>
      <c r="AZ599" s="7" t="s">
        <v>206</v>
      </c>
      <c r="BA599" s="7" t="s">
        <v>206</v>
      </c>
      <c r="BB599" s="7"/>
      <c r="BC599" s="4" t="s">
        <v>206</v>
      </c>
      <c r="BD599" s="8" t="s">
        <v>206</v>
      </c>
      <c r="BE599" s="4" t="s">
        <v>206</v>
      </c>
      <c r="BF599" s="8" t="s">
        <v>206</v>
      </c>
      <c r="BG599" s="7" t="s">
        <v>206</v>
      </c>
      <c r="BH599" s="7" t="s">
        <v>206</v>
      </c>
      <c r="BI599" s="7"/>
      <c r="BJ599" s="4">
        <v>14</v>
      </c>
      <c r="BK599" s="8">
        <v>177.6</v>
      </c>
      <c r="BL599" s="2" t="s">
        <v>3930</v>
      </c>
      <c r="BM599" s="7"/>
      <c r="BN599" s="7"/>
      <c r="BO599" s="4"/>
      <c r="BP599" s="8"/>
      <c r="BQ599" s="4"/>
      <c r="BR599" s="8"/>
      <c r="BS599" s="7"/>
      <c r="BT599" s="7"/>
      <c r="BU599" s="2" t="s">
        <v>3931</v>
      </c>
      <c r="BV599" s="2" t="s">
        <v>206</v>
      </c>
      <c r="BW599" s="2" t="s">
        <v>206</v>
      </c>
      <c r="BX599" s="2" t="s">
        <v>214</v>
      </c>
      <c r="BY599" s="2" t="s">
        <v>215</v>
      </c>
      <c r="BZ599" s="2" t="s">
        <v>203</v>
      </c>
      <c r="CA599" s="2" t="s">
        <v>3928</v>
      </c>
      <c r="CB599" s="2" t="s">
        <v>3932</v>
      </c>
      <c r="CC599" s="2" t="s">
        <v>218</v>
      </c>
      <c r="CD599" s="2" t="s">
        <v>206</v>
      </c>
      <c r="CE599" s="4">
        <v>588</v>
      </c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  <c r="FD599" s="4"/>
      <c r="FE599" s="4"/>
      <c r="FF599" s="4"/>
      <c r="FG599" s="4"/>
      <c r="FH599" s="4"/>
      <c r="FI599" s="4"/>
      <c r="FJ599" s="4"/>
      <c r="FK599" s="4"/>
      <c r="FL599" s="4"/>
      <c r="FM599" s="4"/>
      <c r="FN599" s="4"/>
      <c r="FO599" s="4"/>
      <c r="FP599" s="4"/>
      <c r="FQ599" s="4"/>
      <c r="FR599" s="4"/>
      <c r="FS599" s="4"/>
      <c r="FT599" s="4"/>
      <c r="FU599" s="4"/>
      <c r="FV599" s="4"/>
      <c r="FW599" s="4"/>
      <c r="FX599" s="4"/>
      <c r="FY599" s="4"/>
      <c r="FZ599" s="4"/>
      <c r="GA599" s="4"/>
      <c r="GB599" s="4"/>
      <c r="GC599" s="4"/>
      <c r="GD599" s="4"/>
      <c r="GE599" s="4"/>
      <c r="GF599" s="4"/>
    </row>
    <row r="600">
      <c r="A600" s="2" t="s">
        <v>3933</v>
      </c>
      <c r="B600" s="2" t="s">
        <v>225</v>
      </c>
      <c r="C600" s="2" t="s">
        <v>1145</v>
      </c>
      <c r="D600" s="2" t="s">
        <v>227</v>
      </c>
      <c r="E600" s="2" t="s">
        <v>228</v>
      </c>
      <c r="F600" s="2" t="s">
        <v>292</v>
      </c>
      <c r="G600" s="2" t="s">
        <v>292</v>
      </c>
      <c r="H600" s="2" t="s">
        <v>292</v>
      </c>
      <c r="I600" s="2" t="s">
        <v>3924</v>
      </c>
      <c r="J600" s="2" t="s">
        <v>282</v>
      </c>
      <c r="K600" s="2" t="s">
        <v>1049</v>
      </c>
      <c r="L600" s="3">
        <v>14.85</v>
      </c>
      <c r="M600" s="3">
        <v>15.59</v>
      </c>
      <c r="N600" s="3">
        <v>32.99</v>
      </c>
      <c r="O600" s="2" t="s">
        <v>203</v>
      </c>
      <c r="P600" s="2" t="s">
        <v>204</v>
      </c>
      <c r="Q600" s="2" t="s">
        <v>205</v>
      </c>
      <c r="R600" s="2" t="s">
        <v>206</v>
      </c>
      <c r="S600" s="2" t="s">
        <v>3918</v>
      </c>
      <c r="T600" s="2" t="s">
        <v>292</v>
      </c>
      <c r="U600" s="2" t="s">
        <v>485</v>
      </c>
      <c r="V600" s="2" t="s">
        <v>209</v>
      </c>
      <c r="W600" s="2" t="s">
        <v>210</v>
      </c>
      <c r="X600" s="2" t="s">
        <v>439</v>
      </c>
      <c r="Y600" s="2" t="s">
        <v>3925</v>
      </c>
      <c r="Z600" s="4">
        <v>58</v>
      </c>
      <c r="AA600" s="4">
        <f>=ROUNDDOWN(4.14285714285714,0)</f>
      </c>
      <c r="AB600" s="5">
        <v>14</v>
      </c>
      <c r="AC600" s="2" t="s">
        <v>121</v>
      </c>
      <c r="AD600" s="4">
        <v>140</v>
      </c>
      <c r="AE600" s="4">
        <v>580</v>
      </c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206</v>
      </c>
      <c r="AM600" s="4"/>
      <c r="AN600" s="4"/>
      <c r="AO600" s="7"/>
      <c r="AP600" s="4"/>
      <c r="AQ600" s="8"/>
      <c r="AR600" s="4"/>
      <c r="AS600" s="8"/>
      <c r="AT600" s="7"/>
      <c r="AU600" s="7"/>
      <c r="AV600" s="4" t="s">
        <v>206</v>
      </c>
      <c r="AW600" s="8" t="s">
        <v>206</v>
      </c>
      <c r="AX600" s="4" t="s">
        <v>206</v>
      </c>
      <c r="AY600" s="8" t="s">
        <v>206</v>
      </c>
      <c r="AZ600" s="7" t="s">
        <v>206</v>
      </c>
      <c r="BA600" s="7" t="s">
        <v>206</v>
      </c>
      <c r="BB600" s="7"/>
      <c r="BC600" s="4" t="s">
        <v>206</v>
      </c>
      <c r="BD600" s="8" t="s">
        <v>206</v>
      </c>
      <c r="BE600" s="4" t="s">
        <v>206</v>
      </c>
      <c r="BF600" s="8" t="s">
        <v>206</v>
      </c>
      <c r="BG600" s="7" t="s">
        <v>206</v>
      </c>
      <c r="BH600" s="7" t="s">
        <v>206</v>
      </c>
      <c r="BI600" s="7"/>
      <c r="BJ600" s="4">
        <v>122</v>
      </c>
      <c r="BK600" s="8">
        <v>1910.05</v>
      </c>
      <c r="BL600" s="2" t="s">
        <v>3934</v>
      </c>
      <c r="BM600" s="7"/>
      <c r="BN600" s="7"/>
      <c r="BO600" s="4"/>
      <c r="BP600" s="8"/>
      <c r="BQ600" s="4"/>
      <c r="BR600" s="8"/>
      <c r="BS600" s="7"/>
      <c r="BT600" s="7"/>
      <c r="BU600" s="2" t="s">
        <v>3935</v>
      </c>
      <c r="BV600" s="2" t="s">
        <v>206</v>
      </c>
      <c r="BW600" s="2" t="s">
        <v>206</v>
      </c>
      <c r="BX600" s="2" t="s">
        <v>214</v>
      </c>
      <c r="BY600" s="2" t="s">
        <v>215</v>
      </c>
      <c r="BZ600" s="2" t="s">
        <v>203</v>
      </c>
      <c r="CA600" s="2" t="s">
        <v>3928</v>
      </c>
      <c r="CB600" s="2" t="s">
        <v>3936</v>
      </c>
      <c r="CC600" s="2" t="s">
        <v>218</v>
      </c>
      <c r="CD600" s="2" t="s">
        <v>206</v>
      </c>
      <c r="CE600" s="4">
        <v>58</v>
      </c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>
        <v>140</v>
      </c>
      <c r="DJ600" s="4"/>
      <c r="DK600" s="4"/>
      <c r="DL600" s="4"/>
      <c r="DM600" s="4"/>
      <c r="DN600" s="4"/>
      <c r="DO600" s="4"/>
      <c r="DP600" s="4"/>
      <c r="DQ600" s="4"/>
      <c r="DR600" s="4">
        <v>200</v>
      </c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  <c r="FD600" s="4"/>
      <c r="FE600" s="4"/>
      <c r="FF600" s="4"/>
      <c r="FG600" s="4"/>
      <c r="FH600" s="4"/>
      <c r="FI600" s="4">
        <v>240</v>
      </c>
      <c r="FJ600" s="4"/>
      <c r="FK600" s="4"/>
      <c r="FL600" s="4"/>
      <c r="FM600" s="4"/>
      <c r="FN600" s="4"/>
      <c r="FO600" s="4"/>
      <c r="FP600" s="4"/>
      <c r="FQ600" s="4"/>
      <c r="FR600" s="4"/>
      <c r="FS600" s="4"/>
      <c r="FT600" s="4"/>
      <c r="FU600" s="4"/>
      <c r="FV600" s="4"/>
      <c r="FW600" s="4"/>
      <c r="FX600" s="4"/>
      <c r="FY600" s="4"/>
      <c r="FZ600" s="4"/>
      <c r="GA600" s="4"/>
      <c r="GB600" s="4"/>
      <c r="GC600" s="4"/>
      <c r="GD600" s="4"/>
      <c r="GE600" s="4"/>
      <c r="GF600" s="4"/>
    </row>
    <row r="601">
      <c r="A601" s="2" t="s">
        <v>3937</v>
      </c>
      <c r="B601" s="2" t="s">
        <v>225</v>
      </c>
      <c r="C601" s="2" t="s">
        <v>1145</v>
      </c>
      <c r="D601" s="2" t="s">
        <v>227</v>
      </c>
      <c r="E601" s="2" t="s">
        <v>228</v>
      </c>
      <c r="F601" s="2" t="s">
        <v>292</v>
      </c>
      <c r="G601" s="2" t="s">
        <v>292</v>
      </c>
      <c r="H601" s="2" t="s">
        <v>292</v>
      </c>
      <c r="I601" s="2" t="s">
        <v>3893</v>
      </c>
      <c r="J601" s="2" t="s">
        <v>231</v>
      </c>
      <c r="K601" s="2" t="s">
        <v>1049</v>
      </c>
      <c r="L601" s="3">
        <v>16.75</v>
      </c>
      <c r="M601" s="3">
        <v>17.59</v>
      </c>
      <c r="N601" s="3">
        <v>37.99</v>
      </c>
      <c r="O601" s="2" t="s">
        <v>203</v>
      </c>
      <c r="P601" s="2" t="s">
        <v>204</v>
      </c>
      <c r="Q601" s="2" t="s">
        <v>205</v>
      </c>
      <c r="R601" s="2" t="s">
        <v>206</v>
      </c>
      <c r="S601" s="2" t="s">
        <v>3918</v>
      </c>
      <c r="T601" s="2" t="s">
        <v>292</v>
      </c>
      <c r="U601" s="2" t="s">
        <v>206</v>
      </c>
      <c r="V601" s="2" t="s">
        <v>209</v>
      </c>
      <c r="W601" s="2" t="s">
        <v>210</v>
      </c>
      <c r="X601" s="2" t="s">
        <v>206</v>
      </c>
      <c r="Y601" s="2" t="s">
        <v>211</v>
      </c>
      <c r="Z601" s="4">
        <v>141</v>
      </c>
      <c r="AA601" s="4">
        <f>=ROUNDDOWN(17.625,0)</f>
      </c>
      <c r="AB601" s="5">
        <v>8</v>
      </c>
      <c r="AC601" s="2" t="s">
        <v>1758</v>
      </c>
      <c r="AD601" s="4">
        <v>40</v>
      </c>
      <c r="AE601" s="4">
        <v>40</v>
      </c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206</v>
      </c>
      <c r="AM601" s="4"/>
      <c r="AN601" s="4"/>
      <c r="AO601" s="7"/>
      <c r="AP601" s="4"/>
      <c r="AQ601" s="8"/>
      <c r="AR601" s="4"/>
      <c r="AS601" s="8"/>
      <c r="AT601" s="7"/>
      <c r="AU601" s="7"/>
      <c r="AV601" s="4" t="s">
        <v>206</v>
      </c>
      <c r="AW601" s="8" t="s">
        <v>206</v>
      </c>
      <c r="AX601" s="4" t="s">
        <v>206</v>
      </c>
      <c r="AY601" s="8" t="s">
        <v>206</v>
      </c>
      <c r="AZ601" s="7" t="s">
        <v>206</v>
      </c>
      <c r="BA601" s="7" t="s">
        <v>206</v>
      </c>
      <c r="BB601" s="7"/>
      <c r="BC601" s="4" t="s">
        <v>206</v>
      </c>
      <c r="BD601" s="8" t="s">
        <v>206</v>
      </c>
      <c r="BE601" s="4" t="s">
        <v>206</v>
      </c>
      <c r="BF601" s="8" t="s">
        <v>206</v>
      </c>
      <c r="BG601" s="7" t="s">
        <v>206</v>
      </c>
      <c r="BH601" s="7" t="s">
        <v>206</v>
      </c>
      <c r="BI601" s="7"/>
      <c r="BJ601" s="4">
        <v>41</v>
      </c>
      <c r="BK601" s="8">
        <v>758.58</v>
      </c>
      <c r="BL601" s="2" t="s">
        <v>3938</v>
      </c>
      <c r="BM601" s="7"/>
      <c r="BN601" s="7"/>
      <c r="BO601" s="4"/>
      <c r="BP601" s="8"/>
      <c r="BQ601" s="4"/>
      <c r="BR601" s="8"/>
      <c r="BS601" s="7"/>
      <c r="BT601" s="7"/>
      <c r="BU601" s="2" t="s">
        <v>3939</v>
      </c>
      <c r="BV601" s="2" t="s">
        <v>206</v>
      </c>
      <c r="BW601" s="2" t="s">
        <v>206</v>
      </c>
      <c r="BX601" s="2" t="s">
        <v>214</v>
      </c>
      <c r="BY601" s="2" t="s">
        <v>215</v>
      </c>
      <c r="BZ601" s="2" t="s">
        <v>203</v>
      </c>
      <c r="CA601" s="2" t="s">
        <v>3921</v>
      </c>
      <c r="CB601" s="2" t="s">
        <v>3940</v>
      </c>
      <c r="CC601" s="2" t="s">
        <v>218</v>
      </c>
      <c r="CD601" s="2" t="s">
        <v>206</v>
      </c>
      <c r="CE601" s="4">
        <v>141</v>
      </c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  <c r="FD601" s="4"/>
      <c r="FE601" s="4"/>
      <c r="FF601" s="4"/>
      <c r="FG601" s="4"/>
      <c r="FH601" s="4"/>
      <c r="FI601" s="4">
        <v>40</v>
      </c>
      <c r="FJ601" s="4"/>
      <c r="FK601" s="4"/>
      <c r="FL601" s="4"/>
      <c r="FM601" s="4"/>
      <c r="FN601" s="4"/>
      <c r="FO601" s="4"/>
      <c r="FP601" s="4"/>
      <c r="FQ601" s="4"/>
      <c r="FR601" s="4"/>
      <c r="FS601" s="4"/>
      <c r="FT601" s="4"/>
      <c r="FU601" s="4"/>
      <c r="FV601" s="4"/>
      <c r="FW601" s="4"/>
      <c r="FX601" s="4"/>
      <c r="FY601" s="4"/>
      <c r="FZ601" s="4"/>
      <c r="GA601" s="4"/>
      <c r="GB601" s="4"/>
      <c r="GC601" s="4"/>
      <c r="GD601" s="4"/>
      <c r="GE601" s="4"/>
      <c r="GF601" s="4"/>
    </row>
    <row r="602">
      <c r="A602" s="2" t="s">
        <v>3941</v>
      </c>
      <c r="B602" s="2" t="s">
        <v>225</v>
      </c>
      <c r="C602" s="2" t="s">
        <v>1145</v>
      </c>
      <c r="D602" s="2" t="s">
        <v>227</v>
      </c>
      <c r="E602" s="2" t="s">
        <v>228</v>
      </c>
      <c r="F602" s="2" t="s">
        <v>292</v>
      </c>
      <c r="G602" s="2" t="s">
        <v>292</v>
      </c>
      <c r="H602" s="2" t="s">
        <v>292</v>
      </c>
      <c r="I602" s="2" t="s">
        <v>3893</v>
      </c>
      <c r="J602" s="2" t="s">
        <v>201</v>
      </c>
      <c r="K602" s="2" t="s">
        <v>336</v>
      </c>
      <c r="L602" s="3">
        <v>11.18</v>
      </c>
      <c r="M602" s="3">
        <v>11.74</v>
      </c>
      <c r="N602" s="3">
        <v>27.99</v>
      </c>
      <c r="O602" s="2" t="s">
        <v>203</v>
      </c>
      <c r="P602" s="2" t="s">
        <v>204</v>
      </c>
      <c r="Q602" s="2" t="s">
        <v>205</v>
      </c>
      <c r="R602" s="2" t="s">
        <v>206</v>
      </c>
      <c r="S602" s="2" t="s">
        <v>3942</v>
      </c>
      <c r="T602" s="2" t="s">
        <v>292</v>
      </c>
      <c r="U602" s="2" t="s">
        <v>206</v>
      </c>
      <c r="V602" s="2" t="s">
        <v>209</v>
      </c>
      <c r="W602" s="2" t="s">
        <v>210</v>
      </c>
      <c r="X602" s="2" t="s">
        <v>206</v>
      </c>
      <c r="Y602" s="2" t="s">
        <v>211</v>
      </c>
      <c r="Z602" s="4">
        <v>183</v>
      </c>
      <c r="AA602" s="4">
        <f>=ROUNDDOWN(40.6666666666667,0)</f>
      </c>
      <c r="AB602" s="5">
        <v>4.5</v>
      </c>
      <c r="AC602" s="2" t="s">
        <v>113</v>
      </c>
      <c r="AD602" s="4">
        <v>60</v>
      </c>
      <c r="AE602" s="4">
        <v>200</v>
      </c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206</v>
      </c>
      <c r="AM602" s="4"/>
      <c r="AN602" s="4"/>
      <c r="AO602" s="7"/>
      <c r="AP602" s="4"/>
      <c r="AQ602" s="8"/>
      <c r="AR602" s="4"/>
      <c r="AS602" s="8"/>
      <c r="AT602" s="7"/>
      <c r="AU602" s="7"/>
      <c r="AV602" s="4" t="s">
        <v>206</v>
      </c>
      <c r="AW602" s="8" t="s">
        <v>206</v>
      </c>
      <c r="AX602" s="4" t="s">
        <v>206</v>
      </c>
      <c r="AY602" s="8" t="s">
        <v>206</v>
      </c>
      <c r="AZ602" s="7" t="s">
        <v>206</v>
      </c>
      <c r="BA602" s="7" t="s">
        <v>206</v>
      </c>
      <c r="BB602" s="7"/>
      <c r="BC602" s="4" t="s">
        <v>206</v>
      </c>
      <c r="BD602" s="8" t="s">
        <v>206</v>
      </c>
      <c r="BE602" s="4" t="s">
        <v>206</v>
      </c>
      <c r="BF602" s="8" t="s">
        <v>206</v>
      </c>
      <c r="BG602" s="7" t="s">
        <v>206</v>
      </c>
      <c r="BH602" s="7" t="s">
        <v>206</v>
      </c>
      <c r="BI602" s="7"/>
      <c r="BJ602" s="4">
        <v>18</v>
      </c>
      <c r="BK602" s="8">
        <v>208.44</v>
      </c>
      <c r="BL602" s="2" t="s">
        <v>3943</v>
      </c>
      <c r="BM602" s="7"/>
      <c r="BN602" s="7"/>
      <c r="BO602" s="4"/>
      <c r="BP602" s="8"/>
      <c r="BQ602" s="4"/>
      <c r="BR602" s="8"/>
      <c r="BS602" s="7"/>
      <c r="BT602" s="7"/>
      <c r="BU602" s="2" t="s">
        <v>3944</v>
      </c>
      <c r="BV602" s="2" t="s">
        <v>206</v>
      </c>
      <c r="BW602" s="2" t="s">
        <v>206</v>
      </c>
      <c r="BX602" s="2" t="s">
        <v>214</v>
      </c>
      <c r="BY602" s="2" t="s">
        <v>215</v>
      </c>
      <c r="BZ602" s="2" t="s">
        <v>203</v>
      </c>
      <c r="CA602" s="2" t="s">
        <v>216</v>
      </c>
      <c r="CB602" s="2" t="s">
        <v>382</v>
      </c>
      <c r="CC602" s="2" t="s">
        <v>218</v>
      </c>
      <c r="CD602" s="2" t="s">
        <v>206</v>
      </c>
      <c r="CE602" s="4">
        <v>183</v>
      </c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>
        <v>60</v>
      </c>
      <c r="DB602" s="4"/>
      <c r="DC602" s="4"/>
      <c r="DD602" s="4"/>
      <c r="DE602" s="4"/>
      <c r="DF602" s="4"/>
      <c r="DG602" s="4"/>
      <c r="DH602" s="4"/>
      <c r="DI602" s="4">
        <v>60</v>
      </c>
      <c r="DJ602" s="4"/>
      <c r="DK602" s="4"/>
      <c r="DL602" s="4"/>
      <c r="DM602" s="4"/>
      <c r="DN602" s="4"/>
      <c r="DO602" s="4"/>
      <c r="DP602" s="4"/>
      <c r="DQ602" s="4"/>
      <c r="DR602" s="4">
        <v>60</v>
      </c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/>
      <c r="FC602" s="4"/>
      <c r="FD602" s="4"/>
      <c r="FE602" s="4"/>
      <c r="FF602" s="4"/>
      <c r="FG602" s="4"/>
      <c r="FH602" s="4"/>
      <c r="FI602" s="4">
        <v>20</v>
      </c>
      <c r="FJ602" s="4"/>
      <c r="FK602" s="4"/>
      <c r="FL602" s="4"/>
      <c r="FM602" s="4"/>
      <c r="FN602" s="4"/>
      <c r="FO602" s="4"/>
      <c r="FP602" s="4"/>
      <c r="FQ602" s="4"/>
      <c r="FR602" s="4"/>
      <c r="FS602" s="4"/>
      <c r="FT602" s="4"/>
      <c r="FU602" s="4"/>
      <c r="FV602" s="4"/>
      <c r="FW602" s="4"/>
      <c r="FX602" s="4"/>
      <c r="FY602" s="4"/>
      <c r="FZ602" s="4"/>
      <c r="GA602" s="4"/>
      <c r="GB602" s="4"/>
      <c r="GC602" s="4"/>
      <c r="GD602" s="4"/>
      <c r="GE602" s="4"/>
      <c r="GF602" s="4"/>
    </row>
    <row r="603">
      <c r="A603" s="2" t="s">
        <v>3945</v>
      </c>
      <c r="B603" s="2" t="s">
        <v>225</v>
      </c>
      <c r="C603" s="2" t="s">
        <v>1145</v>
      </c>
      <c r="D603" s="2" t="s">
        <v>227</v>
      </c>
      <c r="E603" s="2" t="s">
        <v>228</v>
      </c>
      <c r="F603" s="2" t="s">
        <v>292</v>
      </c>
      <c r="G603" s="2" t="s">
        <v>292</v>
      </c>
      <c r="H603" s="2" t="s">
        <v>292</v>
      </c>
      <c r="I603" s="2" t="s">
        <v>3893</v>
      </c>
      <c r="J603" s="2" t="s">
        <v>290</v>
      </c>
      <c r="K603" s="2" t="s">
        <v>336</v>
      </c>
      <c r="L603" s="3">
        <v>11.18</v>
      </c>
      <c r="M603" s="3">
        <v>11.74</v>
      </c>
      <c r="N603" s="3">
        <v>27.99</v>
      </c>
      <c r="O603" s="2" t="s">
        <v>203</v>
      </c>
      <c r="P603" s="2" t="s">
        <v>204</v>
      </c>
      <c r="Q603" s="2" t="s">
        <v>205</v>
      </c>
      <c r="R603" s="2" t="s">
        <v>206</v>
      </c>
      <c r="S603" s="2" t="s">
        <v>3942</v>
      </c>
      <c r="T603" s="2" t="s">
        <v>292</v>
      </c>
      <c r="U603" s="2" t="s">
        <v>206</v>
      </c>
      <c r="V603" s="2" t="s">
        <v>209</v>
      </c>
      <c r="W603" s="2" t="s">
        <v>210</v>
      </c>
      <c r="X603" s="2" t="s">
        <v>206</v>
      </c>
      <c r="Y603" s="2" t="s">
        <v>211</v>
      </c>
      <c r="Z603" s="4">
        <v>410</v>
      </c>
      <c r="AA603" s="4">
        <f>=ROUNDDOWN(102.5,0)</f>
      </c>
      <c r="AB603" s="5">
        <v>4</v>
      </c>
      <c r="AC603" s="2" t="s">
        <v>206</v>
      </c>
      <c r="AD603" s="4"/>
      <c r="AE603" s="4"/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206</v>
      </c>
      <c r="AM603" s="4"/>
      <c r="AN603" s="4"/>
      <c r="AO603" s="7"/>
      <c r="AP603" s="4"/>
      <c r="AQ603" s="8"/>
      <c r="AR603" s="4"/>
      <c r="AS603" s="8"/>
      <c r="AT603" s="7"/>
      <c r="AU603" s="7"/>
      <c r="AV603" s="4" t="s">
        <v>206</v>
      </c>
      <c r="AW603" s="8" t="s">
        <v>206</v>
      </c>
      <c r="AX603" s="4" t="s">
        <v>206</v>
      </c>
      <c r="AY603" s="8" t="s">
        <v>206</v>
      </c>
      <c r="AZ603" s="7" t="s">
        <v>206</v>
      </c>
      <c r="BA603" s="7" t="s">
        <v>206</v>
      </c>
      <c r="BB603" s="7"/>
      <c r="BC603" s="4" t="s">
        <v>206</v>
      </c>
      <c r="BD603" s="8" t="s">
        <v>206</v>
      </c>
      <c r="BE603" s="4" t="s">
        <v>206</v>
      </c>
      <c r="BF603" s="8" t="s">
        <v>206</v>
      </c>
      <c r="BG603" s="7" t="s">
        <v>206</v>
      </c>
      <c r="BH603" s="7" t="s">
        <v>206</v>
      </c>
      <c r="BI603" s="7"/>
      <c r="BJ603" s="4">
        <v>6</v>
      </c>
      <c r="BK603" s="8">
        <v>68.8</v>
      </c>
      <c r="BL603" s="2" t="s">
        <v>3946</v>
      </c>
      <c r="BM603" s="7"/>
      <c r="BN603" s="7"/>
      <c r="BO603" s="4"/>
      <c r="BP603" s="8"/>
      <c r="BQ603" s="4"/>
      <c r="BR603" s="8"/>
      <c r="BS603" s="7"/>
      <c r="BT603" s="7"/>
      <c r="BU603" s="2" t="s">
        <v>3947</v>
      </c>
      <c r="BV603" s="2" t="s">
        <v>206</v>
      </c>
      <c r="BW603" s="2" t="s">
        <v>206</v>
      </c>
      <c r="BX603" s="2" t="s">
        <v>214</v>
      </c>
      <c r="BY603" s="2" t="s">
        <v>215</v>
      </c>
      <c r="BZ603" s="2" t="s">
        <v>203</v>
      </c>
      <c r="CA603" s="2" t="s">
        <v>216</v>
      </c>
      <c r="CB603" s="2" t="s">
        <v>747</v>
      </c>
      <c r="CC603" s="2" t="s">
        <v>218</v>
      </c>
      <c r="CD603" s="2" t="s">
        <v>206</v>
      </c>
      <c r="CE603" s="4">
        <v>410</v>
      </c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  <c r="FD603" s="4"/>
      <c r="FE603" s="4"/>
      <c r="FF603" s="4"/>
      <c r="FG603" s="4"/>
      <c r="FH603" s="4"/>
      <c r="FI603" s="4"/>
      <c r="FJ603" s="4"/>
      <c r="FK603" s="4"/>
      <c r="FL603" s="4"/>
      <c r="FM603" s="4"/>
      <c r="FN603" s="4"/>
      <c r="FO603" s="4"/>
      <c r="FP603" s="4"/>
      <c r="FQ603" s="4"/>
      <c r="FR603" s="4"/>
      <c r="FS603" s="4"/>
      <c r="FT603" s="4"/>
      <c r="FU603" s="4"/>
      <c r="FV603" s="4"/>
      <c r="FW603" s="4"/>
      <c r="FX603" s="4"/>
      <c r="FY603" s="4"/>
      <c r="FZ603" s="4"/>
      <c r="GA603" s="4"/>
      <c r="GB603" s="4"/>
      <c r="GC603" s="4"/>
      <c r="GD603" s="4"/>
      <c r="GE603" s="4"/>
      <c r="GF603" s="4"/>
    </row>
    <row r="604">
      <c r="A604" s="2" t="s">
        <v>3948</v>
      </c>
      <c r="B604" s="2" t="s">
        <v>225</v>
      </c>
      <c r="C604" s="2" t="s">
        <v>1145</v>
      </c>
      <c r="D604" s="2" t="s">
        <v>227</v>
      </c>
      <c r="E604" s="2" t="s">
        <v>228</v>
      </c>
      <c r="F604" s="2" t="s">
        <v>292</v>
      </c>
      <c r="G604" s="2" t="s">
        <v>292</v>
      </c>
      <c r="H604" s="2" t="s">
        <v>292</v>
      </c>
      <c r="I604" s="2" t="s">
        <v>3893</v>
      </c>
      <c r="J604" s="2" t="s">
        <v>220</v>
      </c>
      <c r="K604" s="2" t="s">
        <v>336</v>
      </c>
      <c r="L604" s="3">
        <v>12.92</v>
      </c>
      <c r="M604" s="3">
        <v>13.57</v>
      </c>
      <c r="N604" s="3">
        <v>30.99</v>
      </c>
      <c r="O604" s="2" t="s">
        <v>203</v>
      </c>
      <c r="P604" s="2" t="s">
        <v>204</v>
      </c>
      <c r="Q604" s="2" t="s">
        <v>205</v>
      </c>
      <c r="R604" s="2" t="s">
        <v>206</v>
      </c>
      <c r="S604" s="2" t="s">
        <v>3942</v>
      </c>
      <c r="T604" s="2" t="s">
        <v>292</v>
      </c>
      <c r="U604" s="2" t="s">
        <v>206</v>
      </c>
      <c r="V604" s="2" t="s">
        <v>209</v>
      </c>
      <c r="W604" s="2" t="s">
        <v>210</v>
      </c>
      <c r="X604" s="2" t="s">
        <v>206</v>
      </c>
      <c r="Y604" s="2" t="s">
        <v>211</v>
      </c>
      <c r="Z604" s="4">
        <v>308</v>
      </c>
      <c r="AA604" s="4">
        <f>=ROUNDDOWN(51.3333333333333,0)</f>
      </c>
      <c r="AB604" s="5">
        <v>6</v>
      </c>
      <c r="AC604" s="2" t="s">
        <v>206</v>
      </c>
      <c r="AD604" s="4"/>
      <c r="AE604" s="4"/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206</v>
      </c>
      <c r="AM604" s="4"/>
      <c r="AN604" s="4"/>
      <c r="AO604" s="7"/>
      <c r="AP604" s="4"/>
      <c r="AQ604" s="8"/>
      <c r="AR604" s="4"/>
      <c r="AS604" s="8"/>
      <c r="AT604" s="7"/>
      <c r="AU604" s="7"/>
      <c r="AV604" s="4" t="s">
        <v>206</v>
      </c>
      <c r="AW604" s="8" t="s">
        <v>206</v>
      </c>
      <c r="AX604" s="4" t="s">
        <v>206</v>
      </c>
      <c r="AY604" s="8" t="s">
        <v>206</v>
      </c>
      <c r="AZ604" s="7" t="s">
        <v>206</v>
      </c>
      <c r="BA604" s="7" t="s">
        <v>206</v>
      </c>
      <c r="BB604" s="7"/>
      <c r="BC604" s="4" t="s">
        <v>206</v>
      </c>
      <c r="BD604" s="8" t="s">
        <v>206</v>
      </c>
      <c r="BE604" s="4" t="s">
        <v>206</v>
      </c>
      <c r="BF604" s="8" t="s">
        <v>206</v>
      </c>
      <c r="BG604" s="7" t="s">
        <v>206</v>
      </c>
      <c r="BH604" s="7" t="s">
        <v>206</v>
      </c>
      <c r="BI604" s="7"/>
      <c r="BJ604" s="4">
        <v>11</v>
      </c>
      <c r="BK604" s="8">
        <v>149.32</v>
      </c>
      <c r="BL604" s="2" t="s">
        <v>3949</v>
      </c>
      <c r="BM604" s="7"/>
      <c r="BN604" s="7"/>
      <c r="BO604" s="4"/>
      <c r="BP604" s="8"/>
      <c r="BQ604" s="4"/>
      <c r="BR604" s="8"/>
      <c r="BS604" s="7"/>
      <c r="BT604" s="7"/>
      <c r="BU604" s="2" t="s">
        <v>3950</v>
      </c>
      <c r="BV604" s="2" t="s">
        <v>206</v>
      </c>
      <c r="BW604" s="2" t="s">
        <v>206</v>
      </c>
      <c r="BX604" s="2" t="s">
        <v>214</v>
      </c>
      <c r="BY604" s="2" t="s">
        <v>215</v>
      </c>
      <c r="BZ604" s="2" t="s">
        <v>203</v>
      </c>
      <c r="CA604" s="2" t="s">
        <v>216</v>
      </c>
      <c r="CB604" s="2" t="s">
        <v>3951</v>
      </c>
      <c r="CC604" s="2" t="s">
        <v>218</v>
      </c>
      <c r="CD604" s="2" t="s">
        <v>206</v>
      </c>
      <c r="CE604" s="4">
        <v>308</v>
      </c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  <c r="FD604" s="4"/>
      <c r="FE604" s="4"/>
      <c r="FF604" s="4"/>
      <c r="FG604" s="4"/>
      <c r="FH604" s="4"/>
      <c r="FI604" s="4"/>
      <c r="FJ604" s="4"/>
      <c r="FK604" s="4"/>
      <c r="FL604" s="4"/>
      <c r="FM604" s="4"/>
      <c r="FN604" s="4"/>
      <c r="FO604" s="4"/>
      <c r="FP604" s="4"/>
      <c r="FQ604" s="4"/>
      <c r="FR604" s="4"/>
      <c r="FS604" s="4"/>
      <c r="FT604" s="4"/>
      <c r="FU604" s="4"/>
      <c r="FV604" s="4"/>
      <c r="FW604" s="4"/>
      <c r="FX604" s="4"/>
      <c r="FY604" s="4"/>
      <c r="FZ604" s="4"/>
      <c r="GA604" s="4"/>
      <c r="GB604" s="4"/>
      <c r="GC604" s="4"/>
      <c r="GD604" s="4"/>
      <c r="GE604" s="4"/>
      <c r="GF604" s="4"/>
    </row>
    <row r="605">
      <c r="A605" s="2" t="s">
        <v>3952</v>
      </c>
      <c r="B605" s="2" t="s">
        <v>225</v>
      </c>
      <c r="C605" s="2" t="s">
        <v>1145</v>
      </c>
      <c r="D605" s="2" t="s">
        <v>227</v>
      </c>
      <c r="E605" s="2" t="s">
        <v>228</v>
      </c>
      <c r="F605" s="2" t="s">
        <v>292</v>
      </c>
      <c r="G605" s="2" t="s">
        <v>292</v>
      </c>
      <c r="H605" s="2" t="s">
        <v>292</v>
      </c>
      <c r="I605" s="2" t="s">
        <v>3893</v>
      </c>
      <c r="J605" s="2" t="s">
        <v>282</v>
      </c>
      <c r="K605" s="2" t="s">
        <v>336</v>
      </c>
      <c r="L605" s="3">
        <v>14.21</v>
      </c>
      <c r="M605" s="3">
        <v>14.92</v>
      </c>
      <c r="N605" s="3">
        <v>32.99</v>
      </c>
      <c r="O605" s="2" t="s">
        <v>203</v>
      </c>
      <c r="P605" s="2" t="s">
        <v>204</v>
      </c>
      <c r="Q605" s="2" t="s">
        <v>205</v>
      </c>
      <c r="R605" s="2" t="s">
        <v>206</v>
      </c>
      <c r="S605" s="2" t="s">
        <v>3942</v>
      </c>
      <c r="T605" s="2" t="s">
        <v>292</v>
      </c>
      <c r="U605" s="2" t="s">
        <v>206</v>
      </c>
      <c r="V605" s="2" t="s">
        <v>209</v>
      </c>
      <c r="W605" s="2" t="s">
        <v>210</v>
      </c>
      <c r="X605" s="2" t="s">
        <v>206</v>
      </c>
      <c r="Y605" s="2" t="s">
        <v>211</v>
      </c>
      <c r="Z605" s="4">
        <v>381</v>
      </c>
      <c r="AA605" s="4">
        <f>=ROUNDDOWN(13.705035971223,0)</f>
      </c>
      <c r="AB605" s="5">
        <v>27.8</v>
      </c>
      <c r="AC605" s="2" t="s">
        <v>441</v>
      </c>
      <c r="AD605" s="4">
        <v>80</v>
      </c>
      <c r="AE605" s="4">
        <v>130</v>
      </c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206</v>
      </c>
      <c r="AM605" s="4"/>
      <c r="AN605" s="4"/>
      <c r="AO605" s="7"/>
      <c r="AP605" s="4"/>
      <c r="AQ605" s="8"/>
      <c r="AR605" s="4"/>
      <c r="AS605" s="8"/>
      <c r="AT605" s="7"/>
      <c r="AU605" s="7"/>
      <c r="AV605" s="4" t="s">
        <v>206</v>
      </c>
      <c r="AW605" s="8" t="s">
        <v>206</v>
      </c>
      <c r="AX605" s="4" t="s">
        <v>206</v>
      </c>
      <c r="AY605" s="8" t="s">
        <v>206</v>
      </c>
      <c r="AZ605" s="7" t="s">
        <v>206</v>
      </c>
      <c r="BA605" s="7" t="s">
        <v>206</v>
      </c>
      <c r="BB605" s="7"/>
      <c r="BC605" s="4" t="s">
        <v>206</v>
      </c>
      <c r="BD605" s="8" t="s">
        <v>206</v>
      </c>
      <c r="BE605" s="4" t="s">
        <v>206</v>
      </c>
      <c r="BF605" s="8" t="s">
        <v>206</v>
      </c>
      <c r="BG605" s="7" t="s">
        <v>206</v>
      </c>
      <c r="BH605" s="7" t="s">
        <v>206</v>
      </c>
      <c r="BI605" s="7"/>
      <c r="BJ605" s="4">
        <v>135</v>
      </c>
      <c r="BK605" s="8">
        <v>1904.82</v>
      </c>
      <c r="BL605" s="2" t="s">
        <v>3953</v>
      </c>
      <c r="BM605" s="7"/>
      <c r="BN605" s="7"/>
      <c r="BO605" s="4"/>
      <c r="BP605" s="8"/>
      <c r="BQ605" s="4"/>
      <c r="BR605" s="8"/>
      <c r="BS605" s="7"/>
      <c r="BT605" s="7"/>
      <c r="BU605" s="2" t="s">
        <v>3954</v>
      </c>
      <c r="BV605" s="2" t="s">
        <v>206</v>
      </c>
      <c r="BW605" s="2" t="s">
        <v>206</v>
      </c>
      <c r="BX605" s="2" t="s">
        <v>214</v>
      </c>
      <c r="BY605" s="2" t="s">
        <v>215</v>
      </c>
      <c r="BZ605" s="2" t="s">
        <v>203</v>
      </c>
      <c r="CA605" s="2" t="s">
        <v>216</v>
      </c>
      <c r="CB605" s="2" t="s">
        <v>747</v>
      </c>
      <c r="CC605" s="2" t="s">
        <v>218</v>
      </c>
      <c r="CD605" s="2" t="s">
        <v>206</v>
      </c>
      <c r="CE605" s="4">
        <v>381</v>
      </c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>
        <v>80</v>
      </c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  <c r="FD605" s="4"/>
      <c r="FE605" s="4"/>
      <c r="FF605" s="4"/>
      <c r="FG605" s="4"/>
      <c r="FH605" s="4"/>
      <c r="FI605" s="4">
        <v>50</v>
      </c>
      <c r="FJ605" s="4"/>
      <c r="FK605" s="4"/>
      <c r="FL605" s="4"/>
      <c r="FM605" s="4"/>
      <c r="FN605" s="4"/>
      <c r="FO605" s="4"/>
      <c r="FP605" s="4"/>
      <c r="FQ605" s="4"/>
      <c r="FR605" s="4"/>
      <c r="FS605" s="4"/>
      <c r="FT605" s="4"/>
      <c r="FU605" s="4"/>
      <c r="FV605" s="4"/>
      <c r="FW605" s="4"/>
      <c r="FX605" s="4"/>
      <c r="FY605" s="4"/>
      <c r="FZ605" s="4"/>
      <c r="GA605" s="4"/>
      <c r="GB605" s="4"/>
      <c r="GC605" s="4"/>
      <c r="GD605" s="4"/>
      <c r="GE605" s="4"/>
      <c r="GF605" s="4"/>
    </row>
    <row r="606">
      <c r="A606" s="2" t="s">
        <v>3955</v>
      </c>
      <c r="B606" s="2" t="s">
        <v>225</v>
      </c>
      <c r="C606" s="2" t="s">
        <v>1145</v>
      </c>
      <c r="D606" s="2" t="s">
        <v>227</v>
      </c>
      <c r="E606" s="2" t="s">
        <v>228</v>
      </c>
      <c r="F606" s="2" t="s">
        <v>292</v>
      </c>
      <c r="G606" s="2" t="s">
        <v>292</v>
      </c>
      <c r="H606" s="2" t="s">
        <v>292</v>
      </c>
      <c r="I606" s="2" t="s">
        <v>3893</v>
      </c>
      <c r="J606" s="2" t="s">
        <v>231</v>
      </c>
      <c r="K606" s="2" t="s">
        <v>336</v>
      </c>
      <c r="L606" s="3">
        <v>16.75</v>
      </c>
      <c r="M606" s="3">
        <v>17.59</v>
      </c>
      <c r="N606" s="3">
        <v>37.99</v>
      </c>
      <c r="O606" s="2" t="s">
        <v>203</v>
      </c>
      <c r="P606" s="2" t="s">
        <v>204</v>
      </c>
      <c r="Q606" s="2" t="s">
        <v>205</v>
      </c>
      <c r="R606" s="2" t="s">
        <v>206</v>
      </c>
      <c r="S606" s="2" t="s">
        <v>3942</v>
      </c>
      <c r="T606" s="2" t="s">
        <v>292</v>
      </c>
      <c r="U606" s="2" t="s">
        <v>206</v>
      </c>
      <c r="V606" s="2" t="s">
        <v>209</v>
      </c>
      <c r="W606" s="2" t="s">
        <v>210</v>
      </c>
      <c r="X606" s="2" t="s">
        <v>206</v>
      </c>
      <c r="Y606" s="2" t="s">
        <v>211</v>
      </c>
      <c r="Z606" s="4">
        <v>253</v>
      </c>
      <c r="AA606" s="4">
        <f>=ROUNDDOWN(30.1190476190476,0)</f>
      </c>
      <c r="AB606" s="5">
        <v>8.4</v>
      </c>
      <c r="AC606" s="2" t="s">
        <v>113</v>
      </c>
      <c r="AD606" s="4">
        <v>60</v>
      </c>
      <c r="AE606" s="4">
        <v>240</v>
      </c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206</v>
      </c>
      <c r="AM606" s="4"/>
      <c r="AN606" s="4"/>
      <c r="AO606" s="7"/>
      <c r="AP606" s="4"/>
      <c r="AQ606" s="8"/>
      <c r="AR606" s="4"/>
      <c r="AS606" s="8"/>
      <c r="AT606" s="7"/>
      <c r="AU606" s="7"/>
      <c r="AV606" s="4" t="s">
        <v>206</v>
      </c>
      <c r="AW606" s="8" t="s">
        <v>206</v>
      </c>
      <c r="AX606" s="4" t="s">
        <v>206</v>
      </c>
      <c r="AY606" s="8" t="s">
        <v>206</v>
      </c>
      <c r="AZ606" s="7" t="s">
        <v>206</v>
      </c>
      <c r="BA606" s="7" t="s">
        <v>206</v>
      </c>
      <c r="BB606" s="7"/>
      <c r="BC606" s="4" t="s">
        <v>206</v>
      </c>
      <c r="BD606" s="8" t="s">
        <v>206</v>
      </c>
      <c r="BE606" s="4" t="s">
        <v>206</v>
      </c>
      <c r="BF606" s="8" t="s">
        <v>206</v>
      </c>
      <c r="BG606" s="7" t="s">
        <v>206</v>
      </c>
      <c r="BH606" s="7" t="s">
        <v>206</v>
      </c>
      <c r="BI606" s="7"/>
      <c r="BJ606" s="4">
        <v>36</v>
      </c>
      <c r="BK606" s="8">
        <v>671.97</v>
      </c>
      <c r="BL606" s="2" t="s">
        <v>3956</v>
      </c>
      <c r="BM606" s="7"/>
      <c r="BN606" s="7"/>
      <c r="BO606" s="4"/>
      <c r="BP606" s="8"/>
      <c r="BQ606" s="4"/>
      <c r="BR606" s="8"/>
      <c r="BS606" s="7"/>
      <c r="BT606" s="7"/>
      <c r="BU606" s="2" t="s">
        <v>3957</v>
      </c>
      <c r="BV606" s="2" t="s">
        <v>206</v>
      </c>
      <c r="BW606" s="2" t="s">
        <v>206</v>
      </c>
      <c r="BX606" s="2" t="s">
        <v>214</v>
      </c>
      <c r="BY606" s="2" t="s">
        <v>215</v>
      </c>
      <c r="BZ606" s="2" t="s">
        <v>203</v>
      </c>
      <c r="CA606" s="2" t="s">
        <v>216</v>
      </c>
      <c r="CB606" s="2" t="s">
        <v>3958</v>
      </c>
      <c r="CC606" s="2" t="s">
        <v>218</v>
      </c>
      <c r="CD606" s="2" t="s">
        <v>206</v>
      </c>
      <c r="CE606" s="4">
        <v>253</v>
      </c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>
        <v>60</v>
      </c>
      <c r="DB606" s="4"/>
      <c r="DC606" s="4"/>
      <c r="DD606" s="4"/>
      <c r="DE606" s="4"/>
      <c r="DF606" s="4"/>
      <c r="DG606" s="4"/>
      <c r="DH606" s="4"/>
      <c r="DI606" s="4">
        <v>90</v>
      </c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  <c r="FE606" s="4"/>
      <c r="FF606" s="4"/>
      <c r="FG606" s="4"/>
      <c r="FH606" s="4"/>
      <c r="FI606" s="4">
        <v>90</v>
      </c>
      <c r="FJ606" s="4"/>
      <c r="FK606" s="4"/>
      <c r="FL606" s="4"/>
      <c r="FM606" s="4"/>
      <c r="FN606" s="4"/>
      <c r="FO606" s="4"/>
      <c r="FP606" s="4"/>
      <c r="FQ606" s="4"/>
      <c r="FR606" s="4"/>
      <c r="FS606" s="4"/>
      <c r="FT606" s="4"/>
      <c r="FU606" s="4"/>
      <c r="FV606" s="4"/>
      <c r="FW606" s="4"/>
      <c r="FX606" s="4"/>
      <c r="FY606" s="4"/>
      <c r="FZ606" s="4"/>
      <c r="GA606" s="4"/>
      <c r="GB606" s="4"/>
      <c r="GC606" s="4"/>
      <c r="GD606" s="4"/>
      <c r="GE606" s="4"/>
      <c r="GF606" s="4"/>
    </row>
    <row r="607">
      <c r="A607" s="2" t="s">
        <v>3959</v>
      </c>
      <c r="B607" s="2" t="s">
        <v>225</v>
      </c>
      <c r="C607" s="2" t="s">
        <v>1145</v>
      </c>
      <c r="D607" s="2" t="s">
        <v>227</v>
      </c>
      <c r="E607" s="2" t="s">
        <v>228</v>
      </c>
      <c r="F607" s="2" t="s">
        <v>292</v>
      </c>
      <c r="G607" s="2" t="s">
        <v>292</v>
      </c>
      <c r="H607" s="2" t="s">
        <v>292</v>
      </c>
      <c r="I607" s="2" t="s">
        <v>3893</v>
      </c>
      <c r="J607" s="2" t="s">
        <v>290</v>
      </c>
      <c r="K607" s="2" t="s">
        <v>1587</v>
      </c>
      <c r="L607" s="3">
        <v>11.18</v>
      </c>
      <c r="M607" s="3">
        <v>11.74</v>
      </c>
      <c r="N607" s="3">
        <v>27.99</v>
      </c>
      <c r="O607" s="2" t="s">
        <v>203</v>
      </c>
      <c r="P607" s="2" t="s">
        <v>204</v>
      </c>
      <c r="Q607" s="2" t="s">
        <v>205</v>
      </c>
      <c r="R607" s="2" t="s">
        <v>206</v>
      </c>
      <c r="S607" s="2" t="s">
        <v>3960</v>
      </c>
      <c r="T607" s="2" t="s">
        <v>292</v>
      </c>
      <c r="U607" s="2" t="s">
        <v>556</v>
      </c>
      <c r="V607" s="2" t="s">
        <v>209</v>
      </c>
      <c r="W607" s="2" t="s">
        <v>210</v>
      </c>
      <c r="X607" s="2" t="s">
        <v>206</v>
      </c>
      <c r="Y607" s="2" t="s">
        <v>3895</v>
      </c>
      <c r="Z607" s="4">
        <v>436</v>
      </c>
      <c r="AA607" s="4">
        <f>=ROUNDDOWN(145.333333333333,0)</f>
      </c>
      <c r="AB607" s="5">
        <v>3</v>
      </c>
      <c r="AC607" s="2" t="s">
        <v>206</v>
      </c>
      <c r="AD607" s="4"/>
      <c r="AE607" s="4"/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206</v>
      </c>
      <c r="AM607" s="4"/>
      <c r="AN607" s="4"/>
      <c r="AO607" s="7"/>
      <c r="AP607" s="4"/>
      <c r="AQ607" s="8"/>
      <c r="AR607" s="4"/>
      <c r="AS607" s="8"/>
      <c r="AT607" s="7"/>
      <c r="AU607" s="7"/>
      <c r="AV607" s="4" t="s">
        <v>206</v>
      </c>
      <c r="AW607" s="8" t="s">
        <v>206</v>
      </c>
      <c r="AX607" s="4" t="s">
        <v>206</v>
      </c>
      <c r="AY607" s="8" t="s">
        <v>206</v>
      </c>
      <c r="AZ607" s="7" t="s">
        <v>206</v>
      </c>
      <c r="BA607" s="7" t="s">
        <v>206</v>
      </c>
      <c r="BB607" s="7"/>
      <c r="BC607" s="4" t="s">
        <v>206</v>
      </c>
      <c r="BD607" s="8" t="s">
        <v>206</v>
      </c>
      <c r="BE607" s="4" t="s">
        <v>206</v>
      </c>
      <c r="BF607" s="8" t="s">
        <v>206</v>
      </c>
      <c r="BG607" s="7" t="s">
        <v>206</v>
      </c>
      <c r="BH607" s="7" t="s">
        <v>206</v>
      </c>
      <c r="BI607" s="7"/>
      <c r="BJ607" s="4">
        <v>2</v>
      </c>
      <c r="BK607" s="8">
        <v>24.4</v>
      </c>
      <c r="BL607" s="2" t="s">
        <v>575</v>
      </c>
      <c r="BM607" s="7"/>
      <c r="BN607" s="7"/>
      <c r="BO607" s="4"/>
      <c r="BP607" s="8"/>
      <c r="BQ607" s="4"/>
      <c r="BR607" s="8"/>
      <c r="BS607" s="7"/>
      <c r="BT607" s="7"/>
      <c r="BU607" s="2" t="s">
        <v>3961</v>
      </c>
      <c r="BV607" s="2" t="s">
        <v>206</v>
      </c>
      <c r="BW607" s="2" t="s">
        <v>206</v>
      </c>
      <c r="BX607" s="2" t="s">
        <v>214</v>
      </c>
      <c r="BY607" s="2" t="s">
        <v>215</v>
      </c>
      <c r="BZ607" s="2" t="s">
        <v>203</v>
      </c>
      <c r="CA607" s="2" t="s">
        <v>240</v>
      </c>
      <c r="CB607" s="2" t="s">
        <v>206</v>
      </c>
      <c r="CC607" s="2" t="s">
        <v>218</v>
      </c>
      <c r="CD607" s="2" t="s">
        <v>206</v>
      </c>
      <c r="CE607" s="4">
        <v>436</v>
      </c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  <c r="FE607" s="4"/>
      <c r="FF607" s="4"/>
      <c r="FG607" s="4"/>
      <c r="FH607" s="4"/>
      <c r="FI607" s="4"/>
      <c r="FJ607" s="4"/>
      <c r="FK607" s="4"/>
      <c r="FL607" s="4"/>
      <c r="FM607" s="4"/>
      <c r="FN607" s="4"/>
      <c r="FO607" s="4"/>
      <c r="FP607" s="4"/>
      <c r="FQ607" s="4"/>
      <c r="FR607" s="4"/>
      <c r="FS607" s="4"/>
      <c r="FT607" s="4"/>
      <c r="FU607" s="4"/>
      <c r="FV607" s="4"/>
      <c r="FW607" s="4"/>
      <c r="FX607" s="4"/>
      <c r="FY607" s="4"/>
      <c r="FZ607" s="4"/>
      <c r="GA607" s="4"/>
      <c r="GB607" s="4"/>
      <c r="GC607" s="4"/>
      <c r="GD607" s="4"/>
      <c r="GE607" s="4"/>
      <c r="GF607" s="4"/>
    </row>
    <row r="608">
      <c r="A608" s="2" t="s">
        <v>3962</v>
      </c>
      <c r="B608" s="2" t="s">
        <v>225</v>
      </c>
      <c r="C608" s="2" t="s">
        <v>1145</v>
      </c>
      <c r="D608" s="2" t="s">
        <v>227</v>
      </c>
      <c r="E608" s="2" t="s">
        <v>228</v>
      </c>
      <c r="F608" s="2" t="s">
        <v>292</v>
      </c>
      <c r="G608" s="2" t="s">
        <v>292</v>
      </c>
      <c r="H608" s="2" t="s">
        <v>292</v>
      </c>
      <c r="I608" s="2" t="s">
        <v>3893</v>
      </c>
      <c r="J608" s="2" t="s">
        <v>220</v>
      </c>
      <c r="K608" s="2" t="s">
        <v>1587</v>
      </c>
      <c r="L608" s="3">
        <v>12.92</v>
      </c>
      <c r="M608" s="3">
        <v>13.57</v>
      </c>
      <c r="N608" s="3">
        <v>30.99</v>
      </c>
      <c r="O608" s="2" t="s">
        <v>203</v>
      </c>
      <c r="P608" s="2" t="s">
        <v>204</v>
      </c>
      <c r="Q608" s="2" t="s">
        <v>205</v>
      </c>
      <c r="R608" s="2" t="s">
        <v>206</v>
      </c>
      <c r="S608" s="2" t="s">
        <v>3960</v>
      </c>
      <c r="T608" s="2" t="s">
        <v>292</v>
      </c>
      <c r="U608" s="2" t="s">
        <v>235</v>
      </c>
      <c r="V608" s="2" t="s">
        <v>209</v>
      </c>
      <c r="W608" s="2" t="s">
        <v>210</v>
      </c>
      <c r="X608" s="2" t="s">
        <v>206</v>
      </c>
      <c r="Y608" s="2" t="s">
        <v>3895</v>
      </c>
      <c r="Z608" s="4">
        <v>136</v>
      </c>
      <c r="AA608" s="4">
        <f>=ROUNDDOWN(34,0)</f>
      </c>
      <c r="AB608" s="5">
        <v>4</v>
      </c>
      <c r="AC608" s="2" t="s">
        <v>441</v>
      </c>
      <c r="AD608" s="4">
        <v>60</v>
      </c>
      <c r="AE608" s="4">
        <v>160</v>
      </c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206</v>
      </c>
      <c r="AM608" s="4"/>
      <c r="AN608" s="4"/>
      <c r="AO608" s="7"/>
      <c r="AP608" s="4"/>
      <c r="AQ608" s="8"/>
      <c r="AR608" s="4"/>
      <c r="AS608" s="8"/>
      <c r="AT608" s="7"/>
      <c r="AU608" s="7"/>
      <c r="AV608" s="4" t="s">
        <v>206</v>
      </c>
      <c r="AW608" s="8" t="s">
        <v>206</v>
      </c>
      <c r="AX608" s="4" t="s">
        <v>206</v>
      </c>
      <c r="AY608" s="8" t="s">
        <v>206</v>
      </c>
      <c r="AZ608" s="7" t="s">
        <v>206</v>
      </c>
      <c r="BA608" s="7" t="s">
        <v>206</v>
      </c>
      <c r="BB608" s="7"/>
      <c r="BC608" s="4" t="s">
        <v>206</v>
      </c>
      <c r="BD608" s="8" t="s">
        <v>206</v>
      </c>
      <c r="BE608" s="4" t="s">
        <v>206</v>
      </c>
      <c r="BF608" s="8" t="s">
        <v>206</v>
      </c>
      <c r="BG608" s="7" t="s">
        <v>206</v>
      </c>
      <c r="BH608" s="7" t="s">
        <v>206</v>
      </c>
      <c r="BI608" s="7"/>
      <c r="BJ608" s="4">
        <v>14</v>
      </c>
      <c r="BK608" s="8">
        <v>190.26</v>
      </c>
      <c r="BL608" s="2" t="s">
        <v>2861</v>
      </c>
      <c r="BM608" s="7"/>
      <c r="BN608" s="7"/>
      <c r="BO608" s="4"/>
      <c r="BP608" s="8"/>
      <c r="BQ608" s="4"/>
      <c r="BR608" s="8"/>
      <c r="BS608" s="7"/>
      <c r="BT608" s="7"/>
      <c r="BU608" s="2" t="s">
        <v>3963</v>
      </c>
      <c r="BV608" s="2" t="s">
        <v>206</v>
      </c>
      <c r="BW608" s="2" t="s">
        <v>206</v>
      </c>
      <c r="BX608" s="2" t="s">
        <v>214</v>
      </c>
      <c r="BY608" s="2" t="s">
        <v>215</v>
      </c>
      <c r="BZ608" s="2" t="s">
        <v>203</v>
      </c>
      <c r="CA608" s="2" t="s">
        <v>240</v>
      </c>
      <c r="CB608" s="2" t="s">
        <v>3964</v>
      </c>
      <c r="CC608" s="2" t="s">
        <v>218</v>
      </c>
      <c r="CD608" s="2" t="s">
        <v>206</v>
      </c>
      <c r="CE608" s="4">
        <v>136</v>
      </c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>
        <v>60</v>
      </c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  <c r="FG608" s="4"/>
      <c r="FH608" s="4"/>
      <c r="FI608" s="4">
        <v>100</v>
      </c>
      <c r="FJ608" s="4"/>
      <c r="FK608" s="4"/>
      <c r="FL608" s="4"/>
      <c r="FM608" s="4"/>
      <c r="FN608" s="4"/>
      <c r="FO608" s="4"/>
      <c r="FP608" s="4"/>
      <c r="FQ608" s="4"/>
      <c r="FR608" s="4"/>
      <c r="FS608" s="4"/>
      <c r="FT608" s="4"/>
      <c r="FU608" s="4"/>
      <c r="FV608" s="4"/>
      <c r="FW608" s="4"/>
      <c r="FX608" s="4"/>
      <c r="FY608" s="4"/>
      <c r="FZ608" s="4"/>
      <c r="GA608" s="4"/>
      <c r="GB608" s="4"/>
      <c r="GC608" s="4"/>
      <c r="GD608" s="4"/>
      <c r="GE608" s="4"/>
      <c r="GF608" s="4"/>
    </row>
    <row r="609">
      <c r="A609" s="2" t="s">
        <v>3965</v>
      </c>
      <c r="B609" s="2" t="s">
        <v>225</v>
      </c>
      <c r="C609" s="2" t="s">
        <v>1145</v>
      </c>
      <c r="D609" s="2" t="s">
        <v>227</v>
      </c>
      <c r="E609" s="2" t="s">
        <v>228</v>
      </c>
      <c r="F609" s="2" t="s">
        <v>292</v>
      </c>
      <c r="G609" s="2" t="s">
        <v>292</v>
      </c>
      <c r="H609" s="2" t="s">
        <v>292</v>
      </c>
      <c r="I609" s="2" t="s">
        <v>3893</v>
      </c>
      <c r="J609" s="2" t="s">
        <v>282</v>
      </c>
      <c r="K609" s="2" t="s">
        <v>1587</v>
      </c>
      <c r="L609" s="3">
        <v>14.21</v>
      </c>
      <c r="M609" s="3">
        <v>14.92</v>
      </c>
      <c r="N609" s="3">
        <v>32.99</v>
      </c>
      <c r="O609" s="2" t="s">
        <v>203</v>
      </c>
      <c r="P609" s="2" t="s">
        <v>204</v>
      </c>
      <c r="Q609" s="2" t="s">
        <v>205</v>
      </c>
      <c r="R609" s="2" t="s">
        <v>206</v>
      </c>
      <c r="S609" s="2" t="s">
        <v>3960</v>
      </c>
      <c r="T609" s="2" t="s">
        <v>292</v>
      </c>
      <c r="U609" s="2" t="s">
        <v>235</v>
      </c>
      <c r="V609" s="2" t="s">
        <v>209</v>
      </c>
      <c r="W609" s="2" t="s">
        <v>210</v>
      </c>
      <c r="X609" s="2" t="s">
        <v>206</v>
      </c>
      <c r="Y609" s="2" t="s">
        <v>3895</v>
      </c>
      <c r="Z609" s="4">
        <v>242</v>
      </c>
      <c r="AA609" s="4">
        <f>=ROUNDDOWN(67.2222222222222,0)</f>
      </c>
      <c r="AB609" s="5">
        <v>3.6</v>
      </c>
      <c r="AC609" s="2" t="s">
        <v>1758</v>
      </c>
      <c r="AD609" s="4">
        <v>140</v>
      </c>
      <c r="AE609" s="4">
        <v>140</v>
      </c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206</v>
      </c>
      <c r="AM609" s="4"/>
      <c r="AN609" s="4"/>
      <c r="AO609" s="7"/>
      <c r="AP609" s="4"/>
      <c r="AQ609" s="8"/>
      <c r="AR609" s="4"/>
      <c r="AS609" s="8"/>
      <c r="AT609" s="7"/>
      <c r="AU609" s="7"/>
      <c r="AV609" s="4" t="s">
        <v>206</v>
      </c>
      <c r="AW609" s="8" t="s">
        <v>206</v>
      </c>
      <c r="AX609" s="4" t="s">
        <v>206</v>
      </c>
      <c r="AY609" s="8" t="s">
        <v>206</v>
      </c>
      <c r="AZ609" s="7" t="s">
        <v>206</v>
      </c>
      <c r="BA609" s="7" t="s">
        <v>206</v>
      </c>
      <c r="BB609" s="7"/>
      <c r="BC609" s="4" t="s">
        <v>206</v>
      </c>
      <c r="BD609" s="8" t="s">
        <v>206</v>
      </c>
      <c r="BE609" s="4" t="s">
        <v>206</v>
      </c>
      <c r="BF609" s="8" t="s">
        <v>206</v>
      </c>
      <c r="BG609" s="7" t="s">
        <v>206</v>
      </c>
      <c r="BH609" s="7" t="s">
        <v>206</v>
      </c>
      <c r="BI609" s="7"/>
      <c r="BJ609" s="4">
        <v>15</v>
      </c>
      <c r="BK609" s="8">
        <v>228.55</v>
      </c>
      <c r="BL609" s="2" t="s">
        <v>3966</v>
      </c>
      <c r="BM609" s="7"/>
      <c r="BN609" s="7"/>
      <c r="BO609" s="4"/>
      <c r="BP609" s="8"/>
      <c r="BQ609" s="4"/>
      <c r="BR609" s="8"/>
      <c r="BS609" s="7"/>
      <c r="BT609" s="7"/>
      <c r="BU609" s="2" t="s">
        <v>3967</v>
      </c>
      <c r="BV609" s="2" t="s">
        <v>206</v>
      </c>
      <c r="BW609" s="2" t="s">
        <v>206</v>
      </c>
      <c r="BX609" s="2" t="s">
        <v>214</v>
      </c>
      <c r="BY609" s="2" t="s">
        <v>215</v>
      </c>
      <c r="BZ609" s="2" t="s">
        <v>203</v>
      </c>
      <c r="CA609" s="2" t="s">
        <v>240</v>
      </c>
      <c r="CB609" s="2" t="s">
        <v>3968</v>
      </c>
      <c r="CC609" s="2" t="s">
        <v>218</v>
      </c>
      <c r="CD609" s="2" t="s">
        <v>206</v>
      </c>
      <c r="CE609" s="4">
        <v>242</v>
      </c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  <c r="FE609" s="4"/>
      <c r="FF609" s="4"/>
      <c r="FG609" s="4"/>
      <c r="FH609" s="4"/>
      <c r="FI609" s="4">
        <v>140</v>
      </c>
      <c r="FJ609" s="4"/>
      <c r="FK609" s="4"/>
      <c r="FL609" s="4"/>
      <c r="FM609" s="4"/>
      <c r="FN609" s="4"/>
      <c r="FO609" s="4"/>
      <c r="FP609" s="4"/>
      <c r="FQ609" s="4"/>
      <c r="FR609" s="4"/>
      <c r="FS609" s="4"/>
      <c r="FT609" s="4"/>
      <c r="FU609" s="4"/>
      <c r="FV609" s="4"/>
      <c r="FW609" s="4"/>
      <c r="FX609" s="4"/>
      <c r="FY609" s="4"/>
      <c r="FZ609" s="4"/>
      <c r="GA609" s="4"/>
      <c r="GB609" s="4"/>
      <c r="GC609" s="4"/>
      <c r="GD609" s="4"/>
      <c r="GE609" s="4"/>
      <c r="GF609" s="4"/>
    </row>
    <row r="610">
      <c r="A610" s="2" t="s">
        <v>3969</v>
      </c>
      <c r="B610" s="2" t="s">
        <v>225</v>
      </c>
      <c r="C610" s="2" t="s">
        <v>1145</v>
      </c>
      <c r="D610" s="2" t="s">
        <v>227</v>
      </c>
      <c r="E610" s="2" t="s">
        <v>228</v>
      </c>
      <c r="F610" s="2" t="s">
        <v>292</v>
      </c>
      <c r="G610" s="2" t="s">
        <v>292</v>
      </c>
      <c r="H610" s="2" t="s">
        <v>292</v>
      </c>
      <c r="I610" s="2" t="s">
        <v>3893</v>
      </c>
      <c r="J610" s="2" t="s">
        <v>231</v>
      </c>
      <c r="K610" s="2" t="s">
        <v>1587</v>
      </c>
      <c r="L610" s="3">
        <v>16.75</v>
      </c>
      <c r="M610" s="3">
        <v>17.59</v>
      </c>
      <c r="N610" s="3">
        <v>37.99</v>
      </c>
      <c r="O610" s="2" t="s">
        <v>203</v>
      </c>
      <c r="P610" s="2" t="s">
        <v>204</v>
      </c>
      <c r="Q610" s="2" t="s">
        <v>205</v>
      </c>
      <c r="R610" s="2" t="s">
        <v>206</v>
      </c>
      <c r="S610" s="2" t="s">
        <v>3960</v>
      </c>
      <c r="T610" s="2" t="s">
        <v>292</v>
      </c>
      <c r="U610" s="2" t="s">
        <v>235</v>
      </c>
      <c r="V610" s="2" t="s">
        <v>209</v>
      </c>
      <c r="W610" s="2" t="s">
        <v>210</v>
      </c>
      <c r="X610" s="2" t="s">
        <v>206</v>
      </c>
      <c r="Y610" s="2" t="s">
        <v>3895</v>
      </c>
      <c r="Z610" s="4">
        <v>109</v>
      </c>
      <c r="AA610" s="4">
        <f>=ROUNDDOWN(54.5,0)</f>
      </c>
      <c r="AB610" s="5">
        <v>2</v>
      </c>
      <c r="AC610" s="2" t="s">
        <v>206</v>
      </c>
      <c r="AD610" s="4"/>
      <c r="AE610" s="4"/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206</v>
      </c>
      <c r="AM610" s="4"/>
      <c r="AN610" s="4"/>
      <c r="AO610" s="7"/>
      <c r="AP610" s="4"/>
      <c r="AQ610" s="8"/>
      <c r="AR610" s="4"/>
      <c r="AS610" s="8"/>
      <c r="AT610" s="7"/>
      <c r="AU610" s="7"/>
      <c r="AV610" s="4" t="s">
        <v>206</v>
      </c>
      <c r="AW610" s="8" t="s">
        <v>206</v>
      </c>
      <c r="AX610" s="4" t="s">
        <v>206</v>
      </c>
      <c r="AY610" s="8" t="s">
        <v>206</v>
      </c>
      <c r="AZ610" s="7" t="s">
        <v>206</v>
      </c>
      <c r="BA610" s="7" t="s">
        <v>206</v>
      </c>
      <c r="BB610" s="7"/>
      <c r="BC610" s="4" t="s">
        <v>206</v>
      </c>
      <c r="BD610" s="8" t="s">
        <v>206</v>
      </c>
      <c r="BE610" s="4" t="s">
        <v>206</v>
      </c>
      <c r="BF610" s="8" t="s">
        <v>206</v>
      </c>
      <c r="BG610" s="7" t="s">
        <v>206</v>
      </c>
      <c r="BH610" s="7" t="s">
        <v>206</v>
      </c>
      <c r="BI610" s="7"/>
      <c r="BJ610" s="4">
        <v>2</v>
      </c>
      <c r="BK610" s="8">
        <v>32.44</v>
      </c>
      <c r="BL610" s="2" t="s">
        <v>212</v>
      </c>
      <c r="BM610" s="7"/>
      <c r="BN610" s="7"/>
      <c r="BO610" s="4"/>
      <c r="BP610" s="8"/>
      <c r="BQ610" s="4"/>
      <c r="BR610" s="8"/>
      <c r="BS610" s="7"/>
      <c r="BT610" s="7"/>
      <c r="BU610" s="2" t="s">
        <v>3970</v>
      </c>
      <c r="BV610" s="2" t="s">
        <v>206</v>
      </c>
      <c r="BW610" s="2" t="s">
        <v>206</v>
      </c>
      <c r="BX610" s="2" t="s">
        <v>214</v>
      </c>
      <c r="BY610" s="2" t="s">
        <v>215</v>
      </c>
      <c r="BZ610" s="2" t="s">
        <v>203</v>
      </c>
      <c r="CA610" s="2" t="s">
        <v>240</v>
      </c>
      <c r="CB610" s="2" t="s">
        <v>1254</v>
      </c>
      <c r="CC610" s="2" t="s">
        <v>218</v>
      </c>
      <c r="CD610" s="2" t="s">
        <v>206</v>
      </c>
      <c r="CE610" s="4">
        <v>109</v>
      </c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/>
      <c r="FM610" s="4"/>
      <c r="FN610" s="4"/>
      <c r="FO610" s="4"/>
      <c r="FP610" s="4"/>
      <c r="FQ610" s="4"/>
      <c r="FR610" s="4"/>
      <c r="FS610" s="4"/>
      <c r="FT610" s="4"/>
      <c r="FU610" s="4"/>
      <c r="FV610" s="4"/>
      <c r="FW610" s="4"/>
      <c r="FX610" s="4"/>
      <c r="FY610" s="4"/>
      <c r="FZ610" s="4"/>
      <c r="GA610" s="4"/>
      <c r="GB610" s="4"/>
      <c r="GC610" s="4"/>
      <c r="GD610" s="4"/>
      <c r="GE610" s="4"/>
      <c r="GF610" s="4"/>
    </row>
    <row r="611">
      <c r="A611" s="2" t="s">
        <v>3971</v>
      </c>
      <c r="B611" s="2" t="s">
        <v>225</v>
      </c>
      <c r="C611" s="2" t="s">
        <v>1145</v>
      </c>
      <c r="D611" s="2" t="s">
        <v>227</v>
      </c>
      <c r="E611" s="2" t="s">
        <v>228</v>
      </c>
      <c r="F611" s="2" t="s">
        <v>292</v>
      </c>
      <c r="G611" s="2" t="s">
        <v>292</v>
      </c>
      <c r="H611" s="2" t="s">
        <v>292</v>
      </c>
      <c r="I611" s="2" t="s">
        <v>3893</v>
      </c>
      <c r="J611" s="2" t="s">
        <v>290</v>
      </c>
      <c r="K611" s="2" t="s">
        <v>1390</v>
      </c>
      <c r="L611" s="3">
        <v>11.18</v>
      </c>
      <c r="M611" s="3">
        <v>11.74</v>
      </c>
      <c r="N611" s="3">
        <v>27.99</v>
      </c>
      <c r="O611" s="2" t="s">
        <v>203</v>
      </c>
      <c r="P611" s="2" t="s">
        <v>204</v>
      </c>
      <c r="Q611" s="2" t="s">
        <v>205</v>
      </c>
      <c r="R611" s="2" t="s">
        <v>206</v>
      </c>
      <c r="S611" s="2" t="s">
        <v>3972</v>
      </c>
      <c r="T611" s="2" t="s">
        <v>292</v>
      </c>
      <c r="U611" s="2" t="s">
        <v>206</v>
      </c>
      <c r="V611" s="2" t="s">
        <v>209</v>
      </c>
      <c r="W611" s="2" t="s">
        <v>210</v>
      </c>
      <c r="X611" s="2" t="s">
        <v>206</v>
      </c>
      <c r="Y611" s="2" t="s">
        <v>211</v>
      </c>
      <c r="Z611" s="4">
        <v>329</v>
      </c>
      <c r="AA611" s="4">
        <f>=ROUNDDOWN(164.5,0)</f>
      </c>
      <c r="AB611" s="5">
        <v>2</v>
      </c>
      <c r="AC611" s="2" t="s">
        <v>206</v>
      </c>
      <c r="AD611" s="4"/>
      <c r="AE611" s="4"/>
      <c r="AF611" s="6">
        <v>65</v>
      </c>
      <c r="AG611" s="6"/>
      <c r="AH611" s="7">
        <v>1</v>
      </c>
      <c r="AI611" s="4"/>
      <c r="AJ611" s="4">
        <f>=ROUNDDOWN({0},0)</f>
      </c>
      <c r="AK611" s="5"/>
      <c r="AL611" s="2" t="s">
        <v>206</v>
      </c>
      <c r="AM611" s="4"/>
      <c r="AN611" s="4"/>
      <c r="AO611" s="7"/>
      <c r="AP611" s="4"/>
      <c r="AQ611" s="8"/>
      <c r="AR611" s="4"/>
      <c r="AS611" s="8"/>
      <c r="AT611" s="7"/>
      <c r="AU611" s="7"/>
      <c r="AV611" s="4" t="s">
        <v>206</v>
      </c>
      <c r="AW611" s="8" t="s">
        <v>206</v>
      </c>
      <c r="AX611" s="4" t="s">
        <v>206</v>
      </c>
      <c r="AY611" s="8" t="s">
        <v>206</v>
      </c>
      <c r="AZ611" s="7" t="s">
        <v>206</v>
      </c>
      <c r="BA611" s="7" t="s">
        <v>206</v>
      </c>
      <c r="BB611" s="7"/>
      <c r="BC611" s="4" t="s">
        <v>206</v>
      </c>
      <c r="BD611" s="8" t="s">
        <v>206</v>
      </c>
      <c r="BE611" s="4" t="s">
        <v>206</v>
      </c>
      <c r="BF611" s="8" t="s">
        <v>206</v>
      </c>
      <c r="BG611" s="7" t="s">
        <v>206</v>
      </c>
      <c r="BH611" s="7" t="s">
        <v>206</v>
      </c>
      <c r="BI611" s="7"/>
      <c r="BJ611" s="4">
        <v>15</v>
      </c>
      <c r="BK611" s="8">
        <v>173.2</v>
      </c>
      <c r="BL611" s="2" t="s">
        <v>3946</v>
      </c>
      <c r="BM611" s="7"/>
      <c r="BN611" s="7"/>
      <c r="BO611" s="4"/>
      <c r="BP611" s="8"/>
      <c r="BQ611" s="4"/>
      <c r="BR611" s="8"/>
      <c r="BS611" s="7"/>
      <c r="BT611" s="7"/>
      <c r="BU611" s="2" t="s">
        <v>3973</v>
      </c>
      <c r="BV611" s="2" t="s">
        <v>206</v>
      </c>
      <c r="BW611" s="2" t="s">
        <v>206</v>
      </c>
      <c r="BX611" s="2" t="s">
        <v>214</v>
      </c>
      <c r="BY611" s="2" t="s">
        <v>215</v>
      </c>
      <c r="BZ611" s="2" t="s">
        <v>203</v>
      </c>
      <c r="CA611" s="2" t="s">
        <v>216</v>
      </c>
      <c r="CB611" s="2" t="s">
        <v>3974</v>
      </c>
      <c r="CC611" s="2" t="s">
        <v>218</v>
      </c>
      <c r="CD611" s="2" t="s">
        <v>206</v>
      </c>
      <c r="CE611" s="4">
        <v>329</v>
      </c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  <c r="FR611" s="4"/>
      <c r="FS611" s="4"/>
      <c r="FT611" s="4"/>
      <c r="FU611" s="4"/>
      <c r="FV611" s="4"/>
      <c r="FW611" s="4"/>
      <c r="FX611" s="4"/>
      <c r="FY611" s="4"/>
      <c r="FZ611" s="4"/>
      <c r="GA611" s="4"/>
      <c r="GB611" s="4"/>
      <c r="GC611" s="4"/>
      <c r="GD611" s="4"/>
      <c r="GE611" s="4"/>
      <c r="GF611" s="4"/>
    </row>
    <row r="612">
      <c r="A612" s="2" t="s">
        <v>3975</v>
      </c>
      <c r="B612" s="2" t="s">
        <v>225</v>
      </c>
      <c r="C612" s="2" t="s">
        <v>1145</v>
      </c>
      <c r="D612" s="2" t="s">
        <v>227</v>
      </c>
      <c r="E612" s="2" t="s">
        <v>228</v>
      </c>
      <c r="F612" s="2" t="s">
        <v>292</v>
      </c>
      <c r="G612" s="2" t="s">
        <v>292</v>
      </c>
      <c r="H612" s="2" t="s">
        <v>292</v>
      </c>
      <c r="I612" s="2" t="s">
        <v>3893</v>
      </c>
      <c r="J612" s="2" t="s">
        <v>220</v>
      </c>
      <c r="K612" s="2" t="s">
        <v>1390</v>
      </c>
      <c r="L612" s="3">
        <v>12.92</v>
      </c>
      <c r="M612" s="3">
        <v>13.57</v>
      </c>
      <c r="N612" s="3">
        <v>30.99</v>
      </c>
      <c r="O612" s="2" t="s">
        <v>203</v>
      </c>
      <c r="P612" s="2" t="s">
        <v>204</v>
      </c>
      <c r="Q612" s="2" t="s">
        <v>205</v>
      </c>
      <c r="R612" s="2" t="s">
        <v>206</v>
      </c>
      <c r="S612" s="2" t="s">
        <v>3972</v>
      </c>
      <c r="T612" s="2" t="s">
        <v>292</v>
      </c>
      <c r="U612" s="2" t="s">
        <v>206</v>
      </c>
      <c r="V612" s="2" t="s">
        <v>209</v>
      </c>
      <c r="W612" s="2" t="s">
        <v>210</v>
      </c>
      <c r="X612" s="2" t="s">
        <v>206</v>
      </c>
      <c r="Y612" s="2" t="s">
        <v>211</v>
      </c>
      <c r="Z612" s="4">
        <v>81</v>
      </c>
      <c r="AA612" s="4">
        <f>=ROUNDDOWN(12.4615384615385,0)</f>
      </c>
      <c r="AB612" s="5">
        <v>6.5</v>
      </c>
      <c r="AC612" s="2" t="s">
        <v>113</v>
      </c>
      <c r="AD612" s="4">
        <v>50</v>
      </c>
      <c r="AE612" s="4">
        <v>220</v>
      </c>
      <c r="AF612" s="6">
        <v>65</v>
      </c>
      <c r="AG612" s="6"/>
      <c r="AH612" s="7">
        <v>1</v>
      </c>
      <c r="AI612" s="4"/>
      <c r="AJ612" s="4">
        <f>=ROUNDDOWN({0},0)</f>
      </c>
      <c r="AK612" s="5"/>
      <c r="AL612" s="2" t="s">
        <v>206</v>
      </c>
      <c r="AM612" s="4"/>
      <c r="AN612" s="4"/>
      <c r="AO612" s="7"/>
      <c r="AP612" s="4"/>
      <c r="AQ612" s="8"/>
      <c r="AR612" s="4"/>
      <c r="AS612" s="8"/>
      <c r="AT612" s="7"/>
      <c r="AU612" s="7"/>
      <c r="AV612" s="4" t="s">
        <v>206</v>
      </c>
      <c r="AW612" s="8" t="s">
        <v>206</v>
      </c>
      <c r="AX612" s="4" t="s">
        <v>206</v>
      </c>
      <c r="AY612" s="8" t="s">
        <v>206</v>
      </c>
      <c r="AZ612" s="7" t="s">
        <v>206</v>
      </c>
      <c r="BA612" s="7" t="s">
        <v>206</v>
      </c>
      <c r="BB612" s="7"/>
      <c r="BC612" s="4" t="s">
        <v>206</v>
      </c>
      <c r="BD612" s="8" t="s">
        <v>206</v>
      </c>
      <c r="BE612" s="4" t="s">
        <v>206</v>
      </c>
      <c r="BF612" s="8" t="s">
        <v>206</v>
      </c>
      <c r="BG612" s="7" t="s">
        <v>206</v>
      </c>
      <c r="BH612" s="7" t="s">
        <v>206</v>
      </c>
      <c r="BI612" s="7"/>
      <c r="BJ612" s="4">
        <v>22</v>
      </c>
      <c r="BK612" s="8">
        <v>286.06</v>
      </c>
      <c r="BL612" s="2" t="s">
        <v>3976</v>
      </c>
      <c r="BM612" s="7"/>
      <c r="BN612" s="7"/>
      <c r="BO612" s="4"/>
      <c r="BP612" s="8"/>
      <c r="BQ612" s="4"/>
      <c r="BR612" s="8"/>
      <c r="BS612" s="7"/>
      <c r="BT612" s="7"/>
      <c r="BU612" s="2" t="s">
        <v>3977</v>
      </c>
      <c r="BV612" s="2" t="s">
        <v>206</v>
      </c>
      <c r="BW612" s="2" t="s">
        <v>206</v>
      </c>
      <c r="BX612" s="2" t="s">
        <v>214</v>
      </c>
      <c r="BY612" s="2" t="s">
        <v>215</v>
      </c>
      <c r="BZ612" s="2" t="s">
        <v>203</v>
      </c>
      <c r="CA612" s="2" t="s">
        <v>216</v>
      </c>
      <c r="CB612" s="2" t="s">
        <v>3978</v>
      </c>
      <c r="CC612" s="2" t="s">
        <v>218</v>
      </c>
      <c r="CD612" s="2" t="s">
        <v>206</v>
      </c>
      <c r="CE612" s="4">
        <v>81</v>
      </c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>
        <v>50</v>
      </c>
      <c r="DB612" s="4"/>
      <c r="DC612" s="4"/>
      <c r="DD612" s="4"/>
      <c r="DE612" s="4"/>
      <c r="DF612" s="4"/>
      <c r="DG612" s="4"/>
      <c r="DH612" s="4"/>
      <c r="DI612" s="4">
        <v>20</v>
      </c>
      <c r="DJ612" s="4"/>
      <c r="DK612" s="4"/>
      <c r="DL612" s="4"/>
      <c r="DM612" s="4"/>
      <c r="DN612" s="4"/>
      <c r="DO612" s="4"/>
      <c r="DP612" s="4"/>
      <c r="DQ612" s="4"/>
      <c r="DR612" s="4">
        <v>80</v>
      </c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>
        <v>70</v>
      </c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</row>
    <row r="613">
      <c r="A613" s="2" t="s">
        <v>3979</v>
      </c>
      <c r="B613" s="2" t="s">
        <v>225</v>
      </c>
      <c r="C613" s="2" t="s">
        <v>1145</v>
      </c>
      <c r="D613" s="2" t="s">
        <v>227</v>
      </c>
      <c r="E613" s="2" t="s">
        <v>228</v>
      </c>
      <c r="F613" s="2" t="s">
        <v>292</v>
      </c>
      <c r="G613" s="2" t="s">
        <v>292</v>
      </c>
      <c r="H613" s="2" t="s">
        <v>292</v>
      </c>
      <c r="I613" s="2" t="s">
        <v>3893</v>
      </c>
      <c r="J613" s="2" t="s">
        <v>231</v>
      </c>
      <c r="K613" s="2" t="s">
        <v>1390</v>
      </c>
      <c r="L613" s="3">
        <v>16.75</v>
      </c>
      <c r="M613" s="3">
        <v>17.59</v>
      </c>
      <c r="N613" s="3">
        <v>37.99</v>
      </c>
      <c r="O613" s="2" t="s">
        <v>203</v>
      </c>
      <c r="P613" s="2" t="s">
        <v>204</v>
      </c>
      <c r="Q613" s="2" t="s">
        <v>205</v>
      </c>
      <c r="R613" s="2" t="s">
        <v>206</v>
      </c>
      <c r="S613" s="2" t="s">
        <v>3972</v>
      </c>
      <c r="T613" s="2" t="s">
        <v>292</v>
      </c>
      <c r="U613" s="2" t="s">
        <v>206</v>
      </c>
      <c r="V613" s="2" t="s">
        <v>209</v>
      </c>
      <c r="W613" s="2" t="s">
        <v>210</v>
      </c>
      <c r="X613" s="2" t="s">
        <v>206</v>
      </c>
      <c r="Y613" s="2" t="s">
        <v>211</v>
      </c>
      <c r="Z613" s="4">
        <v>222</v>
      </c>
      <c r="AA613" s="4">
        <f>=ROUNDDOWN(20.1818181818182,0)</f>
      </c>
      <c r="AB613" s="5">
        <v>11</v>
      </c>
      <c r="AC613" s="2" t="s">
        <v>113</v>
      </c>
      <c r="AD613" s="4">
        <v>60</v>
      </c>
      <c r="AE613" s="4">
        <v>140</v>
      </c>
      <c r="AF613" s="6">
        <v>65</v>
      </c>
      <c r="AG613" s="6"/>
      <c r="AH613" s="7">
        <v>1</v>
      </c>
      <c r="AI613" s="4"/>
      <c r="AJ613" s="4">
        <f>=ROUNDDOWN({0},0)</f>
      </c>
      <c r="AK613" s="5"/>
      <c r="AL613" s="2" t="s">
        <v>206</v>
      </c>
      <c r="AM613" s="4"/>
      <c r="AN613" s="4"/>
      <c r="AO613" s="7"/>
      <c r="AP613" s="4"/>
      <c r="AQ613" s="8"/>
      <c r="AR613" s="4"/>
      <c r="AS613" s="8"/>
      <c r="AT613" s="7"/>
      <c r="AU613" s="7"/>
      <c r="AV613" s="4" t="s">
        <v>206</v>
      </c>
      <c r="AW613" s="8" t="s">
        <v>206</v>
      </c>
      <c r="AX613" s="4" t="s">
        <v>206</v>
      </c>
      <c r="AY613" s="8" t="s">
        <v>206</v>
      </c>
      <c r="AZ613" s="7" t="s">
        <v>206</v>
      </c>
      <c r="BA613" s="7" t="s">
        <v>206</v>
      </c>
      <c r="BB613" s="7"/>
      <c r="BC613" s="4" t="s">
        <v>206</v>
      </c>
      <c r="BD613" s="8" t="s">
        <v>206</v>
      </c>
      <c r="BE613" s="4" t="s">
        <v>206</v>
      </c>
      <c r="BF613" s="8" t="s">
        <v>206</v>
      </c>
      <c r="BG613" s="7" t="s">
        <v>206</v>
      </c>
      <c r="BH613" s="7" t="s">
        <v>206</v>
      </c>
      <c r="BI613" s="7"/>
      <c r="BJ613" s="4">
        <v>33</v>
      </c>
      <c r="BK613" s="8">
        <v>582.9</v>
      </c>
      <c r="BL613" s="2" t="s">
        <v>3980</v>
      </c>
      <c r="BM613" s="7"/>
      <c r="BN613" s="7"/>
      <c r="BO613" s="4"/>
      <c r="BP613" s="8"/>
      <c r="BQ613" s="4"/>
      <c r="BR613" s="8"/>
      <c r="BS613" s="7"/>
      <c r="BT613" s="7"/>
      <c r="BU613" s="2" t="s">
        <v>3981</v>
      </c>
      <c r="BV613" s="2" t="s">
        <v>206</v>
      </c>
      <c r="BW613" s="2" t="s">
        <v>206</v>
      </c>
      <c r="BX613" s="2" t="s">
        <v>214</v>
      </c>
      <c r="BY613" s="2" t="s">
        <v>215</v>
      </c>
      <c r="BZ613" s="2" t="s">
        <v>203</v>
      </c>
      <c r="CA613" s="2" t="s">
        <v>216</v>
      </c>
      <c r="CB613" s="2" t="s">
        <v>368</v>
      </c>
      <c r="CC613" s="2" t="s">
        <v>218</v>
      </c>
      <c r="CD613" s="2" t="s">
        <v>206</v>
      </c>
      <c r="CE613" s="4">
        <v>222</v>
      </c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>
        <v>60</v>
      </c>
      <c r="DB613" s="4"/>
      <c r="DC613" s="4"/>
      <c r="DD613" s="4"/>
      <c r="DE613" s="4"/>
      <c r="DF613" s="4"/>
      <c r="DG613" s="4"/>
      <c r="DH613" s="4"/>
      <c r="DI613" s="4">
        <v>80</v>
      </c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  <c r="FW613" s="4"/>
      <c r="FX613" s="4"/>
      <c r="FY613" s="4"/>
      <c r="FZ613" s="4"/>
      <c r="GA613" s="4"/>
      <c r="GB613" s="4"/>
      <c r="GC613" s="4"/>
      <c r="GD613" s="4"/>
      <c r="GE613" s="4"/>
      <c r="GF613" s="4"/>
    </row>
    <row r="614">
      <c r="A614" s="2" t="s">
        <v>3982</v>
      </c>
      <c r="B614" s="2" t="s">
        <v>225</v>
      </c>
      <c r="C614" s="2" t="s">
        <v>1145</v>
      </c>
      <c r="D614" s="2" t="s">
        <v>227</v>
      </c>
      <c r="E614" s="2" t="s">
        <v>228</v>
      </c>
      <c r="F614" s="2" t="s">
        <v>292</v>
      </c>
      <c r="G614" s="2" t="s">
        <v>292</v>
      </c>
      <c r="H614" s="2" t="s">
        <v>292</v>
      </c>
      <c r="I614" s="2" t="s">
        <v>3893</v>
      </c>
      <c r="J614" s="2" t="s">
        <v>290</v>
      </c>
      <c r="K614" s="2" t="s">
        <v>499</v>
      </c>
      <c r="L614" s="3">
        <v>11.18</v>
      </c>
      <c r="M614" s="3">
        <v>11.74</v>
      </c>
      <c r="N614" s="3">
        <v>27.99</v>
      </c>
      <c r="O614" s="2" t="s">
        <v>203</v>
      </c>
      <c r="P614" s="2" t="s">
        <v>204</v>
      </c>
      <c r="Q614" s="2" t="s">
        <v>205</v>
      </c>
      <c r="R614" s="2" t="s">
        <v>206</v>
      </c>
      <c r="S614" s="2" t="s">
        <v>3983</v>
      </c>
      <c r="T614" s="2" t="s">
        <v>292</v>
      </c>
      <c r="U614" s="2" t="s">
        <v>206</v>
      </c>
      <c r="V614" s="2" t="s">
        <v>209</v>
      </c>
      <c r="W614" s="2" t="s">
        <v>210</v>
      </c>
      <c r="X614" s="2" t="s">
        <v>206</v>
      </c>
      <c r="Y614" s="2" t="s">
        <v>211</v>
      </c>
      <c r="Z614" s="4">
        <v>388</v>
      </c>
      <c r="AA614" s="4">
        <f>=ROUNDDOWN(97,0)</f>
      </c>
      <c r="AB614" s="5">
        <v>4</v>
      </c>
      <c r="AC614" s="2" t="s">
        <v>206</v>
      </c>
      <c r="AD614" s="4"/>
      <c r="AE614" s="4"/>
      <c r="AF614" s="6">
        <v>65</v>
      </c>
      <c r="AG614" s="6"/>
      <c r="AH614" s="7">
        <v>1</v>
      </c>
      <c r="AI614" s="4"/>
      <c r="AJ614" s="4">
        <f>=ROUNDDOWN({0},0)</f>
      </c>
      <c r="AK614" s="5"/>
      <c r="AL614" s="2" t="s">
        <v>206</v>
      </c>
      <c r="AM614" s="4"/>
      <c r="AN614" s="4"/>
      <c r="AO614" s="7"/>
      <c r="AP614" s="4"/>
      <c r="AQ614" s="8"/>
      <c r="AR614" s="4"/>
      <c r="AS614" s="8"/>
      <c r="AT614" s="7"/>
      <c r="AU614" s="7"/>
      <c r="AV614" s="4" t="s">
        <v>206</v>
      </c>
      <c r="AW614" s="8" t="s">
        <v>206</v>
      </c>
      <c r="AX614" s="4" t="s">
        <v>206</v>
      </c>
      <c r="AY614" s="8" t="s">
        <v>206</v>
      </c>
      <c r="AZ614" s="7" t="s">
        <v>206</v>
      </c>
      <c r="BA614" s="7" t="s">
        <v>206</v>
      </c>
      <c r="BB614" s="7"/>
      <c r="BC614" s="4" t="s">
        <v>206</v>
      </c>
      <c r="BD614" s="8" t="s">
        <v>206</v>
      </c>
      <c r="BE614" s="4" t="s">
        <v>206</v>
      </c>
      <c r="BF614" s="8" t="s">
        <v>206</v>
      </c>
      <c r="BG614" s="7" t="s">
        <v>206</v>
      </c>
      <c r="BH614" s="7" t="s">
        <v>206</v>
      </c>
      <c r="BI614" s="7"/>
      <c r="BJ614" s="4">
        <v>20</v>
      </c>
      <c r="BK614" s="8">
        <v>237.16</v>
      </c>
      <c r="BL614" s="2" t="s">
        <v>3984</v>
      </c>
      <c r="BM614" s="7"/>
      <c r="BN614" s="7"/>
      <c r="BO614" s="4"/>
      <c r="BP614" s="8"/>
      <c r="BQ614" s="4"/>
      <c r="BR614" s="8"/>
      <c r="BS614" s="7"/>
      <c r="BT614" s="7"/>
      <c r="BU614" s="2" t="s">
        <v>3985</v>
      </c>
      <c r="BV614" s="2" t="s">
        <v>206</v>
      </c>
      <c r="BW614" s="2" t="s">
        <v>206</v>
      </c>
      <c r="BX614" s="2" t="s">
        <v>214</v>
      </c>
      <c r="BY614" s="2" t="s">
        <v>215</v>
      </c>
      <c r="BZ614" s="2" t="s">
        <v>203</v>
      </c>
      <c r="CA614" s="2" t="s">
        <v>3921</v>
      </c>
      <c r="CB614" s="2" t="s">
        <v>3986</v>
      </c>
      <c r="CC614" s="2" t="s">
        <v>218</v>
      </c>
      <c r="CD614" s="2" t="s">
        <v>206</v>
      </c>
      <c r="CE614" s="4">
        <v>388</v>
      </c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</row>
    <row r="615">
      <c r="A615" s="2" t="s">
        <v>3987</v>
      </c>
      <c r="B615" s="2" t="s">
        <v>225</v>
      </c>
      <c r="C615" s="2" t="s">
        <v>1145</v>
      </c>
      <c r="D615" s="2" t="s">
        <v>227</v>
      </c>
      <c r="E615" s="2" t="s">
        <v>228</v>
      </c>
      <c r="F615" s="2" t="s">
        <v>292</v>
      </c>
      <c r="G615" s="2" t="s">
        <v>292</v>
      </c>
      <c r="H615" s="2" t="s">
        <v>292</v>
      </c>
      <c r="I615" s="2" t="s">
        <v>3893</v>
      </c>
      <c r="J615" s="2" t="s">
        <v>231</v>
      </c>
      <c r="K615" s="2" t="s">
        <v>499</v>
      </c>
      <c r="L615" s="3">
        <v>16.75</v>
      </c>
      <c r="M615" s="3">
        <v>17.59</v>
      </c>
      <c r="N615" s="3">
        <v>37.99</v>
      </c>
      <c r="O615" s="2" t="s">
        <v>203</v>
      </c>
      <c r="P615" s="2" t="s">
        <v>204</v>
      </c>
      <c r="Q615" s="2" t="s">
        <v>205</v>
      </c>
      <c r="R615" s="2" t="s">
        <v>206</v>
      </c>
      <c r="S615" s="2" t="s">
        <v>3983</v>
      </c>
      <c r="T615" s="2" t="s">
        <v>292</v>
      </c>
      <c r="U615" s="2" t="s">
        <v>206</v>
      </c>
      <c r="V615" s="2" t="s">
        <v>209</v>
      </c>
      <c r="W615" s="2" t="s">
        <v>210</v>
      </c>
      <c r="X615" s="2" t="s">
        <v>206</v>
      </c>
      <c r="Y615" s="2" t="s">
        <v>211</v>
      </c>
      <c r="Z615" s="4">
        <v>193</v>
      </c>
      <c r="AA615" s="4">
        <f>=ROUNDDOWN(21.4444444444444,0)</f>
      </c>
      <c r="AB615" s="5">
        <v>9</v>
      </c>
      <c r="AC615" s="2" t="s">
        <v>121</v>
      </c>
      <c r="AD615" s="4">
        <v>30</v>
      </c>
      <c r="AE615" s="4">
        <v>30</v>
      </c>
      <c r="AF615" s="6">
        <v>65</v>
      </c>
      <c r="AG615" s="6"/>
      <c r="AH615" s="7">
        <v>1</v>
      </c>
      <c r="AI615" s="4"/>
      <c r="AJ615" s="4">
        <f>=ROUNDDOWN({0},0)</f>
      </c>
      <c r="AK615" s="5"/>
      <c r="AL615" s="2" t="s">
        <v>206</v>
      </c>
      <c r="AM615" s="4"/>
      <c r="AN615" s="4"/>
      <c r="AO615" s="7"/>
      <c r="AP615" s="4"/>
      <c r="AQ615" s="8"/>
      <c r="AR615" s="4"/>
      <c r="AS615" s="8"/>
      <c r="AT615" s="7"/>
      <c r="AU615" s="7"/>
      <c r="AV615" s="4" t="s">
        <v>206</v>
      </c>
      <c r="AW615" s="8" t="s">
        <v>206</v>
      </c>
      <c r="AX615" s="4" t="s">
        <v>206</v>
      </c>
      <c r="AY615" s="8" t="s">
        <v>206</v>
      </c>
      <c r="AZ615" s="7" t="s">
        <v>206</v>
      </c>
      <c r="BA615" s="7" t="s">
        <v>206</v>
      </c>
      <c r="BB615" s="7"/>
      <c r="BC615" s="4" t="s">
        <v>206</v>
      </c>
      <c r="BD615" s="8" t="s">
        <v>206</v>
      </c>
      <c r="BE615" s="4" t="s">
        <v>206</v>
      </c>
      <c r="BF615" s="8" t="s">
        <v>206</v>
      </c>
      <c r="BG615" s="7" t="s">
        <v>206</v>
      </c>
      <c r="BH615" s="7" t="s">
        <v>206</v>
      </c>
      <c r="BI615" s="7"/>
      <c r="BJ615" s="4">
        <v>52</v>
      </c>
      <c r="BK615" s="8">
        <v>955.47</v>
      </c>
      <c r="BL615" s="2" t="s">
        <v>3988</v>
      </c>
      <c r="BM615" s="7"/>
      <c r="BN615" s="7"/>
      <c r="BO615" s="4"/>
      <c r="BP615" s="8"/>
      <c r="BQ615" s="4"/>
      <c r="BR615" s="8"/>
      <c r="BS615" s="7"/>
      <c r="BT615" s="7"/>
      <c r="BU615" s="2" t="s">
        <v>3989</v>
      </c>
      <c r="BV615" s="2" t="s">
        <v>206</v>
      </c>
      <c r="BW615" s="2" t="s">
        <v>206</v>
      </c>
      <c r="BX615" s="2" t="s">
        <v>214</v>
      </c>
      <c r="BY615" s="2" t="s">
        <v>215</v>
      </c>
      <c r="BZ615" s="2" t="s">
        <v>203</v>
      </c>
      <c r="CA615" s="2" t="s">
        <v>3921</v>
      </c>
      <c r="CB615" s="2" t="s">
        <v>3990</v>
      </c>
      <c r="CC615" s="2" t="s">
        <v>218</v>
      </c>
      <c r="CD615" s="2" t="s">
        <v>206</v>
      </c>
      <c r="CE615" s="4">
        <v>193</v>
      </c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>
        <v>30</v>
      </c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  <c r="FT615" s="4"/>
      <c r="FU615" s="4"/>
      <c r="FV615" s="4"/>
      <c r="FW615" s="4"/>
      <c r="FX615" s="4"/>
      <c r="FY615" s="4"/>
      <c r="FZ615" s="4"/>
      <c r="GA615" s="4"/>
      <c r="GB615" s="4"/>
      <c r="GC615" s="4"/>
      <c r="GD615" s="4"/>
      <c r="GE615" s="4"/>
      <c r="GF615" s="4"/>
    </row>
    <row r="616">
      <c r="A616" s="2" t="s">
        <v>3991</v>
      </c>
      <c r="B616" s="2" t="s">
        <v>225</v>
      </c>
      <c r="C616" s="2" t="s">
        <v>1145</v>
      </c>
      <c r="D616" s="2" t="s">
        <v>227</v>
      </c>
      <c r="E616" s="2" t="s">
        <v>228</v>
      </c>
      <c r="F616" s="2" t="s">
        <v>292</v>
      </c>
      <c r="G616" s="2" t="s">
        <v>292</v>
      </c>
      <c r="H616" s="2" t="s">
        <v>292</v>
      </c>
      <c r="I616" s="2" t="s">
        <v>3893</v>
      </c>
      <c r="J616" s="2" t="s">
        <v>290</v>
      </c>
      <c r="K616" s="2" t="s">
        <v>202</v>
      </c>
      <c r="L616" s="3">
        <v>11.18</v>
      </c>
      <c r="M616" s="3">
        <v>11.74</v>
      </c>
      <c r="N616" s="3">
        <v>27.99</v>
      </c>
      <c r="O616" s="2" t="s">
        <v>203</v>
      </c>
      <c r="P616" s="2" t="s">
        <v>204</v>
      </c>
      <c r="Q616" s="2" t="s">
        <v>205</v>
      </c>
      <c r="R616" s="2" t="s">
        <v>206</v>
      </c>
      <c r="S616" s="2" t="s">
        <v>3992</v>
      </c>
      <c r="T616" s="2" t="s">
        <v>292</v>
      </c>
      <c r="U616" s="2" t="s">
        <v>206</v>
      </c>
      <c r="V616" s="2" t="s">
        <v>209</v>
      </c>
      <c r="W616" s="2" t="s">
        <v>210</v>
      </c>
      <c r="X616" s="2" t="s">
        <v>206</v>
      </c>
      <c r="Y616" s="2" t="s">
        <v>211</v>
      </c>
      <c r="Z616" s="4">
        <v>447</v>
      </c>
      <c r="AA616" s="4">
        <f>=ROUNDDOWN(74.5,0)</f>
      </c>
      <c r="AB616" s="5">
        <v>6</v>
      </c>
      <c r="AC616" s="2" t="s">
        <v>206</v>
      </c>
      <c r="AD616" s="4"/>
      <c r="AE616" s="4"/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206</v>
      </c>
      <c r="AM616" s="4"/>
      <c r="AN616" s="4"/>
      <c r="AO616" s="7"/>
      <c r="AP616" s="4"/>
      <c r="AQ616" s="8"/>
      <c r="AR616" s="4"/>
      <c r="AS616" s="8"/>
      <c r="AT616" s="7"/>
      <c r="AU616" s="7"/>
      <c r="AV616" s="4" t="s">
        <v>206</v>
      </c>
      <c r="AW616" s="8" t="s">
        <v>206</v>
      </c>
      <c r="AX616" s="4" t="s">
        <v>206</v>
      </c>
      <c r="AY616" s="8" t="s">
        <v>206</v>
      </c>
      <c r="AZ616" s="7" t="s">
        <v>206</v>
      </c>
      <c r="BA616" s="7" t="s">
        <v>206</v>
      </c>
      <c r="BB616" s="7" t="s">
        <v>206</v>
      </c>
      <c r="BC616" s="4" t="s">
        <v>206</v>
      </c>
      <c r="BD616" s="8" t="s">
        <v>206</v>
      </c>
      <c r="BE616" s="4" t="s">
        <v>206</v>
      </c>
      <c r="BF616" s="8" t="s">
        <v>206</v>
      </c>
      <c r="BG616" s="7" t="s">
        <v>206</v>
      </c>
      <c r="BH616" s="7" t="s">
        <v>206</v>
      </c>
      <c r="BI616" s="7"/>
      <c r="BJ616" s="4">
        <v>39</v>
      </c>
      <c r="BK616" s="8">
        <v>456.97</v>
      </c>
      <c r="BL616" s="2" t="s">
        <v>3993</v>
      </c>
      <c r="BM616" s="7"/>
      <c r="BN616" s="7"/>
      <c r="BO616" s="4"/>
      <c r="BP616" s="8"/>
      <c r="BQ616" s="4"/>
      <c r="BR616" s="8"/>
      <c r="BS616" s="7"/>
      <c r="BT616" s="7"/>
      <c r="BU616" s="2" t="s">
        <v>3994</v>
      </c>
      <c r="BV616" s="2" t="s">
        <v>206</v>
      </c>
      <c r="BW616" s="2" t="s">
        <v>206</v>
      </c>
      <c r="BX616" s="2" t="s">
        <v>214</v>
      </c>
      <c r="BY616" s="2" t="s">
        <v>215</v>
      </c>
      <c r="BZ616" s="2" t="s">
        <v>203</v>
      </c>
      <c r="CA616" s="2" t="s">
        <v>216</v>
      </c>
      <c r="CB616" s="2" t="s">
        <v>3995</v>
      </c>
      <c r="CC616" s="2" t="s">
        <v>218</v>
      </c>
      <c r="CD616" s="2" t="s">
        <v>206</v>
      </c>
      <c r="CE616" s="4">
        <v>447</v>
      </c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/>
      <c r="FR616" s="4"/>
      <c r="FS616" s="4"/>
      <c r="FT616" s="4"/>
      <c r="FU616" s="4"/>
      <c r="FV616" s="4"/>
      <c r="FW616" s="4"/>
      <c r="FX616" s="4"/>
      <c r="FY616" s="4"/>
      <c r="FZ616" s="4"/>
      <c r="GA616" s="4"/>
      <c r="GB616" s="4"/>
      <c r="GC616" s="4"/>
      <c r="GD616" s="4"/>
      <c r="GE616" s="4"/>
      <c r="GF616" s="4"/>
    </row>
    <row r="617">
      <c r="A617" s="2" t="s">
        <v>3996</v>
      </c>
      <c r="B617" s="2" t="s">
        <v>225</v>
      </c>
      <c r="C617" s="2" t="s">
        <v>1145</v>
      </c>
      <c r="D617" s="2" t="s">
        <v>227</v>
      </c>
      <c r="E617" s="2" t="s">
        <v>228</v>
      </c>
      <c r="F617" s="2" t="s">
        <v>292</v>
      </c>
      <c r="G617" s="2" t="s">
        <v>292</v>
      </c>
      <c r="H617" s="2" t="s">
        <v>292</v>
      </c>
      <c r="I617" s="2" t="s">
        <v>3924</v>
      </c>
      <c r="J617" s="2" t="s">
        <v>290</v>
      </c>
      <c r="K617" s="2" t="s">
        <v>202</v>
      </c>
      <c r="L617" s="3">
        <v>12.15</v>
      </c>
      <c r="M617" s="3">
        <v>12.76</v>
      </c>
      <c r="N617" s="3">
        <v>26.99</v>
      </c>
      <c r="O617" s="2" t="s">
        <v>203</v>
      </c>
      <c r="P617" s="2" t="s">
        <v>204</v>
      </c>
      <c r="Q617" s="2" t="s">
        <v>205</v>
      </c>
      <c r="R617" s="2" t="s">
        <v>206</v>
      </c>
      <c r="S617" s="2" t="s">
        <v>3992</v>
      </c>
      <c r="T617" s="2" t="s">
        <v>292</v>
      </c>
      <c r="U617" s="2" t="s">
        <v>235</v>
      </c>
      <c r="V617" s="2" t="s">
        <v>209</v>
      </c>
      <c r="W617" s="2" t="s">
        <v>210</v>
      </c>
      <c r="X617" s="2" t="s">
        <v>439</v>
      </c>
      <c r="Y617" s="2" t="s">
        <v>3925</v>
      </c>
      <c r="Z617" s="4">
        <v>327</v>
      </c>
      <c r="AA617" s="4">
        <f>=ROUNDDOWN(64.1176470588235,0)</f>
      </c>
      <c r="AB617" s="5">
        <v>5.1</v>
      </c>
      <c r="AC617" s="2" t="s">
        <v>206</v>
      </c>
      <c r="AD617" s="4"/>
      <c r="AE617" s="4"/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206</v>
      </c>
      <c r="AM617" s="4"/>
      <c r="AN617" s="4"/>
      <c r="AO617" s="7"/>
      <c r="AP617" s="4"/>
      <c r="AQ617" s="8"/>
      <c r="AR617" s="4"/>
      <c r="AS617" s="8"/>
      <c r="AT617" s="7"/>
      <c r="AU617" s="7"/>
      <c r="AV617" s="4" t="s">
        <v>206</v>
      </c>
      <c r="AW617" s="8" t="s">
        <v>206</v>
      </c>
      <c r="AX617" s="4" t="s">
        <v>206</v>
      </c>
      <c r="AY617" s="8" t="s">
        <v>206</v>
      </c>
      <c r="AZ617" s="7" t="s">
        <v>206</v>
      </c>
      <c r="BA617" s="7" t="s">
        <v>206</v>
      </c>
      <c r="BB617" s="7" t="s">
        <v>206</v>
      </c>
      <c r="BC617" s="4" t="s">
        <v>206</v>
      </c>
      <c r="BD617" s="8" t="s">
        <v>206</v>
      </c>
      <c r="BE617" s="4" t="s">
        <v>206</v>
      </c>
      <c r="BF617" s="8" t="s">
        <v>206</v>
      </c>
      <c r="BG617" s="7" t="s">
        <v>206</v>
      </c>
      <c r="BH617" s="7" t="s">
        <v>206</v>
      </c>
      <c r="BI617" s="7"/>
      <c r="BJ617" s="4">
        <v>20</v>
      </c>
      <c r="BK617" s="8">
        <v>270.7</v>
      </c>
      <c r="BL617" s="2" t="s">
        <v>3997</v>
      </c>
      <c r="BM617" s="7"/>
      <c r="BN617" s="7"/>
      <c r="BO617" s="4"/>
      <c r="BP617" s="8"/>
      <c r="BQ617" s="4"/>
      <c r="BR617" s="8"/>
      <c r="BS617" s="7"/>
      <c r="BT617" s="7"/>
      <c r="BU617" s="2" t="s">
        <v>3998</v>
      </c>
      <c r="BV617" s="2" t="s">
        <v>206</v>
      </c>
      <c r="BW617" s="2" t="s">
        <v>206</v>
      </c>
      <c r="BX617" s="2" t="s">
        <v>214</v>
      </c>
      <c r="BY617" s="2" t="s">
        <v>215</v>
      </c>
      <c r="BZ617" s="2" t="s">
        <v>203</v>
      </c>
      <c r="CA617" s="2" t="s">
        <v>3928</v>
      </c>
      <c r="CB617" s="2" t="s">
        <v>3932</v>
      </c>
      <c r="CC617" s="2" t="s">
        <v>218</v>
      </c>
      <c r="CD617" s="2" t="s">
        <v>206</v>
      </c>
      <c r="CE617" s="4">
        <v>327</v>
      </c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  <c r="FE617" s="4"/>
      <c r="FF617" s="4"/>
      <c r="FG617" s="4"/>
      <c r="FH617" s="4"/>
      <c r="FI617" s="4"/>
      <c r="FJ617" s="4"/>
      <c r="FK617" s="4"/>
      <c r="FL617" s="4"/>
      <c r="FM617" s="4"/>
      <c r="FN617" s="4"/>
      <c r="FO617" s="4"/>
      <c r="FP617" s="4"/>
      <c r="FQ617" s="4"/>
      <c r="FR617" s="4"/>
      <c r="FS617" s="4"/>
      <c r="FT617" s="4"/>
      <c r="FU617" s="4"/>
      <c r="FV617" s="4"/>
      <c r="FW617" s="4"/>
      <c r="FX617" s="4"/>
      <c r="FY617" s="4"/>
      <c r="FZ617" s="4"/>
      <c r="GA617" s="4"/>
      <c r="GB617" s="4"/>
      <c r="GC617" s="4"/>
      <c r="GD617" s="4"/>
      <c r="GE617" s="4"/>
      <c r="GF617" s="4"/>
    </row>
    <row r="618">
      <c r="A618" s="2" t="s">
        <v>3999</v>
      </c>
      <c r="B618" s="2" t="s">
        <v>225</v>
      </c>
      <c r="C618" s="2" t="s">
        <v>1145</v>
      </c>
      <c r="D618" s="2" t="s">
        <v>227</v>
      </c>
      <c r="E618" s="2" t="s">
        <v>228</v>
      </c>
      <c r="F618" s="2" t="s">
        <v>292</v>
      </c>
      <c r="G618" s="2" t="s">
        <v>292</v>
      </c>
      <c r="H618" s="2" t="s">
        <v>292</v>
      </c>
      <c r="I618" s="2" t="s">
        <v>3893</v>
      </c>
      <c r="J618" s="2" t="s">
        <v>220</v>
      </c>
      <c r="K618" s="2" t="s">
        <v>202</v>
      </c>
      <c r="L618" s="3">
        <v>12.92</v>
      </c>
      <c r="M618" s="3">
        <v>13.57</v>
      </c>
      <c r="N618" s="3">
        <v>30.99</v>
      </c>
      <c r="O618" s="2" t="s">
        <v>203</v>
      </c>
      <c r="P618" s="2" t="s">
        <v>204</v>
      </c>
      <c r="Q618" s="2" t="s">
        <v>205</v>
      </c>
      <c r="R618" s="2" t="s">
        <v>206</v>
      </c>
      <c r="S618" s="2" t="s">
        <v>3992</v>
      </c>
      <c r="T618" s="2" t="s">
        <v>292</v>
      </c>
      <c r="U618" s="2" t="s">
        <v>206</v>
      </c>
      <c r="V618" s="2" t="s">
        <v>209</v>
      </c>
      <c r="W618" s="2" t="s">
        <v>210</v>
      </c>
      <c r="X618" s="2" t="s">
        <v>206</v>
      </c>
      <c r="Y618" s="2" t="s">
        <v>211</v>
      </c>
      <c r="Z618" s="4">
        <v>139</v>
      </c>
      <c r="AA618" s="4">
        <f>=ROUNDDOWN(11.9827586206897,0)</f>
      </c>
      <c r="AB618" s="5">
        <v>11.6</v>
      </c>
      <c r="AC618" s="2" t="s">
        <v>113</v>
      </c>
      <c r="AD618" s="4">
        <v>30</v>
      </c>
      <c r="AE618" s="4">
        <v>170</v>
      </c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206</v>
      </c>
      <c r="AM618" s="4"/>
      <c r="AN618" s="4"/>
      <c r="AO618" s="7"/>
      <c r="AP618" s="4"/>
      <c r="AQ618" s="8"/>
      <c r="AR618" s="4"/>
      <c r="AS618" s="8"/>
      <c r="AT618" s="7"/>
      <c r="AU618" s="7"/>
      <c r="AV618" s="4" t="s">
        <v>206</v>
      </c>
      <c r="AW618" s="8" t="s">
        <v>206</v>
      </c>
      <c r="AX618" s="4" t="s">
        <v>206</v>
      </c>
      <c r="AY618" s="8" t="s">
        <v>206</v>
      </c>
      <c r="AZ618" s="7" t="s">
        <v>206</v>
      </c>
      <c r="BA618" s="7" t="s">
        <v>206</v>
      </c>
      <c r="BB618" s="7"/>
      <c r="BC618" s="4" t="s">
        <v>206</v>
      </c>
      <c r="BD618" s="8" t="s">
        <v>206</v>
      </c>
      <c r="BE618" s="4" t="s">
        <v>206</v>
      </c>
      <c r="BF618" s="8" t="s">
        <v>206</v>
      </c>
      <c r="BG618" s="7" t="s">
        <v>206</v>
      </c>
      <c r="BH618" s="7" t="s">
        <v>206</v>
      </c>
      <c r="BI618" s="7"/>
      <c r="BJ618" s="4">
        <v>53</v>
      </c>
      <c r="BK618" s="8">
        <v>755.25</v>
      </c>
      <c r="BL618" s="2" t="s">
        <v>1392</v>
      </c>
      <c r="BM618" s="7"/>
      <c r="BN618" s="7"/>
      <c r="BO618" s="4"/>
      <c r="BP618" s="8"/>
      <c r="BQ618" s="4"/>
      <c r="BR618" s="8"/>
      <c r="BS618" s="7"/>
      <c r="BT618" s="7"/>
      <c r="BU618" s="2" t="s">
        <v>4000</v>
      </c>
      <c r="BV618" s="2" t="s">
        <v>206</v>
      </c>
      <c r="BW618" s="2" t="s">
        <v>206</v>
      </c>
      <c r="BX618" s="2" t="s">
        <v>214</v>
      </c>
      <c r="BY618" s="2" t="s">
        <v>215</v>
      </c>
      <c r="BZ618" s="2" t="s">
        <v>203</v>
      </c>
      <c r="CA618" s="2" t="s">
        <v>216</v>
      </c>
      <c r="CB618" s="2" t="s">
        <v>747</v>
      </c>
      <c r="CC618" s="2" t="s">
        <v>218</v>
      </c>
      <c r="CD618" s="2" t="s">
        <v>206</v>
      </c>
      <c r="CE618" s="4">
        <v>139</v>
      </c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>
        <v>30</v>
      </c>
      <c r="DB618" s="4"/>
      <c r="DC618" s="4"/>
      <c r="DD618" s="4"/>
      <c r="DE618" s="4"/>
      <c r="DF618" s="4"/>
      <c r="DG618" s="4"/>
      <c r="DH618" s="4"/>
      <c r="DI618" s="4">
        <v>60</v>
      </c>
      <c r="DJ618" s="4"/>
      <c r="DK618" s="4"/>
      <c r="DL618" s="4"/>
      <c r="DM618" s="4"/>
      <c r="DN618" s="4"/>
      <c r="DO618" s="4"/>
      <c r="DP618" s="4"/>
      <c r="DQ618" s="4"/>
      <c r="DR618" s="4">
        <v>60</v>
      </c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  <c r="FD618" s="4"/>
      <c r="FE618" s="4"/>
      <c r="FF618" s="4"/>
      <c r="FG618" s="4"/>
      <c r="FH618" s="4"/>
      <c r="FI618" s="4">
        <v>20</v>
      </c>
      <c r="FJ618" s="4"/>
      <c r="FK618" s="4"/>
      <c r="FL618" s="4"/>
      <c r="FM618" s="4"/>
      <c r="FN618" s="4"/>
      <c r="FO618" s="4"/>
      <c r="FP618" s="4"/>
      <c r="FQ618" s="4"/>
      <c r="FR618" s="4"/>
      <c r="FS618" s="4"/>
      <c r="FT618" s="4"/>
      <c r="FU618" s="4"/>
      <c r="FV618" s="4"/>
      <c r="FW618" s="4"/>
      <c r="FX618" s="4"/>
      <c r="FY618" s="4"/>
      <c r="FZ618" s="4"/>
      <c r="GA618" s="4"/>
      <c r="GB618" s="4"/>
      <c r="GC618" s="4"/>
      <c r="GD618" s="4"/>
      <c r="GE618" s="4"/>
      <c r="GF618" s="4"/>
    </row>
    <row r="619">
      <c r="A619" s="2" t="s">
        <v>4001</v>
      </c>
      <c r="B619" s="2" t="s">
        <v>225</v>
      </c>
      <c r="C619" s="2" t="s">
        <v>1145</v>
      </c>
      <c r="D619" s="2" t="s">
        <v>227</v>
      </c>
      <c r="E619" s="2" t="s">
        <v>228</v>
      </c>
      <c r="F619" s="2" t="s">
        <v>292</v>
      </c>
      <c r="G619" s="2" t="s">
        <v>292</v>
      </c>
      <c r="H619" s="2" t="s">
        <v>292</v>
      </c>
      <c r="I619" s="2" t="s">
        <v>3893</v>
      </c>
      <c r="J619" s="2" t="s">
        <v>231</v>
      </c>
      <c r="K619" s="2" t="s">
        <v>202</v>
      </c>
      <c r="L619" s="3">
        <v>16.75</v>
      </c>
      <c r="M619" s="3">
        <v>17.59</v>
      </c>
      <c r="N619" s="3">
        <v>37.99</v>
      </c>
      <c r="O619" s="2" t="s">
        <v>203</v>
      </c>
      <c r="P619" s="2" t="s">
        <v>204</v>
      </c>
      <c r="Q619" s="2" t="s">
        <v>205</v>
      </c>
      <c r="R619" s="2" t="s">
        <v>206</v>
      </c>
      <c r="S619" s="2" t="s">
        <v>3992</v>
      </c>
      <c r="T619" s="2" t="s">
        <v>292</v>
      </c>
      <c r="U619" s="2" t="s">
        <v>206</v>
      </c>
      <c r="V619" s="2" t="s">
        <v>209</v>
      </c>
      <c r="W619" s="2" t="s">
        <v>210</v>
      </c>
      <c r="X619" s="2" t="s">
        <v>206</v>
      </c>
      <c r="Y619" s="2" t="s">
        <v>211</v>
      </c>
      <c r="Z619" s="4">
        <v>172</v>
      </c>
      <c r="AA619" s="4">
        <f>=ROUNDDOWN(10.75,0)</f>
      </c>
      <c r="AB619" s="5">
        <v>16</v>
      </c>
      <c r="AC619" s="2" t="s">
        <v>113</v>
      </c>
      <c r="AD619" s="4">
        <v>120</v>
      </c>
      <c r="AE619" s="4">
        <v>220</v>
      </c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206</v>
      </c>
      <c r="AM619" s="4"/>
      <c r="AN619" s="4"/>
      <c r="AO619" s="7"/>
      <c r="AP619" s="4"/>
      <c r="AQ619" s="8"/>
      <c r="AR619" s="4"/>
      <c r="AS619" s="8"/>
      <c r="AT619" s="7"/>
      <c r="AU619" s="7"/>
      <c r="AV619" s="4" t="s">
        <v>206</v>
      </c>
      <c r="AW619" s="8" t="s">
        <v>206</v>
      </c>
      <c r="AX619" s="4" t="s">
        <v>206</v>
      </c>
      <c r="AY619" s="8" t="s">
        <v>206</v>
      </c>
      <c r="AZ619" s="7" t="s">
        <v>206</v>
      </c>
      <c r="BA619" s="7" t="s">
        <v>206</v>
      </c>
      <c r="BB619" s="7"/>
      <c r="BC619" s="4" t="s">
        <v>206</v>
      </c>
      <c r="BD619" s="8" t="s">
        <v>206</v>
      </c>
      <c r="BE619" s="4" t="s">
        <v>206</v>
      </c>
      <c r="BF619" s="8" t="s">
        <v>206</v>
      </c>
      <c r="BG619" s="7" t="s">
        <v>206</v>
      </c>
      <c r="BH619" s="7" t="s">
        <v>206</v>
      </c>
      <c r="BI619" s="7"/>
      <c r="BJ619" s="4">
        <v>73</v>
      </c>
      <c r="BK619" s="8">
        <v>1361.15</v>
      </c>
      <c r="BL619" s="2" t="s">
        <v>4002</v>
      </c>
      <c r="BM619" s="7"/>
      <c r="BN619" s="7"/>
      <c r="BO619" s="4"/>
      <c r="BP619" s="8"/>
      <c r="BQ619" s="4"/>
      <c r="BR619" s="8"/>
      <c r="BS619" s="7"/>
      <c r="BT619" s="7"/>
      <c r="BU619" s="2" t="s">
        <v>4003</v>
      </c>
      <c r="BV619" s="2" t="s">
        <v>206</v>
      </c>
      <c r="BW619" s="2" t="s">
        <v>206</v>
      </c>
      <c r="BX619" s="2" t="s">
        <v>214</v>
      </c>
      <c r="BY619" s="2" t="s">
        <v>215</v>
      </c>
      <c r="BZ619" s="2" t="s">
        <v>203</v>
      </c>
      <c r="CA619" s="2" t="s">
        <v>216</v>
      </c>
      <c r="CB619" s="2" t="s">
        <v>747</v>
      </c>
      <c r="CC619" s="2" t="s">
        <v>218</v>
      </c>
      <c r="CD619" s="2" t="s">
        <v>206</v>
      </c>
      <c r="CE619" s="4">
        <v>172</v>
      </c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>
        <v>120</v>
      </c>
      <c r="DB619" s="4"/>
      <c r="DC619" s="4"/>
      <c r="DD619" s="4"/>
      <c r="DE619" s="4"/>
      <c r="DF619" s="4"/>
      <c r="DG619" s="4"/>
      <c r="DH619" s="4"/>
      <c r="DI619" s="4">
        <v>100</v>
      </c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/>
      <c r="EZ619" s="4"/>
      <c r="FA619" s="4"/>
      <c r="FB619" s="4"/>
      <c r="FC619" s="4"/>
      <c r="FD619" s="4"/>
      <c r="FE619" s="4"/>
      <c r="FF619" s="4"/>
      <c r="FG619" s="4"/>
      <c r="FH619" s="4"/>
      <c r="FI619" s="4"/>
      <c r="FJ619" s="4"/>
      <c r="FK619" s="4"/>
      <c r="FL619" s="4"/>
      <c r="FM619" s="4"/>
      <c r="FN619" s="4"/>
      <c r="FO619" s="4"/>
      <c r="FP619" s="4"/>
      <c r="FQ619" s="4"/>
      <c r="FR619" s="4"/>
      <c r="FS619" s="4"/>
      <c r="FT619" s="4"/>
      <c r="FU619" s="4"/>
      <c r="FV619" s="4"/>
      <c r="FW619" s="4"/>
      <c r="FX619" s="4"/>
      <c r="FY619" s="4"/>
      <c r="FZ619" s="4"/>
      <c r="GA619" s="4"/>
      <c r="GB619" s="4"/>
      <c r="GC619" s="4"/>
      <c r="GD619" s="4"/>
      <c r="GE619" s="4"/>
      <c r="GF619" s="4"/>
    </row>
    <row r="620">
      <c r="A620" s="2" t="s">
        <v>4004</v>
      </c>
      <c r="B620" s="2" t="s">
        <v>195</v>
      </c>
      <c r="C620" s="2" t="s">
        <v>196</v>
      </c>
      <c r="D620" s="2" t="s">
        <v>529</v>
      </c>
      <c r="E620" s="2" t="s">
        <v>1764</v>
      </c>
      <c r="F620" s="2" t="s">
        <v>4005</v>
      </c>
      <c r="G620" s="2" t="s">
        <v>4005</v>
      </c>
      <c r="H620" s="2" t="s">
        <v>4005</v>
      </c>
      <c r="I620" s="2" t="s">
        <v>4006</v>
      </c>
      <c r="J620" s="2" t="s">
        <v>821</v>
      </c>
      <c r="K620" s="2" t="s">
        <v>202</v>
      </c>
      <c r="L620" s="3">
        <v>21.42</v>
      </c>
      <c r="M620" s="3">
        <v>22.5</v>
      </c>
      <c r="N620" s="3">
        <v>49.99</v>
      </c>
      <c r="O620" s="2" t="s">
        <v>203</v>
      </c>
      <c r="P620" s="2" t="s">
        <v>204</v>
      </c>
      <c r="Q620" s="2" t="s">
        <v>205</v>
      </c>
      <c r="R620" s="2" t="s">
        <v>206</v>
      </c>
      <c r="S620" s="2" t="s">
        <v>4007</v>
      </c>
      <c r="T620" s="2" t="s">
        <v>206</v>
      </c>
      <c r="U620" s="2" t="s">
        <v>437</v>
      </c>
      <c r="V620" s="2" t="s">
        <v>209</v>
      </c>
      <c r="W620" s="2" t="s">
        <v>210</v>
      </c>
      <c r="X620" s="2" t="s">
        <v>206</v>
      </c>
      <c r="Y620" s="2" t="s">
        <v>4008</v>
      </c>
      <c r="Z620" s="4">
        <v>189</v>
      </c>
      <c r="AA620" s="4">
        <f>=ROUNDDOWN(37.8,0)</f>
      </c>
      <c r="AB620" s="5">
        <v>5</v>
      </c>
      <c r="AC620" s="2" t="s">
        <v>206</v>
      </c>
      <c r="AD620" s="4"/>
      <c r="AE620" s="4"/>
      <c r="AF620" s="6">
        <v>65</v>
      </c>
      <c r="AG620" s="6"/>
      <c r="AH620" s="7">
        <v>1</v>
      </c>
      <c r="AI620" s="4"/>
      <c r="AJ620" s="4">
        <f>=ROUNDDOWN({0},0)</f>
      </c>
      <c r="AK620" s="5"/>
      <c r="AL620" s="2" t="s">
        <v>206</v>
      </c>
      <c r="AM620" s="4"/>
      <c r="AN620" s="4"/>
      <c r="AO620" s="7"/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/>
      <c r="BD620" s="8"/>
      <c r="BE620" s="4"/>
      <c r="BF620" s="8"/>
      <c r="BG620" s="7"/>
      <c r="BH620" s="7"/>
      <c r="BI620" s="7"/>
      <c r="BJ620" s="4">
        <v>20</v>
      </c>
      <c r="BK620" s="8">
        <v>450.53</v>
      </c>
      <c r="BL620" s="2" t="s">
        <v>4009</v>
      </c>
      <c r="BM620" s="7"/>
      <c r="BN620" s="7"/>
      <c r="BO620" s="4"/>
      <c r="BP620" s="8"/>
      <c r="BQ620" s="4"/>
      <c r="BR620" s="8"/>
      <c r="BS620" s="7"/>
      <c r="BT620" s="7"/>
      <c r="BU620" s="2" t="s">
        <v>4010</v>
      </c>
      <c r="BV620" s="2" t="s">
        <v>206</v>
      </c>
      <c r="BW620" s="2" t="s">
        <v>206</v>
      </c>
      <c r="BX620" s="2" t="s">
        <v>214</v>
      </c>
      <c r="BY620" s="2" t="s">
        <v>215</v>
      </c>
      <c r="BZ620" s="2" t="s">
        <v>203</v>
      </c>
      <c r="CA620" s="2" t="s">
        <v>4011</v>
      </c>
      <c r="CB620" s="2" t="s">
        <v>4012</v>
      </c>
      <c r="CC620" s="2" t="s">
        <v>218</v>
      </c>
      <c r="CD620" s="2" t="s">
        <v>206</v>
      </c>
      <c r="CE620" s="4">
        <v>189</v>
      </c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  <c r="FD620" s="4"/>
      <c r="FE620" s="4"/>
      <c r="FF620" s="4"/>
      <c r="FG620" s="4"/>
      <c r="FH620" s="4"/>
      <c r="FI620" s="4"/>
      <c r="FJ620" s="4"/>
      <c r="FK620" s="4"/>
      <c r="FL620" s="4"/>
      <c r="FM620" s="4"/>
      <c r="FN620" s="4"/>
      <c r="FO620" s="4"/>
      <c r="FP620" s="4"/>
      <c r="FQ620" s="4"/>
      <c r="FR620" s="4"/>
      <c r="FS620" s="4"/>
      <c r="FT620" s="4"/>
      <c r="FU620" s="4"/>
      <c r="FV620" s="4"/>
      <c r="FW620" s="4"/>
      <c r="FX620" s="4"/>
      <c r="FY620" s="4"/>
      <c r="FZ620" s="4"/>
      <c r="GA620" s="4"/>
      <c r="GB620" s="4"/>
      <c r="GC620" s="4"/>
      <c r="GD620" s="4"/>
      <c r="GE620" s="4"/>
      <c r="GF620" s="4"/>
    </row>
    <row r="621">
      <c r="A621" s="2" t="s">
        <v>4013</v>
      </c>
      <c r="B621" s="2" t="s">
        <v>800</v>
      </c>
      <c r="C621" s="2" t="s">
        <v>1145</v>
      </c>
      <c r="D621" s="2" t="s">
        <v>1267</v>
      </c>
      <c r="E621" s="2" t="s">
        <v>1268</v>
      </c>
      <c r="F621" s="2" t="s">
        <v>4014</v>
      </c>
      <c r="G621" s="2" t="s">
        <v>4014</v>
      </c>
      <c r="H621" s="2" t="s">
        <v>4014</v>
      </c>
      <c r="I621" s="2" t="s">
        <v>4015</v>
      </c>
      <c r="J621" s="2" t="s">
        <v>593</v>
      </c>
      <c r="K621" s="2" t="s">
        <v>483</v>
      </c>
      <c r="L621" s="3">
        <v>15.46</v>
      </c>
      <c r="M621" s="3">
        <v>16.23</v>
      </c>
      <c r="N621" s="3">
        <v>34.99</v>
      </c>
      <c r="O621" s="2" t="s">
        <v>203</v>
      </c>
      <c r="P621" s="2" t="s">
        <v>204</v>
      </c>
      <c r="Q621" s="2" t="s">
        <v>205</v>
      </c>
      <c r="R621" s="2" t="s">
        <v>206</v>
      </c>
      <c r="S621" s="2" t="s">
        <v>4016</v>
      </c>
      <c r="T621" s="2" t="s">
        <v>1523</v>
      </c>
      <c r="U621" s="2" t="s">
        <v>206</v>
      </c>
      <c r="V621" s="2" t="s">
        <v>209</v>
      </c>
      <c r="W621" s="2" t="s">
        <v>210</v>
      </c>
      <c r="X621" s="2" t="s">
        <v>206</v>
      </c>
      <c r="Y621" s="2" t="s">
        <v>211</v>
      </c>
      <c r="Z621" s="4">
        <v>1783</v>
      </c>
      <c r="AA621" s="4">
        <f>=ROUNDDOWN(55.71875,0)</f>
      </c>
      <c r="AB621" s="5">
        <v>32</v>
      </c>
      <c r="AC621" s="2" t="s">
        <v>2250</v>
      </c>
      <c r="AD621" s="4">
        <v>80</v>
      </c>
      <c r="AE621" s="4">
        <v>80</v>
      </c>
      <c r="AF621" s="6">
        <v>64</v>
      </c>
      <c r="AG621" s="6"/>
      <c r="AH621" s="7">
        <v>1</v>
      </c>
      <c r="AI621" s="4"/>
      <c r="AJ621" s="4">
        <f>=ROUNDDOWN({0},0)</f>
      </c>
      <c r="AK621" s="5"/>
      <c r="AL621" s="2" t="s">
        <v>206</v>
      </c>
      <c r="AM621" s="4"/>
      <c r="AN621" s="4"/>
      <c r="AO621" s="7"/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/>
      <c r="BD621" s="8"/>
      <c r="BE621" s="4"/>
      <c r="BF621" s="8"/>
      <c r="BG621" s="7"/>
      <c r="BH621" s="7"/>
      <c r="BI621" s="7"/>
      <c r="BJ621" s="4">
        <v>63</v>
      </c>
      <c r="BK621" s="8">
        <v>969.2</v>
      </c>
      <c r="BL621" s="2" t="s">
        <v>4017</v>
      </c>
      <c r="BM621" s="7"/>
      <c r="BN621" s="7"/>
      <c r="BO621" s="4"/>
      <c r="BP621" s="8"/>
      <c r="BQ621" s="4"/>
      <c r="BR621" s="8"/>
      <c r="BS621" s="7"/>
      <c r="BT621" s="7"/>
      <c r="BU621" s="2" t="s">
        <v>4018</v>
      </c>
      <c r="BV621" s="2" t="s">
        <v>206</v>
      </c>
      <c r="BW621" s="2" t="s">
        <v>206</v>
      </c>
      <c r="BX621" s="2" t="s">
        <v>214</v>
      </c>
      <c r="BY621" s="2" t="s">
        <v>215</v>
      </c>
      <c r="BZ621" s="2" t="s">
        <v>203</v>
      </c>
      <c r="CA621" s="2" t="s">
        <v>3240</v>
      </c>
      <c r="CB621" s="2" t="s">
        <v>4019</v>
      </c>
      <c r="CC621" s="2" t="s">
        <v>218</v>
      </c>
      <c r="CD621" s="2" t="s">
        <v>206</v>
      </c>
      <c r="CE621" s="4">
        <v>1783</v>
      </c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/>
      <c r="FB621" s="4"/>
      <c r="FC621" s="4"/>
      <c r="FD621" s="4"/>
      <c r="FE621" s="4"/>
      <c r="FF621" s="4"/>
      <c r="FG621" s="4"/>
      <c r="FH621" s="4"/>
      <c r="FI621" s="4"/>
      <c r="FJ621" s="4"/>
      <c r="FK621" s="4"/>
      <c r="FL621" s="4"/>
      <c r="FM621" s="4">
        <v>80</v>
      </c>
      <c r="FN621" s="4"/>
      <c r="FO621" s="4"/>
      <c r="FP621" s="4"/>
      <c r="FQ621" s="4"/>
      <c r="FR621" s="4"/>
      <c r="FS621" s="4"/>
      <c r="FT621" s="4"/>
      <c r="FU621" s="4"/>
      <c r="FV621" s="4"/>
      <c r="FW621" s="4"/>
      <c r="FX621" s="4"/>
      <c r="FY621" s="4"/>
      <c r="FZ621" s="4"/>
      <c r="GA621" s="4"/>
      <c r="GB621" s="4"/>
      <c r="GC621" s="4"/>
      <c r="GD621" s="4"/>
      <c r="GE621" s="4"/>
      <c r="GF621" s="4"/>
    </row>
    <row r="622">
      <c r="A622" s="2" t="s">
        <v>4020</v>
      </c>
      <c r="B622" s="2" t="s">
        <v>546</v>
      </c>
      <c r="C622" s="2" t="s">
        <v>1145</v>
      </c>
      <c r="D622" s="2" t="s">
        <v>529</v>
      </c>
      <c r="E622" s="2" t="s">
        <v>1134</v>
      </c>
      <c r="F622" s="2" t="s">
        <v>4021</v>
      </c>
      <c r="G622" s="2" t="s">
        <v>4022</v>
      </c>
      <c r="H622" s="2" t="s">
        <v>4023</v>
      </c>
      <c r="I622" s="2" t="s">
        <v>4024</v>
      </c>
      <c r="J622" s="2" t="s">
        <v>821</v>
      </c>
      <c r="K622" s="2" t="s">
        <v>315</v>
      </c>
      <c r="L622" s="3">
        <v>33.33</v>
      </c>
      <c r="M622" s="3">
        <v>35</v>
      </c>
      <c r="N622" s="3">
        <v>69.99</v>
      </c>
      <c r="O622" s="2" t="s">
        <v>203</v>
      </c>
      <c r="P622" s="2" t="s">
        <v>204</v>
      </c>
      <c r="Q622" s="2" t="s">
        <v>205</v>
      </c>
      <c r="R622" s="2" t="s">
        <v>206</v>
      </c>
      <c r="S622" s="2" t="s">
        <v>4025</v>
      </c>
      <c r="T622" s="2" t="s">
        <v>1721</v>
      </c>
      <c r="U622" s="2" t="s">
        <v>900</v>
      </c>
      <c r="V622" s="2" t="s">
        <v>209</v>
      </c>
      <c r="W622" s="2" t="s">
        <v>914</v>
      </c>
      <c r="X622" s="2" t="s">
        <v>210</v>
      </c>
      <c r="Y622" s="2" t="s">
        <v>2966</v>
      </c>
      <c r="Z622" s="4">
        <v>268</v>
      </c>
      <c r="AA622" s="4">
        <f>=ROUNDDOWN(134,0)</f>
      </c>
      <c r="AB622" s="5">
        <v>2</v>
      </c>
      <c r="AC622" s="2" t="s">
        <v>206</v>
      </c>
      <c r="AD622" s="4"/>
      <c r="AE622" s="4"/>
      <c r="AF622" s="6">
        <v>64</v>
      </c>
      <c r="AG622" s="6"/>
      <c r="AH622" s="7">
        <v>1</v>
      </c>
      <c r="AI622" s="4"/>
      <c r="AJ622" s="4">
        <f>=ROUNDDOWN({0},0)</f>
      </c>
      <c r="AK622" s="5"/>
      <c r="AL622" s="2" t="s">
        <v>206</v>
      </c>
      <c r="AM622" s="4"/>
      <c r="AN622" s="4"/>
      <c r="AO622" s="7"/>
      <c r="AP622" s="4"/>
      <c r="AQ622" s="8"/>
      <c r="AR622" s="4"/>
      <c r="AS622" s="8"/>
      <c r="AT622" s="7"/>
      <c r="AU622" s="7"/>
      <c r="AV622" s="4" t="s">
        <v>206</v>
      </c>
      <c r="AW622" s="8" t="s">
        <v>206</v>
      </c>
      <c r="AX622" s="4" t="s">
        <v>206</v>
      </c>
      <c r="AY622" s="8" t="s">
        <v>206</v>
      </c>
      <c r="AZ622" s="7" t="s">
        <v>206</v>
      </c>
      <c r="BA622" s="7" t="s">
        <v>206</v>
      </c>
      <c r="BB622" s="7"/>
      <c r="BC622" s="4" t="s">
        <v>206</v>
      </c>
      <c r="BD622" s="8" t="s">
        <v>206</v>
      </c>
      <c r="BE622" s="4" t="s">
        <v>206</v>
      </c>
      <c r="BF622" s="8" t="s">
        <v>206</v>
      </c>
      <c r="BG622" s="7" t="s">
        <v>206</v>
      </c>
      <c r="BH622" s="7" t="s">
        <v>206</v>
      </c>
      <c r="BI622" s="7"/>
      <c r="BJ622" s="4">
        <v>10</v>
      </c>
      <c r="BK622" s="8">
        <v>374.68</v>
      </c>
      <c r="BL622" s="2" t="s">
        <v>256</v>
      </c>
      <c r="BM622" s="7"/>
      <c r="BN622" s="7"/>
      <c r="BO622" s="4"/>
      <c r="BP622" s="8"/>
      <c r="BQ622" s="4"/>
      <c r="BR622" s="8"/>
      <c r="BS622" s="7"/>
      <c r="BT622" s="7"/>
      <c r="BU622" s="2" t="s">
        <v>4026</v>
      </c>
      <c r="BV622" s="2" t="s">
        <v>206</v>
      </c>
      <c r="BW622" s="2" t="s">
        <v>206</v>
      </c>
      <c r="BX622" s="2" t="s">
        <v>214</v>
      </c>
      <c r="BY622" s="2" t="s">
        <v>215</v>
      </c>
      <c r="BZ622" s="2" t="s">
        <v>203</v>
      </c>
      <c r="CA622" s="2" t="s">
        <v>1566</v>
      </c>
      <c r="CB622" s="2" t="s">
        <v>4027</v>
      </c>
      <c r="CC622" s="2" t="s">
        <v>218</v>
      </c>
      <c r="CD622" s="2" t="s">
        <v>206</v>
      </c>
      <c r="CE622" s="4">
        <v>268</v>
      </c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  <c r="FG622" s="4"/>
      <c r="FH622" s="4"/>
      <c r="FI622" s="4"/>
      <c r="FJ622" s="4"/>
      <c r="FK622" s="4"/>
      <c r="FL622" s="4"/>
      <c r="FM622" s="4"/>
      <c r="FN622" s="4"/>
      <c r="FO622" s="4"/>
      <c r="FP622" s="4"/>
      <c r="FQ622" s="4"/>
      <c r="FR622" s="4"/>
      <c r="FS622" s="4"/>
      <c r="FT622" s="4"/>
      <c r="FU622" s="4"/>
      <c r="FV622" s="4"/>
      <c r="FW622" s="4"/>
      <c r="FX622" s="4"/>
      <c r="FY622" s="4"/>
      <c r="FZ622" s="4"/>
      <c r="GA622" s="4"/>
      <c r="GB622" s="4"/>
      <c r="GC622" s="4"/>
      <c r="GD622" s="4"/>
      <c r="GE622" s="4"/>
      <c r="GF622" s="4"/>
    </row>
    <row r="623">
      <c r="A623" s="2" t="s">
        <v>4028</v>
      </c>
      <c r="B623" s="2" t="s">
        <v>546</v>
      </c>
      <c r="C623" s="2" t="s">
        <v>1145</v>
      </c>
      <c r="D623" s="2" t="s">
        <v>529</v>
      </c>
      <c r="E623" s="2" t="s">
        <v>1134</v>
      </c>
      <c r="F623" s="2" t="s">
        <v>4021</v>
      </c>
      <c r="G623" s="2" t="s">
        <v>4022</v>
      </c>
      <c r="H623" s="2" t="s">
        <v>4023</v>
      </c>
      <c r="I623" s="2" t="s">
        <v>4024</v>
      </c>
      <c r="J623" s="2" t="s">
        <v>582</v>
      </c>
      <c r="K623" s="2" t="s">
        <v>315</v>
      </c>
      <c r="L623" s="3">
        <v>47.61</v>
      </c>
      <c r="M623" s="3">
        <v>49.99</v>
      </c>
      <c r="N623" s="3">
        <v>99.99</v>
      </c>
      <c r="O623" s="2" t="s">
        <v>203</v>
      </c>
      <c r="P623" s="2" t="s">
        <v>204</v>
      </c>
      <c r="Q623" s="2" t="s">
        <v>205</v>
      </c>
      <c r="R623" s="2" t="s">
        <v>206</v>
      </c>
      <c r="S623" s="2" t="s">
        <v>4025</v>
      </c>
      <c r="T623" s="2" t="s">
        <v>1721</v>
      </c>
      <c r="U623" s="2" t="s">
        <v>556</v>
      </c>
      <c r="V623" s="2" t="s">
        <v>209</v>
      </c>
      <c r="W623" s="2" t="s">
        <v>914</v>
      </c>
      <c r="X623" s="2" t="s">
        <v>210</v>
      </c>
      <c r="Y623" s="2" t="s">
        <v>3210</v>
      </c>
      <c r="Z623" s="4">
        <v>232</v>
      </c>
      <c r="AA623" s="4">
        <f>=ROUNDDOWN(116,0)</f>
      </c>
      <c r="AB623" s="5">
        <v>2</v>
      </c>
      <c r="AC623" s="2" t="s">
        <v>206</v>
      </c>
      <c r="AD623" s="4"/>
      <c r="AE623" s="4"/>
      <c r="AF623" s="6">
        <v>64</v>
      </c>
      <c r="AG623" s="6"/>
      <c r="AH623" s="7">
        <v>1</v>
      </c>
      <c r="AI623" s="4"/>
      <c r="AJ623" s="4">
        <f>=ROUNDDOWN({0},0)</f>
      </c>
      <c r="AK623" s="5"/>
      <c r="AL623" s="2" t="s">
        <v>206</v>
      </c>
      <c r="AM623" s="4"/>
      <c r="AN623" s="4"/>
      <c r="AO623" s="7"/>
      <c r="AP623" s="4"/>
      <c r="AQ623" s="8"/>
      <c r="AR623" s="4"/>
      <c r="AS623" s="8"/>
      <c r="AT623" s="7"/>
      <c r="AU623" s="7"/>
      <c r="AV623" s="4" t="s">
        <v>206</v>
      </c>
      <c r="AW623" s="8" t="s">
        <v>206</v>
      </c>
      <c r="AX623" s="4" t="s">
        <v>206</v>
      </c>
      <c r="AY623" s="8" t="s">
        <v>206</v>
      </c>
      <c r="AZ623" s="7" t="s">
        <v>206</v>
      </c>
      <c r="BA623" s="7" t="s">
        <v>206</v>
      </c>
      <c r="BB623" s="7"/>
      <c r="BC623" s="4" t="s">
        <v>206</v>
      </c>
      <c r="BD623" s="8" t="s">
        <v>206</v>
      </c>
      <c r="BE623" s="4" t="s">
        <v>206</v>
      </c>
      <c r="BF623" s="8" t="s">
        <v>206</v>
      </c>
      <c r="BG623" s="7" t="s">
        <v>206</v>
      </c>
      <c r="BH623" s="7" t="s">
        <v>206</v>
      </c>
      <c r="BI623" s="7"/>
      <c r="BJ623" s="4">
        <v>14</v>
      </c>
      <c r="BK623" s="8">
        <v>721.49</v>
      </c>
      <c r="BL623" s="2" t="s">
        <v>4029</v>
      </c>
      <c r="BM623" s="7"/>
      <c r="BN623" s="7"/>
      <c r="BO623" s="4"/>
      <c r="BP623" s="8"/>
      <c r="BQ623" s="4"/>
      <c r="BR623" s="8"/>
      <c r="BS623" s="7"/>
      <c r="BT623" s="7"/>
      <c r="BU623" s="2" t="s">
        <v>4030</v>
      </c>
      <c r="BV623" s="2" t="s">
        <v>206</v>
      </c>
      <c r="BW623" s="2" t="s">
        <v>206</v>
      </c>
      <c r="BX623" s="2" t="s">
        <v>214</v>
      </c>
      <c r="BY623" s="2" t="s">
        <v>215</v>
      </c>
      <c r="BZ623" s="2" t="s">
        <v>203</v>
      </c>
      <c r="CA623" s="2" t="s">
        <v>1566</v>
      </c>
      <c r="CB623" s="2" t="s">
        <v>3647</v>
      </c>
      <c r="CC623" s="2" t="s">
        <v>218</v>
      </c>
      <c r="CD623" s="2" t="s">
        <v>206</v>
      </c>
      <c r="CE623" s="4">
        <v>232</v>
      </c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/>
      <c r="FM623" s="4"/>
      <c r="FN623" s="4"/>
      <c r="FO623" s="4"/>
      <c r="FP623" s="4"/>
      <c r="FQ623" s="4"/>
      <c r="FR623" s="4"/>
      <c r="FS623" s="4"/>
      <c r="FT623" s="4"/>
      <c r="FU623" s="4"/>
      <c r="FV623" s="4"/>
      <c r="FW623" s="4"/>
      <c r="FX623" s="4"/>
      <c r="FY623" s="4"/>
      <c r="FZ623" s="4"/>
      <c r="GA623" s="4"/>
      <c r="GB623" s="4"/>
      <c r="GC623" s="4"/>
      <c r="GD623" s="4"/>
      <c r="GE623" s="4"/>
      <c r="GF623" s="4"/>
    </row>
    <row r="624">
      <c r="A624" s="2" t="s">
        <v>4031</v>
      </c>
      <c r="B624" s="2" t="s">
        <v>546</v>
      </c>
      <c r="C624" s="2" t="s">
        <v>1145</v>
      </c>
      <c r="D624" s="2" t="s">
        <v>529</v>
      </c>
      <c r="E624" s="2" t="s">
        <v>1134</v>
      </c>
      <c r="F624" s="2" t="s">
        <v>4021</v>
      </c>
      <c r="G624" s="2" t="s">
        <v>4022</v>
      </c>
      <c r="H624" s="2" t="s">
        <v>4023</v>
      </c>
      <c r="I624" s="2" t="s">
        <v>4024</v>
      </c>
      <c r="J624" s="2" t="s">
        <v>593</v>
      </c>
      <c r="K624" s="2" t="s">
        <v>1587</v>
      </c>
      <c r="L624" s="3">
        <v>42.85</v>
      </c>
      <c r="M624" s="3">
        <v>44.99</v>
      </c>
      <c r="N624" s="3">
        <v>89.99</v>
      </c>
      <c r="O624" s="2" t="s">
        <v>203</v>
      </c>
      <c r="P624" s="2" t="s">
        <v>204</v>
      </c>
      <c r="Q624" s="2" t="s">
        <v>205</v>
      </c>
      <c r="R624" s="2" t="s">
        <v>206</v>
      </c>
      <c r="S624" s="2" t="s">
        <v>4032</v>
      </c>
      <c r="T624" s="2" t="s">
        <v>1721</v>
      </c>
      <c r="U624" s="2" t="s">
        <v>556</v>
      </c>
      <c r="V624" s="2" t="s">
        <v>209</v>
      </c>
      <c r="W624" s="2" t="s">
        <v>914</v>
      </c>
      <c r="X624" s="2" t="s">
        <v>210</v>
      </c>
      <c r="Y624" s="2" t="s">
        <v>3210</v>
      </c>
      <c r="Z624" s="4">
        <v>498</v>
      </c>
      <c r="AA624" s="4">
        <f>=ROUNDDOWN(127.692307692308,0)</f>
      </c>
      <c r="AB624" s="5">
        <v>3.9</v>
      </c>
      <c r="AC624" s="2" t="s">
        <v>206</v>
      </c>
      <c r="AD624" s="4"/>
      <c r="AE624" s="4"/>
      <c r="AF624" s="6">
        <v>64</v>
      </c>
      <c r="AG624" s="6"/>
      <c r="AH624" s="7">
        <v>1</v>
      </c>
      <c r="AI624" s="4"/>
      <c r="AJ624" s="4">
        <f>=ROUNDDOWN({0},0)</f>
      </c>
      <c r="AK624" s="5"/>
      <c r="AL624" s="2" t="s">
        <v>206</v>
      </c>
      <c r="AM624" s="4"/>
      <c r="AN624" s="4"/>
      <c r="AO624" s="7"/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 t="s">
        <v>206</v>
      </c>
      <c r="BD624" s="8" t="s">
        <v>206</v>
      </c>
      <c r="BE624" s="4" t="s">
        <v>206</v>
      </c>
      <c r="BF624" s="8" t="s">
        <v>206</v>
      </c>
      <c r="BG624" s="7" t="s">
        <v>206</v>
      </c>
      <c r="BH624" s="7" t="s">
        <v>206</v>
      </c>
      <c r="BI624" s="7"/>
      <c r="BJ624" s="4">
        <v>31</v>
      </c>
      <c r="BK624" s="8">
        <v>1473.58</v>
      </c>
      <c r="BL624" s="2" t="s">
        <v>3557</v>
      </c>
      <c r="BM624" s="7"/>
      <c r="BN624" s="7"/>
      <c r="BO624" s="4"/>
      <c r="BP624" s="8"/>
      <c r="BQ624" s="4"/>
      <c r="BR624" s="8"/>
      <c r="BS624" s="7"/>
      <c r="BT624" s="7"/>
      <c r="BU624" s="2" t="s">
        <v>4033</v>
      </c>
      <c r="BV624" s="2" t="s">
        <v>206</v>
      </c>
      <c r="BW624" s="2" t="s">
        <v>206</v>
      </c>
      <c r="BX624" s="2" t="s">
        <v>214</v>
      </c>
      <c r="BY624" s="2" t="s">
        <v>215</v>
      </c>
      <c r="BZ624" s="2" t="s">
        <v>203</v>
      </c>
      <c r="CA624" s="2" t="s">
        <v>1566</v>
      </c>
      <c r="CB624" s="2" t="s">
        <v>1593</v>
      </c>
      <c r="CC624" s="2" t="s">
        <v>218</v>
      </c>
      <c r="CD624" s="2" t="s">
        <v>206</v>
      </c>
      <c r="CE624" s="4">
        <v>498</v>
      </c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  <c r="FU624" s="4"/>
      <c r="FV624" s="4"/>
      <c r="FW624" s="4"/>
      <c r="FX624" s="4"/>
      <c r="FY624" s="4"/>
      <c r="FZ624" s="4"/>
      <c r="GA624" s="4"/>
      <c r="GB624" s="4"/>
      <c r="GC624" s="4"/>
      <c r="GD624" s="4"/>
      <c r="GE624" s="4"/>
      <c r="GF624" s="4"/>
    </row>
    <row r="625">
      <c r="A625" s="2" t="s">
        <v>4034</v>
      </c>
      <c r="B625" s="2" t="s">
        <v>546</v>
      </c>
      <c r="C625" s="2" t="s">
        <v>1145</v>
      </c>
      <c r="D625" s="2" t="s">
        <v>529</v>
      </c>
      <c r="E625" s="2" t="s">
        <v>1134</v>
      </c>
      <c r="F625" s="2" t="s">
        <v>4021</v>
      </c>
      <c r="G625" s="2" t="s">
        <v>4022</v>
      </c>
      <c r="H625" s="2" t="s">
        <v>4023</v>
      </c>
      <c r="I625" s="2" t="s">
        <v>4024</v>
      </c>
      <c r="J625" s="2" t="s">
        <v>821</v>
      </c>
      <c r="K625" s="2" t="s">
        <v>1126</v>
      </c>
      <c r="L625" s="3">
        <v>33.33</v>
      </c>
      <c r="M625" s="3">
        <v>35</v>
      </c>
      <c r="N625" s="3">
        <v>69.99</v>
      </c>
      <c r="O625" s="2" t="s">
        <v>203</v>
      </c>
      <c r="P625" s="2" t="s">
        <v>204</v>
      </c>
      <c r="Q625" s="2" t="s">
        <v>205</v>
      </c>
      <c r="R625" s="2" t="s">
        <v>206</v>
      </c>
      <c r="S625" s="2" t="s">
        <v>4035</v>
      </c>
      <c r="T625" s="2" t="s">
        <v>1721</v>
      </c>
      <c r="U625" s="2" t="s">
        <v>900</v>
      </c>
      <c r="V625" s="2" t="s">
        <v>209</v>
      </c>
      <c r="W625" s="2" t="s">
        <v>914</v>
      </c>
      <c r="X625" s="2" t="s">
        <v>210</v>
      </c>
      <c r="Y625" s="2" t="s">
        <v>3210</v>
      </c>
      <c r="Z625" s="4">
        <v>246</v>
      </c>
      <c r="AA625" s="4">
        <f>=ROUNDDOWN(175.714285714286,0)</f>
      </c>
      <c r="AB625" s="5">
        <v>1.4</v>
      </c>
      <c r="AC625" s="2" t="s">
        <v>206</v>
      </c>
      <c r="AD625" s="4"/>
      <c r="AE625" s="4"/>
      <c r="AF625" s="6">
        <v>64</v>
      </c>
      <c r="AG625" s="6"/>
      <c r="AH625" s="7">
        <v>1</v>
      </c>
      <c r="AI625" s="4"/>
      <c r="AJ625" s="4">
        <f>=ROUNDDOWN({0},0)</f>
      </c>
      <c r="AK625" s="5"/>
      <c r="AL625" s="2" t="s">
        <v>206</v>
      </c>
      <c r="AM625" s="4"/>
      <c r="AN625" s="4"/>
      <c r="AO625" s="7"/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 t="s">
        <v>206</v>
      </c>
      <c r="BD625" s="8" t="s">
        <v>206</v>
      </c>
      <c r="BE625" s="4" t="s">
        <v>206</v>
      </c>
      <c r="BF625" s="8" t="s">
        <v>206</v>
      </c>
      <c r="BG625" s="7" t="s">
        <v>206</v>
      </c>
      <c r="BH625" s="7" t="s">
        <v>206</v>
      </c>
      <c r="BI625" s="7"/>
      <c r="BJ625" s="4">
        <v>7</v>
      </c>
      <c r="BK625" s="8">
        <v>263.55</v>
      </c>
      <c r="BL625" s="2" t="s">
        <v>1881</v>
      </c>
      <c r="BM625" s="7"/>
      <c r="BN625" s="7"/>
      <c r="BO625" s="4"/>
      <c r="BP625" s="8"/>
      <c r="BQ625" s="4"/>
      <c r="BR625" s="8"/>
      <c r="BS625" s="7"/>
      <c r="BT625" s="7"/>
      <c r="BU625" s="2" t="s">
        <v>4036</v>
      </c>
      <c r="BV625" s="2" t="s">
        <v>206</v>
      </c>
      <c r="BW625" s="2" t="s">
        <v>206</v>
      </c>
      <c r="BX625" s="2" t="s">
        <v>214</v>
      </c>
      <c r="BY625" s="2" t="s">
        <v>215</v>
      </c>
      <c r="BZ625" s="2" t="s">
        <v>203</v>
      </c>
      <c r="CA625" s="2" t="s">
        <v>1566</v>
      </c>
      <c r="CB625" s="2" t="s">
        <v>4037</v>
      </c>
      <c r="CC625" s="2" t="s">
        <v>218</v>
      </c>
      <c r="CD625" s="2" t="s">
        <v>206</v>
      </c>
      <c r="CE625" s="4">
        <v>246</v>
      </c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  <c r="FT625" s="4"/>
      <c r="FU625" s="4"/>
      <c r="FV625" s="4"/>
      <c r="FW625" s="4"/>
      <c r="FX625" s="4"/>
      <c r="FY625" s="4"/>
      <c r="FZ625" s="4"/>
      <c r="GA625" s="4"/>
      <c r="GB625" s="4"/>
      <c r="GC625" s="4"/>
      <c r="GD625" s="4"/>
      <c r="GE625" s="4"/>
      <c r="GF625" s="4"/>
    </row>
    <row r="626">
      <c r="A626" s="2" t="s">
        <v>4038</v>
      </c>
      <c r="B626" s="2" t="s">
        <v>613</v>
      </c>
      <c r="C626" s="2" t="s">
        <v>1044</v>
      </c>
      <c r="D626" s="2" t="s">
        <v>628</v>
      </c>
      <c r="E626" s="2" t="s">
        <v>629</v>
      </c>
      <c r="F626" s="2" t="s">
        <v>4039</v>
      </c>
      <c r="G626" s="2" t="s">
        <v>4040</v>
      </c>
      <c r="H626" s="2" t="s">
        <v>4041</v>
      </c>
      <c r="I626" s="2" t="s">
        <v>4042</v>
      </c>
      <c r="J626" s="2" t="s">
        <v>631</v>
      </c>
      <c r="K626" s="2" t="s">
        <v>945</v>
      </c>
      <c r="L626" s="3">
        <v>16.8</v>
      </c>
      <c r="M626" s="3">
        <v>17.64</v>
      </c>
      <c r="N626" s="3">
        <v>39.99</v>
      </c>
      <c r="O626" s="2" t="s">
        <v>203</v>
      </c>
      <c r="P626" s="2" t="s">
        <v>492</v>
      </c>
      <c r="Q626" s="2" t="s">
        <v>205</v>
      </c>
      <c r="R626" s="2" t="s">
        <v>206</v>
      </c>
      <c r="S626" s="2" t="s">
        <v>206</v>
      </c>
      <c r="T626" s="2" t="s">
        <v>206</v>
      </c>
      <c r="U626" s="2" t="s">
        <v>206</v>
      </c>
      <c r="V626" s="2" t="s">
        <v>2811</v>
      </c>
      <c r="W626" s="2" t="s">
        <v>914</v>
      </c>
      <c r="X626" s="2" t="s">
        <v>1051</v>
      </c>
      <c r="Y626" s="2" t="s">
        <v>2479</v>
      </c>
      <c r="Z626" s="4">
        <v>237</v>
      </c>
      <c r="AA626" s="4">
        <f>=ROUNDDOWN(5.26666666666667,0)</f>
      </c>
      <c r="AB626" s="5">
        <v>45</v>
      </c>
      <c r="AC626" s="2" t="s">
        <v>113</v>
      </c>
      <c r="AD626" s="4">
        <v>580</v>
      </c>
      <c r="AE626" s="4">
        <v>1240</v>
      </c>
      <c r="AF626" s="6">
        <v>68</v>
      </c>
      <c r="AG626" s="6"/>
      <c r="AH626" s="7">
        <v>1</v>
      </c>
      <c r="AI626" s="4"/>
      <c r="AJ626" s="4">
        <f>=ROUNDDOWN({0},0)</f>
      </c>
      <c r="AK626" s="5"/>
      <c r="AL626" s="2" t="s">
        <v>206</v>
      </c>
      <c r="AM626" s="4"/>
      <c r="AN626" s="4"/>
      <c r="AO626" s="7"/>
      <c r="AP626" s="4"/>
      <c r="AQ626" s="8"/>
      <c r="AR626" s="4"/>
      <c r="AS626" s="8"/>
      <c r="AT626" s="7"/>
      <c r="AU626" s="7"/>
      <c r="AV626" s="4" t="s">
        <v>206</v>
      </c>
      <c r="AW626" s="8" t="s">
        <v>206</v>
      </c>
      <c r="AX626" s="4" t="s">
        <v>206</v>
      </c>
      <c r="AY626" s="8" t="s">
        <v>206</v>
      </c>
      <c r="AZ626" s="7" t="s">
        <v>206</v>
      </c>
      <c r="BA626" s="7" t="s">
        <v>206</v>
      </c>
      <c r="BB626" s="7"/>
      <c r="BC626" s="4" t="s">
        <v>206</v>
      </c>
      <c r="BD626" s="8" t="s">
        <v>206</v>
      </c>
      <c r="BE626" s="4" t="s">
        <v>206</v>
      </c>
      <c r="BF626" s="8" t="s">
        <v>206</v>
      </c>
      <c r="BG626" s="7" t="s">
        <v>206</v>
      </c>
      <c r="BH626" s="7" t="s">
        <v>206</v>
      </c>
      <c r="BI626" s="7"/>
      <c r="BJ626" s="4">
        <v>202</v>
      </c>
      <c r="BK626" s="8">
        <v>3394.58</v>
      </c>
      <c r="BL626" s="2" t="s">
        <v>4043</v>
      </c>
      <c r="BM626" s="7"/>
      <c r="BN626" s="7"/>
      <c r="BO626" s="4"/>
      <c r="BP626" s="8"/>
      <c r="BQ626" s="4"/>
      <c r="BR626" s="8"/>
      <c r="BS626" s="7"/>
      <c r="BT626" s="7"/>
      <c r="BU626" s="2" t="s">
        <v>4044</v>
      </c>
      <c r="BV626" s="2" t="s">
        <v>206</v>
      </c>
      <c r="BW626" s="2" t="s">
        <v>206</v>
      </c>
      <c r="BX626" s="2" t="s">
        <v>214</v>
      </c>
      <c r="BY626" s="2" t="s">
        <v>215</v>
      </c>
      <c r="BZ626" s="2" t="s">
        <v>203</v>
      </c>
      <c r="CA626" s="2" t="s">
        <v>3413</v>
      </c>
      <c r="CB626" s="2" t="s">
        <v>4045</v>
      </c>
      <c r="CC626" s="2" t="s">
        <v>218</v>
      </c>
      <c r="CD626" s="2" t="s">
        <v>206</v>
      </c>
      <c r="CE626" s="4">
        <v>237</v>
      </c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>
        <v>580</v>
      </c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>
        <v>360</v>
      </c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>
        <v>300</v>
      </c>
      <c r="FV626" s="4"/>
      <c r="FW626" s="4"/>
      <c r="FX626" s="4"/>
      <c r="FY626" s="4"/>
      <c r="FZ626" s="4"/>
      <c r="GA626" s="4"/>
      <c r="GB626" s="4"/>
      <c r="GC626" s="4"/>
      <c r="GD626" s="4"/>
      <c r="GE626" s="4"/>
      <c r="GF626" s="4"/>
    </row>
    <row r="627">
      <c r="A627" s="2" t="s">
        <v>4046</v>
      </c>
      <c r="B627" s="2" t="s">
        <v>613</v>
      </c>
      <c r="C627" s="2" t="s">
        <v>1044</v>
      </c>
      <c r="D627" s="2" t="s">
        <v>628</v>
      </c>
      <c r="E627" s="2" t="s">
        <v>629</v>
      </c>
      <c r="F627" s="2" t="s">
        <v>4039</v>
      </c>
      <c r="G627" s="2" t="s">
        <v>4040</v>
      </c>
      <c r="H627" s="2" t="s">
        <v>4041</v>
      </c>
      <c r="I627" s="2" t="s">
        <v>4042</v>
      </c>
      <c r="J627" s="2" t="s">
        <v>853</v>
      </c>
      <c r="K627" s="2" t="s">
        <v>945</v>
      </c>
      <c r="L627" s="3">
        <v>21</v>
      </c>
      <c r="M627" s="3">
        <v>22.05</v>
      </c>
      <c r="N627" s="3">
        <v>49.99</v>
      </c>
      <c r="O627" s="2" t="s">
        <v>203</v>
      </c>
      <c r="P627" s="2" t="s">
        <v>492</v>
      </c>
      <c r="Q627" s="2" t="s">
        <v>205</v>
      </c>
      <c r="R627" s="2" t="s">
        <v>206</v>
      </c>
      <c r="S627" s="2" t="s">
        <v>206</v>
      </c>
      <c r="T627" s="2" t="s">
        <v>206</v>
      </c>
      <c r="U627" s="2" t="s">
        <v>206</v>
      </c>
      <c r="V627" s="2" t="s">
        <v>2811</v>
      </c>
      <c r="W627" s="2" t="s">
        <v>914</v>
      </c>
      <c r="X627" s="2" t="s">
        <v>1051</v>
      </c>
      <c r="Y627" s="2" t="s">
        <v>2479</v>
      </c>
      <c r="Z627" s="4">
        <v>245</v>
      </c>
      <c r="AA627" s="4">
        <f>=ROUNDDOWN(9.42307692307692,0)</f>
      </c>
      <c r="AB627" s="5">
        <v>26</v>
      </c>
      <c r="AC627" s="2" t="s">
        <v>113</v>
      </c>
      <c r="AD627" s="4">
        <v>340</v>
      </c>
      <c r="AE627" s="4">
        <v>700</v>
      </c>
      <c r="AF627" s="6">
        <v>68</v>
      </c>
      <c r="AG627" s="6"/>
      <c r="AH627" s="7">
        <v>1</v>
      </c>
      <c r="AI627" s="4"/>
      <c r="AJ627" s="4">
        <f>=ROUNDDOWN({0},0)</f>
      </c>
      <c r="AK627" s="5"/>
      <c r="AL627" s="2" t="s">
        <v>206</v>
      </c>
      <c r="AM627" s="4"/>
      <c r="AN627" s="4"/>
      <c r="AO627" s="7"/>
      <c r="AP627" s="4"/>
      <c r="AQ627" s="8"/>
      <c r="AR627" s="4"/>
      <c r="AS627" s="8"/>
      <c r="AT627" s="7"/>
      <c r="AU627" s="7"/>
      <c r="AV627" s="4" t="s">
        <v>206</v>
      </c>
      <c r="AW627" s="8" t="s">
        <v>206</v>
      </c>
      <c r="AX627" s="4" t="s">
        <v>206</v>
      </c>
      <c r="AY627" s="8" t="s">
        <v>206</v>
      </c>
      <c r="AZ627" s="7" t="s">
        <v>206</v>
      </c>
      <c r="BA627" s="7" t="s">
        <v>206</v>
      </c>
      <c r="BB627" s="7"/>
      <c r="BC627" s="4" t="s">
        <v>206</v>
      </c>
      <c r="BD627" s="8" t="s">
        <v>206</v>
      </c>
      <c r="BE627" s="4" t="s">
        <v>206</v>
      </c>
      <c r="BF627" s="8" t="s">
        <v>206</v>
      </c>
      <c r="BG627" s="7" t="s">
        <v>206</v>
      </c>
      <c r="BH627" s="7" t="s">
        <v>206</v>
      </c>
      <c r="BI627" s="7"/>
      <c r="BJ627" s="4">
        <v>142</v>
      </c>
      <c r="BK627" s="8">
        <v>3176.53</v>
      </c>
      <c r="BL627" s="2" t="s">
        <v>4047</v>
      </c>
      <c r="BM627" s="7"/>
      <c r="BN627" s="7"/>
      <c r="BO627" s="4"/>
      <c r="BP627" s="8"/>
      <c r="BQ627" s="4"/>
      <c r="BR627" s="8"/>
      <c r="BS627" s="7"/>
      <c r="BT627" s="7"/>
      <c r="BU627" s="2" t="s">
        <v>4048</v>
      </c>
      <c r="BV627" s="2" t="s">
        <v>206</v>
      </c>
      <c r="BW627" s="2" t="s">
        <v>206</v>
      </c>
      <c r="BX627" s="2" t="s">
        <v>214</v>
      </c>
      <c r="BY627" s="2" t="s">
        <v>215</v>
      </c>
      <c r="BZ627" s="2" t="s">
        <v>203</v>
      </c>
      <c r="CA627" s="2" t="s">
        <v>3413</v>
      </c>
      <c r="CB627" s="2" t="s">
        <v>3726</v>
      </c>
      <c r="CC627" s="2" t="s">
        <v>218</v>
      </c>
      <c r="CD627" s="2" t="s">
        <v>206</v>
      </c>
      <c r="CE627" s="4">
        <v>245</v>
      </c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>
        <v>340</v>
      </c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>
        <v>200</v>
      </c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>
        <v>160</v>
      </c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</row>
    <row r="628">
      <c r="A628" s="2" t="s">
        <v>4049</v>
      </c>
      <c r="B628" s="2" t="s">
        <v>613</v>
      </c>
      <c r="C628" s="2" t="s">
        <v>1044</v>
      </c>
      <c r="D628" s="2" t="s">
        <v>628</v>
      </c>
      <c r="E628" s="2" t="s">
        <v>629</v>
      </c>
      <c r="F628" s="2" t="s">
        <v>4039</v>
      </c>
      <c r="G628" s="2" t="s">
        <v>4040</v>
      </c>
      <c r="H628" s="2" t="s">
        <v>4041</v>
      </c>
      <c r="I628" s="2" t="s">
        <v>4042</v>
      </c>
      <c r="J628" s="2" t="s">
        <v>631</v>
      </c>
      <c r="K628" s="2" t="s">
        <v>1049</v>
      </c>
      <c r="L628" s="3">
        <v>16.8</v>
      </c>
      <c r="M628" s="3">
        <v>17.64</v>
      </c>
      <c r="N628" s="3">
        <v>39.99</v>
      </c>
      <c r="O628" s="2" t="s">
        <v>203</v>
      </c>
      <c r="P628" s="2" t="s">
        <v>204</v>
      </c>
      <c r="Q628" s="2" t="s">
        <v>205</v>
      </c>
      <c r="R628" s="2" t="s">
        <v>206</v>
      </c>
      <c r="S628" s="2" t="s">
        <v>206</v>
      </c>
      <c r="T628" s="2" t="s">
        <v>206</v>
      </c>
      <c r="U628" s="2" t="s">
        <v>206</v>
      </c>
      <c r="V628" s="2" t="s">
        <v>2811</v>
      </c>
      <c r="W628" s="2" t="s">
        <v>4050</v>
      </c>
      <c r="X628" s="2" t="s">
        <v>1051</v>
      </c>
      <c r="Y628" s="2" t="s">
        <v>2479</v>
      </c>
      <c r="Z628" s="4">
        <v>247</v>
      </c>
      <c r="AA628" s="4">
        <f>=ROUNDDOWN(17.6428571428571,0)</f>
      </c>
      <c r="AB628" s="5">
        <v>14</v>
      </c>
      <c r="AC628" s="2" t="s">
        <v>318</v>
      </c>
      <c r="AD628" s="4">
        <v>52</v>
      </c>
      <c r="AE628" s="4">
        <v>284</v>
      </c>
      <c r="AF628" s="6">
        <v>68</v>
      </c>
      <c r="AG628" s="6"/>
      <c r="AH628" s="7">
        <v>1</v>
      </c>
      <c r="AI628" s="4"/>
      <c r="AJ628" s="4">
        <f>=ROUNDDOWN({0},0)</f>
      </c>
      <c r="AK628" s="5"/>
      <c r="AL628" s="2" t="s">
        <v>206</v>
      </c>
      <c r="AM628" s="4"/>
      <c r="AN628" s="4"/>
      <c r="AO628" s="7"/>
      <c r="AP628" s="4"/>
      <c r="AQ628" s="8"/>
      <c r="AR628" s="4"/>
      <c r="AS628" s="8"/>
      <c r="AT628" s="7"/>
      <c r="AU628" s="7"/>
      <c r="AV628" s="4" t="s">
        <v>206</v>
      </c>
      <c r="AW628" s="8" t="s">
        <v>206</v>
      </c>
      <c r="AX628" s="4" t="s">
        <v>206</v>
      </c>
      <c r="AY628" s="8" t="s">
        <v>206</v>
      </c>
      <c r="AZ628" s="7" t="s">
        <v>206</v>
      </c>
      <c r="BA628" s="7" t="s">
        <v>206</v>
      </c>
      <c r="BB628" s="7"/>
      <c r="BC628" s="4" t="s">
        <v>206</v>
      </c>
      <c r="BD628" s="8" t="s">
        <v>206</v>
      </c>
      <c r="BE628" s="4" t="s">
        <v>206</v>
      </c>
      <c r="BF628" s="8" t="s">
        <v>206</v>
      </c>
      <c r="BG628" s="7" t="s">
        <v>206</v>
      </c>
      <c r="BH628" s="7" t="s">
        <v>206</v>
      </c>
      <c r="BI628" s="7"/>
      <c r="BJ628" s="4">
        <v>92</v>
      </c>
      <c r="BK628" s="8">
        <v>1555.44</v>
      </c>
      <c r="BL628" s="2" t="s">
        <v>4051</v>
      </c>
      <c r="BM628" s="7"/>
      <c r="BN628" s="7"/>
      <c r="BO628" s="4"/>
      <c r="BP628" s="8"/>
      <c r="BQ628" s="4"/>
      <c r="BR628" s="8"/>
      <c r="BS628" s="7"/>
      <c r="BT628" s="7"/>
      <c r="BU628" s="2" t="s">
        <v>4052</v>
      </c>
      <c r="BV628" s="2" t="s">
        <v>206</v>
      </c>
      <c r="BW628" s="2" t="s">
        <v>206</v>
      </c>
      <c r="BX628" s="2" t="s">
        <v>214</v>
      </c>
      <c r="BY628" s="2" t="s">
        <v>215</v>
      </c>
      <c r="BZ628" s="2" t="s">
        <v>203</v>
      </c>
      <c r="CA628" s="2" t="s">
        <v>3413</v>
      </c>
      <c r="CB628" s="2" t="s">
        <v>4053</v>
      </c>
      <c r="CC628" s="2" t="s">
        <v>218</v>
      </c>
      <c r="CD628" s="2" t="s">
        <v>206</v>
      </c>
      <c r="CE628" s="4">
        <v>247</v>
      </c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>
        <v>52</v>
      </c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  <c r="FW628" s="4"/>
      <c r="FX628" s="4"/>
      <c r="FY628" s="4"/>
      <c r="FZ628" s="4"/>
      <c r="GA628" s="4">
        <v>232</v>
      </c>
      <c r="GB628" s="4"/>
      <c r="GC628" s="4"/>
      <c r="GD628" s="4"/>
      <c r="GE628" s="4"/>
      <c r="GF628" s="4"/>
    </row>
    <row r="629">
      <c r="A629" s="2" t="s">
        <v>4054</v>
      </c>
      <c r="B629" s="2" t="s">
        <v>613</v>
      </c>
      <c r="C629" s="2" t="s">
        <v>1044</v>
      </c>
      <c r="D629" s="2" t="s">
        <v>628</v>
      </c>
      <c r="E629" s="2" t="s">
        <v>629</v>
      </c>
      <c r="F629" s="2" t="s">
        <v>4039</v>
      </c>
      <c r="G629" s="2" t="s">
        <v>4040</v>
      </c>
      <c r="H629" s="2" t="s">
        <v>4041</v>
      </c>
      <c r="I629" s="2" t="s">
        <v>4042</v>
      </c>
      <c r="J629" s="2" t="s">
        <v>731</v>
      </c>
      <c r="K629" s="2" t="s">
        <v>1049</v>
      </c>
      <c r="L629" s="3">
        <v>18</v>
      </c>
      <c r="M629" s="3">
        <v>18.9</v>
      </c>
      <c r="N629" s="3">
        <v>44.99</v>
      </c>
      <c r="O629" s="2" t="s">
        <v>203</v>
      </c>
      <c r="P629" s="2" t="s">
        <v>204</v>
      </c>
      <c r="Q629" s="2" t="s">
        <v>205</v>
      </c>
      <c r="R629" s="2" t="s">
        <v>206</v>
      </c>
      <c r="S629" s="2" t="s">
        <v>206</v>
      </c>
      <c r="T629" s="2" t="s">
        <v>206</v>
      </c>
      <c r="U629" s="2" t="s">
        <v>206</v>
      </c>
      <c r="V629" s="2" t="s">
        <v>2811</v>
      </c>
      <c r="W629" s="2" t="s">
        <v>914</v>
      </c>
      <c r="X629" s="2" t="s">
        <v>1051</v>
      </c>
      <c r="Y629" s="2" t="s">
        <v>2479</v>
      </c>
      <c r="Z629" s="4">
        <v>426</v>
      </c>
      <c r="AA629" s="4">
        <f>=ROUNDDOWN(53.25,0)</f>
      </c>
      <c r="AB629" s="5">
        <v>8</v>
      </c>
      <c r="AC629" s="2" t="s">
        <v>206</v>
      </c>
      <c r="AD629" s="4"/>
      <c r="AE629" s="4"/>
      <c r="AF629" s="6">
        <v>68</v>
      </c>
      <c r="AG629" s="6"/>
      <c r="AH629" s="7">
        <v>1</v>
      </c>
      <c r="AI629" s="4"/>
      <c r="AJ629" s="4">
        <f>=ROUNDDOWN({0},0)</f>
      </c>
      <c r="AK629" s="5"/>
      <c r="AL629" s="2" t="s">
        <v>206</v>
      </c>
      <c r="AM629" s="4"/>
      <c r="AN629" s="4"/>
      <c r="AO629" s="7"/>
      <c r="AP629" s="4"/>
      <c r="AQ629" s="8"/>
      <c r="AR629" s="4"/>
      <c r="AS629" s="8"/>
      <c r="AT629" s="7"/>
      <c r="AU629" s="7"/>
      <c r="AV629" s="4" t="s">
        <v>206</v>
      </c>
      <c r="AW629" s="8" t="s">
        <v>206</v>
      </c>
      <c r="AX629" s="4" t="s">
        <v>206</v>
      </c>
      <c r="AY629" s="8" t="s">
        <v>206</v>
      </c>
      <c r="AZ629" s="7" t="s">
        <v>206</v>
      </c>
      <c r="BA629" s="7" t="s">
        <v>206</v>
      </c>
      <c r="BB629" s="7"/>
      <c r="BC629" s="4" t="s">
        <v>206</v>
      </c>
      <c r="BD629" s="8" t="s">
        <v>206</v>
      </c>
      <c r="BE629" s="4" t="s">
        <v>206</v>
      </c>
      <c r="BF629" s="8" t="s">
        <v>206</v>
      </c>
      <c r="BG629" s="7" t="s">
        <v>206</v>
      </c>
      <c r="BH629" s="7" t="s">
        <v>206</v>
      </c>
      <c r="BI629" s="7"/>
      <c r="BJ629" s="4">
        <v>17</v>
      </c>
      <c r="BK629" s="8">
        <v>368.47</v>
      </c>
      <c r="BL629" s="2" t="s">
        <v>4055</v>
      </c>
      <c r="BM629" s="7"/>
      <c r="BN629" s="7"/>
      <c r="BO629" s="4"/>
      <c r="BP629" s="8"/>
      <c r="BQ629" s="4"/>
      <c r="BR629" s="8"/>
      <c r="BS629" s="7"/>
      <c r="BT629" s="7"/>
      <c r="BU629" s="2" t="s">
        <v>4056</v>
      </c>
      <c r="BV629" s="2" t="s">
        <v>206</v>
      </c>
      <c r="BW629" s="2" t="s">
        <v>206</v>
      </c>
      <c r="BX629" s="2" t="s">
        <v>214</v>
      </c>
      <c r="BY629" s="2" t="s">
        <v>215</v>
      </c>
      <c r="BZ629" s="2" t="s">
        <v>203</v>
      </c>
      <c r="CA629" s="2" t="s">
        <v>3413</v>
      </c>
      <c r="CB629" s="2" t="s">
        <v>3690</v>
      </c>
      <c r="CC629" s="2" t="s">
        <v>218</v>
      </c>
      <c r="CD629" s="2" t="s">
        <v>206</v>
      </c>
      <c r="CE629" s="4">
        <v>426</v>
      </c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  <c r="GE629" s="4"/>
      <c r="GF629" s="4"/>
    </row>
    <row r="630">
      <c r="A630" s="2" t="s">
        <v>4057</v>
      </c>
      <c r="B630" s="2" t="s">
        <v>613</v>
      </c>
      <c r="C630" s="2" t="s">
        <v>1044</v>
      </c>
      <c r="D630" s="2" t="s">
        <v>628</v>
      </c>
      <c r="E630" s="2" t="s">
        <v>629</v>
      </c>
      <c r="F630" s="2" t="s">
        <v>4039</v>
      </c>
      <c r="G630" s="2" t="s">
        <v>4040</v>
      </c>
      <c r="H630" s="2" t="s">
        <v>4041</v>
      </c>
      <c r="I630" s="2" t="s">
        <v>4042</v>
      </c>
      <c r="J630" s="2" t="s">
        <v>731</v>
      </c>
      <c r="K630" s="2" t="s">
        <v>1126</v>
      </c>
      <c r="L630" s="3">
        <v>18</v>
      </c>
      <c r="M630" s="3">
        <v>18.9</v>
      </c>
      <c r="N630" s="3">
        <v>44.99</v>
      </c>
      <c r="O630" s="2" t="s">
        <v>203</v>
      </c>
      <c r="P630" s="2" t="s">
        <v>204</v>
      </c>
      <c r="Q630" s="2" t="s">
        <v>205</v>
      </c>
      <c r="R630" s="2" t="s">
        <v>206</v>
      </c>
      <c r="S630" s="2" t="s">
        <v>206</v>
      </c>
      <c r="T630" s="2" t="s">
        <v>206</v>
      </c>
      <c r="U630" s="2" t="s">
        <v>206</v>
      </c>
      <c r="V630" s="2" t="s">
        <v>2811</v>
      </c>
      <c r="W630" s="2" t="s">
        <v>914</v>
      </c>
      <c r="X630" s="2" t="s">
        <v>1051</v>
      </c>
      <c r="Y630" s="2" t="s">
        <v>2479</v>
      </c>
      <c r="Z630" s="4">
        <v>366</v>
      </c>
      <c r="AA630" s="4">
        <f>=ROUNDDOWN(22.875,0)</f>
      </c>
      <c r="AB630" s="5">
        <v>16</v>
      </c>
      <c r="AC630" s="2" t="s">
        <v>2250</v>
      </c>
      <c r="AD630" s="4">
        <v>168</v>
      </c>
      <c r="AE630" s="4">
        <v>168</v>
      </c>
      <c r="AF630" s="6">
        <v>68</v>
      </c>
      <c r="AG630" s="6"/>
      <c r="AH630" s="7">
        <v>1</v>
      </c>
      <c r="AI630" s="4"/>
      <c r="AJ630" s="4">
        <f>=ROUNDDOWN({0},0)</f>
      </c>
      <c r="AK630" s="5"/>
      <c r="AL630" s="2" t="s">
        <v>206</v>
      </c>
      <c r="AM630" s="4"/>
      <c r="AN630" s="4"/>
      <c r="AO630" s="7"/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 t="s">
        <v>206</v>
      </c>
      <c r="BD630" s="8" t="s">
        <v>206</v>
      </c>
      <c r="BE630" s="4" t="s">
        <v>206</v>
      </c>
      <c r="BF630" s="8" t="s">
        <v>206</v>
      </c>
      <c r="BG630" s="7" t="s">
        <v>206</v>
      </c>
      <c r="BH630" s="7" t="s">
        <v>206</v>
      </c>
      <c r="BI630" s="7"/>
      <c r="BJ630" s="4">
        <v>85</v>
      </c>
      <c r="BK630" s="8">
        <v>1609.55</v>
      </c>
      <c r="BL630" s="2" t="s">
        <v>4058</v>
      </c>
      <c r="BM630" s="7"/>
      <c r="BN630" s="7"/>
      <c r="BO630" s="4"/>
      <c r="BP630" s="8"/>
      <c r="BQ630" s="4"/>
      <c r="BR630" s="8"/>
      <c r="BS630" s="7"/>
      <c r="BT630" s="7"/>
      <c r="BU630" s="2" t="s">
        <v>4059</v>
      </c>
      <c r="BV630" s="2" t="s">
        <v>206</v>
      </c>
      <c r="BW630" s="2" t="s">
        <v>206</v>
      </c>
      <c r="BX630" s="2" t="s">
        <v>214</v>
      </c>
      <c r="BY630" s="2" t="s">
        <v>215</v>
      </c>
      <c r="BZ630" s="2" t="s">
        <v>203</v>
      </c>
      <c r="CA630" s="2" t="s">
        <v>3413</v>
      </c>
      <c r="CB630" s="2" t="s">
        <v>2087</v>
      </c>
      <c r="CC630" s="2" t="s">
        <v>218</v>
      </c>
      <c r="CD630" s="2" t="s">
        <v>206</v>
      </c>
      <c r="CE630" s="4">
        <v>366</v>
      </c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>
        <v>168</v>
      </c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</row>
    <row r="631">
      <c r="A631" s="2" t="s">
        <v>4060</v>
      </c>
      <c r="B631" s="2" t="s">
        <v>461</v>
      </c>
      <c r="C631" s="2" t="s">
        <v>462</v>
      </c>
      <c r="D631" s="2" t="s">
        <v>4061</v>
      </c>
      <c r="E631" s="2" t="s">
        <v>4062</v>
      </c>
      <c r="F631" s="2" t="s">
        <v>4063</v>
      </c>
      <c r="G631" s="2" t="s">
        <v>4063</v>
      </c>
      <c r="H631" s="2" t="s">
        <v>4063</v>
      </c>
      <c r="I631" s="2" t="s">
        <v>4064</v>
      </c>
      <c r="J631" s="2" t="s">
        <v>4065</v>
      </c>
      <c r="K631" s="2" t="s">
        <v>3711</v>
      </c>
      <c r="L631" s="3">
        <v>166.5</v>
      </c>
      <c r="M631" s="3">
        <v>174.83</v>
      </c>
      <c r="N631" s="3">
        <v>349</v>
      </c>
      <c r="O631" s="2" t="s">
        <v>203</v>
      </c>
      <c r="P631" s="2" t="s">
        <v>467</v>
      </c>
      <c r="Q631" s="2" t="s">
        <v>205</v>
      </c>
      <c r="R631" s="2" t="s">
        <v>206</v>
      </c>
      <c r="S631" s="2" t="s">
        <v>206</v>
      </c>
      <c r="T631" s="2" t="s">
        <v>206</v>
      </c>
      <c r="U631" s="2" t="s">
        <v>437</v>
      </c>
      <c r="V631" s="2" t="s">
        <v>468</v>
      </c>
      <c r="W631" s="2" t="s">
        <v>439</v>
      </c>
      <c r="X631" s="2" t="s">
        <v>210</v>
      </c>
      <c r="Y631" s="2" t="s">
        <v>4066</v>
      </c>
      <c r="Z631" s="4">
        <v>49</v>
      </c>
      <c r="AA631" s="4">
        <f>=ROUNDDOWN(70,0)</f>
      </c>
      <c r="AB631" s="5">
        <v>0.7</v>
      </c>
      <c r="AC631" s="2" t="s">
        <v>117</v>
      </c>
      <c r="AD631" s="4">
        <v>20</v>
      </c>
      <c r="AE631" s="4">
        <v>20</v>
      </c>
      <c r="AF631" s="6">
        <v>76</v>
      </c>
      <c r="AG631" s="6"/>
      <c r="AH631" s="7">
        <v>1</v>
      </c>
      <c r="AI631" s="4"/>
      <c r="AJ631" s="4">
        <f>=ROUNDDOWN({0},0)</f>
      </c>
      <c r="AK631" s="5"/>
      <c r="AL631" s="2" t="s">
        <v>206</v>
      </c>
      <c r="AM631" s="4"/>
      <c r="AN631" s="4"/>
      <c r="AO631" s="7"/>
      <c r="AP631" s="4"/>
      <c r="AQ631" s="8"/>
      <c r="AR631" s="4"/>
      <c r="AS631" s="8"/>
      <c r="AT631" s="7"/>
      <c r="AU631" s="7"/>
      <c r="AV631" s="4" t="s">
        <v>206</v>
      </c>
      <c r="AW631" s="8" t="s">
        <v>206</v>
      </c>
      <c r="AX631" s="4" t="s">
        <v>206</v>
      </c>
      <c r="AY631" s="8" t="s">
        <v>206</v>
      </c>
      <c r="AZ631" s="7" t="s">
        <v>206</v>
      </c>
      <c r="BA631" s="7" t="s">
        <v>206</v>
      </c>
      <c r="BB631" s="7"/>
      <c r="BC631" s="4" t="s">
        <v>206</v>
      </c>
      <c r="BD631" s="8" t="s">
        <v>206</v>
      </c>
      <c r="BE631" s="4" t="s">
        <v>206</v>
      </c>
      <c r="BF631" s="8" t="s">
        <v>206</v>
      </c>
      <c r="BG631" s="7" t="s">
        <v>206</v>
      </c>
      <c r="BH631" s="7" t="s">
        <v>206</v>
      </c>
      <c r="BI631" s="7"/>
      <c r="BJ631" s="4">
        <v>4</v>
      </c>
      <c r="BK631" s="8">
        <v>664.78</v>
      </c>
      <c r="BL631" s="2" t="s">
        <v>795</v>
      </c>
      <c r="BM631" s="7"/>
      <c r="BN631" s="7"/>
      <c r="BO631" s="4"/>
      <c r="BP631" s="8"/>
      <c r="BQ631" s="4"/>
      <c r="BR631" s="8"/>
      <c r="BS631" s="7"/>
      <c r="BT631" s="7"/>
      <c r="BU631" s="2" t="s">
        <v>4067</v>
      </c>
      <c r="BV631" s="2" t="s">
        <v>206</v>
      </c>
      <c r="BW631" s="2" t="s">
        <v>206</v>
      </c>
      <c r="BX631" s="2" t="s">
        <v>214</v>
      </c>
      <c r="BY631" s="2" t="s">
        <v>215</v>
      </c>
      <c r="BZ631" s="2" t="s">
        <v>203</v>
      </c>
      <c r="CA631" s="2" t="s">
        <v>4037</v>
      </c>
      <c r="CB631" s="2" t="s">
        <v>968</v>
      </c>
      <c r="CC631" s="2" t="s">
        <v>218</v>
      </c>
      <c r="CD631" s="2" t="s">
        <v>206</v>
      </c>
      <c r="CE631" s="4"/>
      <c r="CF631" s="4">
        <v>49</v>
      </c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>
        <v>20</v>
      </c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</row>
    <row r="632">
      <c r="A632" s="2" t="s">
        <v>4068</v>
      </c>
      <c r="B632" s="2" t="s">
        <v>461</v>
      </c>
      <c r="C632" s="2" t="s">
        <v>462</v>
      </c>
      <c r="D632" s="2" t="s">
        <v>4061</v>
      </c>
      <c r="E632" s="2" t="s">
        <v>4062</v>
      </c>
      <c r="F632" s="2" t="s">
        <v>4063</v>
      </c>
      <c r="G632" s="2" t="s">
        <v>4063</v>
      </c>
      <c r="H632" s="2" t="s">
        <v>4063</v>
      </c>
      <c r="I632" s="2" t="s">
        <v>4069</v>
      </c>
      <c r="J632" s="2" t="s">
        <v>4070</v>
      </c>
      <c r="K632" s="2" t="s">
        <v>3711</v>
      </c>
      <c r="L632" s="3">
        <v>118.8</v>
      </c>
      <c r="M632" s="3">
        <v>124.74</v>
      </c>
      <c r="N632" s="3">
        <v>249</v>
      </c>
      <c r="O632" s="2" t="s">
        <v>203</v>
      </c>
      <c r="P632" s="2" t="s">
        <v>467</v>
      </c>
      <c r="Q632" s="2" t="s">
        <v>205</v>
      </c>
      <c r="R632" s="2" t="s">
        <v>206</v>
      </c>
      <c r="S632" s="2" t="s">
        <v>206</v>
      </c>
      <c r="T632" s="2" t="s">
        <v>206</v>
      </c>
      <c r="U632" s="2" t="s">
        <v>437</v>
      </c>
      <c r="V632" s="2" t="s">
        <v>468</v>
      </c>
      <c r="W632" s="2" t="s">
        <v>439</v>
      </c>
      <c r="X632" s="2" t="s">
        <v>210</v>
      </c>
      <c r="Y632" s="2" t="s">
        <v>4066</v>
      </c>
      <c r="Z632" s="4">
        <v>7</v>
      </c>
      <c r="AA632" s="4">
        <f>=ROUNDDOWN(23.3333333333333,0)</f>
      </c>
      <c r="AB632" s="5">
        <v>0.3</v>
      </c>
      <c r="AC632" s="2" t="s">
        <v>117</v>
      </c>
      <c r="AD632" s="4">
        <v>30</v>
      </c>
      <c r="AE632" s="4">
        <v>30</v>
      </c>
      <c r="AF632" s="6">
        <v>76</v>
      </c>
      <c r="AG632" s="6"/>
      <c r="AH632" s="7">
        <v>1</v>
      </c>
      <c r="AI632" s="4"/>
      <c r="AJ632" s="4">
        <f>=ROUNDDOWN({0},0)</f>
      </c>
      <c r="AK632" s="5"/>
      <c r="AL632" s="2" t="s">
        <v>206</v>
      </c>
      <c r="AM632" s="4"/>
      <c r="AN632" s="4"/>
      <c r="AO632" s="7"/>
      <c r="AP632" s="4"/>
      <c r="AQ632" s="8"/>
      <c r="AR632" s="4"/>
      <c r="AS632" s="8"/>
      <c r="AT632" s="7"/>
      <c r="AU632" s="7"/>
      <c r="AV632" s="4" t="s">
        <v>206</v>
      </c>
      <c r="AW632" s="8" t="s">
        <v>206</v>
      </c>
      <c r="AX632" s="4" t="s">
        <v>206</v>
      </c>
      <c r="AY632" s="8" t="s">
        <v>206</v>
      </c>
      <c r="AZ632" s="7" t="s">
        <v>206</v>
      </c>
      <c r="BA632" s="7" t="s">
        <v>206</v>
      </c>
      <c r="BB632" s="7"/>
      <c r="BC632" s="4" t="s">
        <v>206</v>
      </c>
      <c r="BD632" s="8" t="s">
        <v>206</v>
      </c>
      <c r="BE632" s="4" t="s">
        <v>206</v>
      </c>
      <c r="BF632" s="8" t="s">
        <v>206</v>
      </c>
      <c r="BG632" s="7" t="s">
        <v>206</v>
      </c>
      <c r="BH632" s="7" t="s">
        <v>206</v>
      </c>
      <c r="BI632" s="7"/>
      <c r="BJ632" s="4">
        <v>1</v>
      </c>
      <c r="BK632" s="8">
        <v>128.48</v>
      </c>
      <c r="BL632" s="2" t="s">
        <v>2558</v>
      </c>
      <c r="BM632" s="7"/>
      <c r="BN632" s="7"/>
      <c r="BO632" s="4"/>
      <c r="BP632" s="8"/>
      <c r="BQ632" s="4"/>
      <c r="BR632" s="8"/>
      <c r="BS632" s="7"/>
      <c r="BT632" s="7"/>
      <c r="BU632" s="2" t="s">
        <v>4071</v>
      </c>
      <c r="BV632" s="2" t="s">
        <v>206</v>
      </c>
      <c r="BW632" s="2" t="s">
        <v>206</v>
      </c>
      <c r="BX632" s="2" t="s">
        <v>214</v>
      </c>
      <c r="BY632" s="2" t="s">
        <v>215</v>
      </c>
      <c r="BZ632" s="2" t="s">
        <v>203</v>
      </c>
      <c r="CA632" s="2" t="s">
        <v>4037</v>
      </c>
      <c r="CB632" s="2" t="s">
        <v>968</v>
      </c>
      <c r="CC632" s="2" t="s">
        <v>218</v>
      </c>
      <c r="CD632" s="2" t="s">
        <v>206</v>
      </c>
      <c r="CE632" s="4"/>
      <c r="CF632" s="4">
        <v>7</v>
      </c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>
        <v>30</v>
      </c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  <c r="FU632" s="4"/>
      <c r="FV632" s="4"/>
      <c r="FW632" s="4"/>
      <c r="FX632" s="4"/>
      <c r="FY632" s="4"/>
      <c r="FZ632" s="4"/>
      <c r="GA632" s="4"/>
      <c r="GB632" s="4"/>
      <c r="GC632" s="4"/>
      <c r="GD632" s="4"/>
      <c r="GE632" s="4"/>
      <c r="GF632" s="4"/>
    </row>
    <row r="633">
      <c r="A633" s="2" t="s">
        <v>4072</v>
      </c>
      <c r="B633" s="2" t="s">
        <v>461</v>
      </c>
      <c r="C633" s="2" t="s">
        <v>462</v>
      </c>
      <c r="D633" s="2" t="s">
        <v>4061</v>
      </c>
      <c r="E633" s="2" t="s">
        <v>4062</v>
      </c>
      <c r="F633" s="2" t="s">
        <v>4063</v>
      </c>
      <c r="G633" s="2" t="s">
        <v>4063</v>
      </c>
      <c r="H633" s="2" t="s">
        <v>4063</v>
      </c>
      <c r="I633" s="2" t="s">
        <v>4073</v>
      </c>
      <c r="J633" s="2" t="s">
        <v>1206</v>
      </c>
      <c r="K633" s="2" t="s">
        <v>4074</v>
      </c>
      <c r="L633" s="3">
        <v>157.5</v>
      </c>
      <c r="M633" s="3">
        <v>165.38</v>
      </c>
      <c r="N633" s="3">
        <v>329</v>
      </c>
      <c r="O633" s="2" t="s">
        <v>203</v>
      </c>
      <c r="P633" s="2" t="s">
        <v>467</v>
      </c>
      <c r="Q633" s="2" t="s">
        <v>205</v>
      </c>
      <c r="R633" s="2" t="s">
        <v>206</v>
      </c>
      <c r="S633" s="2" t="s">
        <v>206</v>
      </c>
      <c r="T633" s="2" t="s">
        <v>206</v>
      </c>
      <c r="U633" s="2" t="s">
        <v>437</v>
      </c>
      <c r="V633" s="2" t="s">
        <v>468</v>
      </c>
      <c r="W633" s="2" t="s">
        <v>439</v>
      </c>
      <c r="X633" s="2" t="s">
        <v>210</v>
      </c>
      <c r="Y633" s="2" t="s">
        <v>4075</v>
      </c>
      <c r="Z633" s="4">
        <v>86</v>
      </c>
      <c r="AA633" s="4">
        <f>=ROUNDDOWN(95.5555555555556,0)</f>
      </c>
      <c r="AB633" s="5">
        <v>0.9</v>
      </c>
      <c r="AC633" s="2" t="s">
        <v>117</v>
      </c>
      <c r="AD633" s="4">
        <v>21</v>
      </c>
      <c r="AE633" s="4">
        <v>21</v>
      </c>
      <c r="AF633" s="6">
        <v>76</v>
      </c>
      <c r="AG633" s="6"/>
      <c r="AH633" s="7">
        <v>1</v>
      </c>
      <c r="AI633" s="4"/>
      <c r="AJ633" s="4">
        <f>=ROUNDDOWN({0},0)</f>
      </c>
      <c r="AK633" s="5"/>
      <c r="AL633" s="2" t="s">
        <v>206</v>
      </c>
      <c r="AM633" s="4"/>
      <c r="AN633" s="4"/>
      <c r="AO633" s="7"/>
      <c r="AP633" s="4"/>
      <c r="AQ633" s="8"/>
      <c r="AR633" s="4"/>
      <c r="AS633" s="8"/>
      <c r="AT633" s="7"/>
      <c r="AU633" s="7"/>
      <c r="AV633" s="4" t="s">
        <v>206</v>
      </c>
      <c r="AW633" s="8" t="s">
        <v>206</v>
      </c>
      <c r="AX633" s="4" t="s">
        <v>206</v>
      </c>
      <c r="AY633" s="8" t="s">
        <v>206</v>
      </c>
      <c r="AZ633" s="7" t="s">
        <v>206</v>
      </c>
      <c r="BA633" s="7" t="s">
        <v>206</v>
      </c>
      <c r="BB633" s="7"/>
      <c r="BC633" s="4" t="s">
        <v>206</v>
      </c>
      <c r="BD633" s="8" t="s">
        <v>206</v>
      </c>
      <c r="BE633" s="4" t="s">
        <v>206</v>
      </c>
      <c r="BF633" s="8" t="s">
        <v>206</v>
      </c>
      <c r="BG633" s="7" t="s">
        <v>206</v>
      </c>
      <c r="BH633" s="7" t="s">
        <v>206</v>
      </c>
      <c r="BI633" s="7"/>
      <c r="BJ633" s="4">
        <v>8</v>
      </c>
      <c r="BK633" s="8">
        <v>1332.9</v>
      </c>
      <c r="BL633" s="2" t="s">
        <v>3444</v>
      </c>
      <c r="BM633" s="7"/>
      <c r="BN633" s="7"/>
      <c r="BO633" s="4"/>
      <c r="BP633" s="8"/>
      <c r="BQ633" s="4"/>
      <c r="BR633" s="8"/>
      <c r="BS633" s="7"/>
      <c r="BT633" s="7"/>
      <c r="BU633" s="2" t="s">
        <v>4076</v>
      </c>
      <c r="BV633" s="2" t="s">
        <v>206</v>
      </c>
      <c r="BW633" s="2" t="s">
        <v>206</v>
      </c>
      <c r="BX633" s="2" t="s">
        <v>214</v>
      </c>
      <c r="BY633" s="2" t="s">
        <v>215</v>
      </c>
      <c r="BZ633" s="2" t="s">
        <v>203</v>
      </c>
      <c r="CA633" s="2" t="s">
        <v>4012</v>
      </c>
      <c r="CB633" s="2" t="s">
        <v>3628</v>
      </c>
      <c r="CC633" s="2" t="s">
        <v>218</v>
      </c>
      <c r="CD633" s="2" t="s">
        <v>206</v>
      </c>
      <c r="CE633" s="4"/>
      <c r="CF633" s="4">
        <v>86</v>
      </c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>
        <v>21</v>
      </c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  <c r="FW633" s="4"/>
      <c r="FX633" s="4"/>
      <c r="FY633" s="4"/>
      <c r="FZ633" s="4"/>
      <c r="GA633" s="4"/>
      <c r="GB633" s="4"/>
      <c r="GC633" s="4"/>
      <c r="GD633" s="4"/>
      <c r="GE633" s="4"/>
      <c r="GF633" s="4"/>
    </row>
    <row r="634">
      <c r="A634" s="2" t="s">
        <v>4077</v>
      </c>
      <c r="B634" s="2" t="s">
        <v>461</v>
      </c>
      <c r="C634" s="2" t="s">
        <v>462</v>
      </c>
      <c r="D634" s="2" t="s">
        <v>4061</v>
      </c>
      <c r="E634" s="2" t="s">
        <v>4062</v>
      </c>
      <c r="F634" s="2" t="s">
        <v>4063</v>
      </c>
      <c r="G634" s="2" t="s">
        <v>4063</v>
      </c>
      <c r="H634" s="2" t="s">
        <v>4063</v>
      </c>
      <c r="I634" s="2" t="s">
        <v>4064</v>
      </c>
      <c r="J634" s="2" t="s">
        <v>4065</v>
      </c>
      <c r="K634" s="2" t="s">
        <v>4074</v>
      </c>
      <c r="L634" s="3">
        <v>166.5</v>
      </c>
      <c r="M634" s="3">
        <v>174.82</v>
      </c>
      <c r="N634" s="3">
        <v>349</v>
      </c>
      <c r="O634" s="2" t="s">
        <v>203</v>
      </c>
      <c r="P634" s="2" t="s">
        <v>467</v>
      </c>
      <c r="Q634" s="2" t="s">
        <v>205</v>
      </c>
      <c r="R634" s="2" t="s">
        <v>206</v>
      </c>
      <c r="S634" s="2" t="s">
        <v>206</v>
      </c>
      <c r="T634" s="2" t="s">
        <v>206</v>
      </c>
      <c r="U634" s="2" t="s">
        <v>437</v>
      </c>
      <c r="V634" s="2" t="s">
        <v>468</v>
      </c>
      <c r="W634" s="2" t="s">
        <v>439</v>
      </c>
      <c r="X634" s="2" t="s">
        <v>210</v>
      </c>
      <c r="Y634" s="2" t="s">
        <v>4075</v>
      </c>
      <c r="Z634" s="4">
        <v>82</v>
      </c>
      <c r="AA634" s="4">
        <f>=ROUNDDOWN(164,0)</f>
      </c>
      <c r="AB634" s="5">
        <v>0.5</v>
      </c>
      <c r="AC634" s="2" t="s">
        <v>206</v>
      </c>
      <c r="AD634" s="4"/>
      <c r="AE634" s="4"/>
      <c r="AF634" s="6">
        <v>76</v>
      </c>
      <c r="AG634" s="6"/>
      <c r="AH634" s="7">
        <v>1</v>
      </c>
      <c r="AI634" s="4"/>
      <c r="AJ634" s="4">
        <f>=ROUNDDOWN({0},0)</f>
      </c>
      <c r="AK634" s="5"/>
      <c r="AL634" s="2" t="s">
        <v>206</v>
      </c>
      <c r="AM634" s="4"/>
      <c r="AN634" s="4"/>
      <c r="AO634" s="7"/>
      <c r="AP634" s="4"/>
      <c r="AQ634" s="8"/>
      <c r="AR634" s="4"/>
      <c r="AS634" s="8"/>
      <c r="AT634" s="7"/>
      <c r="AU634" s="7"/>
      <c r="AV634" s="4" t="s">
        <v>206</v>
      </c>
      <c r="AW634" s="8" t="s">
        <v>206</v>
      </c>
      <c r="AX634" s="4" t="s">
        <v>206</v>
      </c>
      <c r="AY634" s="8" t="s">
        <v>206</v>
      </c>
      <c r="AZ634" s="7" t="s">
        <v>206</v>
      </c>
      <c r="BA634" s="7" t="s">
        <v>206</v>
      </c>
      <c r="BB634" s="7"/>
      <c r="BC634" s="4" t="s">
        <v>206</v>
      </c>
      <c r="BD634" s="8" t="s">
        <v>206</v>
      </c>
      <c r="BE634" s="4" t="s">
        <v>206</v>
      </c>
      <c r="BF634" s="8" t="s">
        <v>206</v>
      </c>
      <c r="BG634" s="7" t="s">
        <v>206</v>
      </c>
      <c r="BH634" s="7" t="s">
        <v>206</v>
      </c>
      <c r="BI634" s="7"/>
      <c r="BJ634" s="4">
        <v>3</v>
      </c>
      <c r="BK634" s="8">
        <v>529.71</v>
      </c>
      <c r="BL634" s="2" t="s">
        <v>3444</v>
      </c>
      <c r="BM634" s="7"/>
      <c r="BN634" s="7"/>
      <c r="BO634" s="4"/>
      <c r="BP634" s="8"/>
      <c r="BQ634" s="4"/>
      <c r="BR634" s="8"/>
      <c r="BS634" s="7"/>
      <c r="BT634" s="7"/>
      <c r="BU634" s="2" t="s">
        <v>4078</v>
      </c>
      <c r="BV634" s="2" t="s">
        <v>206</v>
      </c>
      <c r="BW634" s="2" t="s">
        <v>206</v>
      </c>
      <c r="BX634" s="2" t="s">
        <v>214</v>
      </c>
      <c r="BY634" s="2" t="s">
        <v>215</v>
      </c>
      <c r="BZ634" s="2" t="s">
        <v>203</v>
      </c>
      <c r="CA634" s="2" t="s">
        <v>4012</v>
      </c>
      <c r="CB634" s="2" t="s">
        <v>4079</v>
      </c>
      <c r="CC634" s="2" t="s">
        <v>218</v>
      </c>
      <c r="CD634" s="2" t="s">
        <v>206</v>
      </c>
      <c r="CE634" s="4"/>
      <c r="CF634" s="4">
        <v>82</v>
      </c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  <c r="FW634" s="4"/>
      <c r="FX634" s="4"/>
      <c r="FY634" s="4"/>
      <c r="FZ634" s="4"/>
      <c r="GA634" s="4"/>
      <c r="GB634" s="4"/>
      <c r="GC634" s="4"/>
      <c r="GD634" s="4"/>
      <c r="GE634" s="4"/>
      <c r="GF634" s="4"/>
    </row>
    <row r="635">
      <c r="A635" s="2" t="s">
        <v>4080</v>
      </c>
      <c r="B635" s="2" t="s">
        <v>461</v>
      </c>
      <c r="C635" s="2" t="s">
        <v>462</v>
      </c>
      <c r="D635" s="2" t="s">
        <v>4061</v>
      </c>
      <c r="E635" s="2" t="s">
        <v>4062</v>
      </c>
      <c r="F635" s="2" t="s">
        <v>4063</v>
      </c>
      <c r="G635" s="2" t="s">
        <v>4063</v>
      </c>
      <c r="H635" s="2" t="s">
        <v>4063</v>
      </c>
      <c r="I635" s="2" t="s">
        <v>4069</v>
      </c>
      <c r="J635" s="2" t="s">
        <v>4070</v>
      </c>
      <c r="K635" s="2" t="s">
        <v>4074</v>
      </c>
      <c r="L635" s="3">
        <v>118.8</v>
      </c>
      <c r="M635" s="3">
        <v>124.74</v>
      </c>
      <c r="N635" s="3">
        <v>249</v>
      </c>
      <c r="O635" s="2" t="s">
        <v>203</v>
      </c>
      <c r="P635" s="2" t="s">
        <v>467</v>
      </c>
      <c r="Q635" s="2" t="s">
        <v>205</v>
      </c>
      <c r="R635" s="2" t="s">
        <v>206</v>
      </c>
      <c r="S635" s="2" t="s">
        <v>206</v>
      </c>
      <c r="T635" s="2" t="s">
        <v>206</v>
      </c>
      <c r="U635" s="2" t="s">
        <v>437</v>
      </c>
      <c r="V635" s="2" t="s">
        <v>468</v>
      </c>
      <c r="W635" s="2" t="s">
        <v>439</v>
      </c>
      <c r="X635" s="2" t="s">
        <v>210</v>
      </c>
      <c r="Y635" s="2" t="s">
        <v>4075</v>
      </c>
      <c r="Z635" s="4">
        <v>32</v>
      </c>
      <c r="AA635" s="4">
        <f>=ROUNDDOWN(64,0)</f>
      </c>
      <c r="AB635" s="5">
        <v>0.5</v>
      </c>
      <c r="AC635" s="2" t="s">
        <v>206</v>
      </c>
      <c r="AD635" s="4"/>
      <c r="AE635" s="4"/>
      <c r="AF635" s="6">
        <v>76</v>
      </c>
      <c r="AG635" s="6"/>
      <c r="AH635" s="7">
        <v>1</v>
      </c>
      <c r="AI635" s="4"/>
      <c r="AJ635" s="4">
        <f>=ROUNDDOWN({0},0)</f>
      </c>
      <c r="AK635" s="5"/>
      <c r="AL635" s="2" t="s">
        <v>206</v>
      </c>
      <c r="AM635" s="4"/>
      <c r="AN635" s="4"/>
      <c r="AO635" s="7"/>
      <c r="AP635" s="4"/>
      <c r="AQ635" s="8"/>
      <c r="AR635" s="4"/>
      <c r="AS635" s="8"/>
      <c r="AT635" s="7"/>
      <c r="AU635" s="7"/>
      <c r="AV635" s="4" t="s">
        <v>206</v>
      </c>
      <c r="AW635" s="8" t="s">
        <v>206</v>
      </c>
      <c r="AX635" s="4" t="s">
        <v>206</v>
      </c>
      <c r="AY635" s="8" t="s">
        <v>206</v>
      </c>
      <c r="AZ635" s="7" t="s">
        <v>206</v>
      </c>
      <c r="BA635" s="7" t="s">
        <v>206</v>
      </c>
      <c r="BB635" s="7"/>
      <c r="BC635" s="4" t="s">
        <v>206</v>
      </c>
      <c r="BD635" s="8" t="s">
        <v>206</v>
      </c>
      <c r="BE635" s="4" t="s">
        <v>206</v>
      </c>
      <c r="BF635" s="8" t="s">
        <v>206</v>
      </c>
      <c r="BG635" s="7" t="s">
        <v>206</v>
      </c>
      <c r="BH635" s="7" t="s">
        <v>206</v>
      </c>
      <c r="BI635" s="7"/>
      <c r="BJ635" s="4">
        <v>5</v>
      </c>
      <c r="BK635" s="8">
        <v>520.22</v>
      </c>
      <c r="BL635" s="2" t="s">
        <v>3444</v>
      </c>
      <c r="BM635" s="7"/>
      <c r="BN635" s="7"/>
      <c r="BO635" s="4"/>
      <c r="BP635" s="8"/>
      <c r="BQ635" s="4"/>
      <c r="BR635" s="8"/>
      <c r="BS635" s="7"/>
      <c r="BT635" s="7"/>
      <c r="BU635" s="2" t="s">
        <v>4081</v>
      </c>
      <c r="BV635" s="2" t="s">
        <v>206</v>
      </c>
      <c r="BW635" s="2" t="s">
        <v>206</v>
      </c>
      <c r="BX635" s="2" t="s">
        <v>214</v>
      </c>
      <c r="BY635" s="2" t="s">
        <v>215</v>
      </c>
      <c r="BZ635" s="2" t="s">
        <v>203</v>
      </c>
      <c r="CA635" s="2" t="s">
        <v>4012</v>
      </c>
      <c r="CB635" s="2" t="s">
        <v>4082</v>
      </c>
      <c r="CC635" s="2" t="s">
        <v>218</v>
      </c>
      <c r="CD635" s="2" t="s">
        <v>206</v>
      </c>
      <c r="CE635" s="4"/>
      <c r="CF635" s="4">
        <v>32</v>
      </c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  <c r="FU635" s="4"/>
      <c r="FV635" s="4"/>
      <c r="FW635" s="4"/>
      <c r="FX635" s="4"/>
      <c r="FY635" s="4"/>
      <c r="FZ635" s="4"/>
      <c r="GA635" s="4"/>
      <c r="GB635" s="4"/>
      <c r="GC635" s="4"/>
      <c r="GD635" s="4"/>
      <c r="GE635" s="4"/>
      <c r="GF635" s="4"/>
    </row>
    <row r="636">
      <c r="A636" s="2" t="s">
        <v>4083</v>
      </c>
      <c r="B636" s="2" t="s">
        <v>461</v>
      </c>
      <c r="C636" s="2" t="s">
        <v>287</v>
      </c>
      <c r="D636" s="2" t="s">
        <v>975</v>
      </c>
      <c r="E636" s="2" t="s">
        <v>976</v>
      </c>
      <c r="F636" s="2" t="s">
        <v>4084</v>
      </c>
      <c r="G636" s="2" t="s">
        <v>843</v>
      </c>
      <c r="H636" s="2" t="s">
        <v>4085</v>
      </c>
      <c r="I636" s="2" t="s">
        <v>4086</v>
      </c>
      <c r="J636" s="2" t="s">
        <v>434</v>
      </c>
      <c r="K636" s="2" t="s">
        <v>656</v>
      </c>
      <c r="L636" s="3">
        <v>180.5</v>
      </c>
      <c r="M636" s="3">
        <v>189.52</v>
      </c>
      <c r="N636" s="3">
        <v>379</v>
      </c>
      <c r="O636" s="2" t="s">
        <v>203</v>
      </c>
      <c r="P636" s="2" t="s">
        <v>204</v>
      </c>
      <c r="Q636" s="2" t="s">
        <v>205</v>
      </c>
      <c r="R636" s="2" t="s">
        <v>206</v>
      </c>
      <c r="S636" s="2" t="s">
        <v>4087</v>
      </c>
      <c r="T636" s="2" t="s">
        <v>206</v>
      </c>
      <c r="U636" s="2" t="s">
        <v>206</v>
      </c>
      <c r="V636" s="2" t="s">
        <v>958</v>
      </c>
      <c r="W636" s="2" t="s">
        <v>877</v>
      </c>
      <c r="X636" s="2" t="s">
        <v>539</v>
      </c>
      <c r="Y636" s="2" t="s">
        <v>4088</v>
      </c>
      <c r="Z636" s="4">
        <v>142</v>
      </c>
      <c r="AA636" s="4">
        <f>=ROUNDDOWN(23.6666666666667,0)</f>
      </c>
      <c r="AB636" s="5">
        <v>6</v>
      </c>
      <c r="AC636" s="2" t="s">
        <v>124</v>
      </c>
      <c r="AD636" s="4">
        <v>100</v>
      </c>
      <c r="AE636" s="4">
        <v>100</v>
      </c>
      <c r="AF636" s="6">
        <v>74</v>
      </c>
      <c r="AG636" s="6">
        <v>60</v>
      </c>
      <c r="AH636" s="7">
        <v>1</v>
      </c>
      <c r="AI636" s="4"/>
      <c r="AJ636" s="4">
        <f>=ROUNDDOWN({0},0)</f>
      </c>
      <c r="AK636" s="5"/>
      <c r="AL636" s="2" t="s">
        <v>206</v>
      </c>
      <c r="AM636" s="4"/>
      <c r="AN636" s="4"/>
      <c r="AO636" s="7"/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/>
      <c r="BD636" s="8"/>
      <c r="BE636" s="4"/>
      <c r="BF636" s="8"/>
      <c r="BG636" s="7"/>
      <c r="BH636" s="7"/>
      <c r="BI636" s="7"/>
      <c r="BJ636" s="4">
        <v>21</v>
      </c>
      <c r="BK636" s="8">
        <v>3734.6</v>
      </c>
      <c r="BL636" s="2" t="s">
        <v>4089</v>
      </c>
      <c r="BM636" s="7"/>
      <c r="BN636" s="7"/>
      <c r="BO636" s="4"/>
      <c r="BP636" s="8"/>
      <c r="BQ636" s="4"/>
      <c r="BR636" s="8"/>
      <c r="BS636" s="7"/>
      <c r="BT636" s="7"/>
      <c r="BU636" s="2" t="s">
        <v>4090</v>
      </c>
      <c r="BV636" s="2" t="s">
        <v>206</v>
      </c>
      <c r="BW636" s="2" t="s">
        <v>206</v>
      </c>
      <c r="BX636" s="2" t="s">
        <v>426</v>
      </c>
      <c r="BY636" s="2" t="s">
        <v>215</v>
      </c>
      <c r="BZ636" s="2" t="s">
        <v>203</v>
      </c>
      <c r="CA636" s="2" t="s">
        <v>4088</v>
      </c>
      <c r="CB636" s="2" t="s">
        <v>4091</v>
      </c>
      <c r="CC636" s="2" t="s">
        <v>218</v>
      </c>
      <c r="CD636" s="2" t="s">
        <v>206</v>
      </c>
      <c r="CE636" s="4"/>
      <c r="CF636" s="4">
        <v>142</v>
      </c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>
        <v>100</v>
      </c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  <c r="FU636" s="4"/>
      <c r="FV636" s="4"/>
      <c r="FW636" s="4"/>
      <c r="FX636" s="4"/>
      <c r="FY636" s="4"/>
      <c r="FZ636" s="4"/>
      <c r="GA636" s="4"/>
      <c r="GB636" s="4"/>
      <c r="GC636" s="4"/>
      <c r="GD636" s="4"/>
      <c r="GE636" s="4"/>
      <c r="GF636" s="4"/>
    </row>
    <row r="637">
      <c r="A637" s="2" t="s">
        <v>4092</v>
      </c>
      <c r="B637" s="2" t="s">
        <v>429</v>
      </c>
      <c r="C637" s="2" t="s">
        <v>287</v>
      </c>
      <c r="D637" s="2" t="s">
        <v>909</v>
      </c>
      <c r="E637" s="2" t="s">
        <v>431</v>
      </c>
      <c r="F637" s="2" t="s">
        <v>4093</v>
      </c>
      <c r="G637" s="2" t="s">
        <v>4093</v>
      </c>
      <c r="H637" s="2" t="s">
        <v>4093</v>
      </c>
      <c r="I637" s="2" t="s">
        <v>4094</v>
      </c>
      <c r="J637" s="2" t="s">
        <v>434</v>
      </c>
      <c r="K637" s="2" t="s">
        <v>4095</v>
      </c>
      <c r="L637" s="3">
        <v>52.38</v>
      </c>
      <c r="M637" s="3">
        <v>55</v>
      </c>
      <c r="N637" s="3">
        <v>109.99</v>
      </c>
      <c r="O637" s="2" t="s">
        <v>203</v>
      </c>
      <c r="P637" s="2" t="s">
        <v>467</v>
      </c>
      <c r="Q637" s="2" t="s">
        <v>205</v>
      </c>
      <c r="R637" s="2" t="s">
        <v>206</v>
      </c>
      <c r="S637" s="2" t="s">
        <v>206</v>
      </c>
      <c r="T637" s="2" t="s">
        <v>206</v>
      </c>
      <c r="U637" s="2" t="s">
        <v>437</v>
      </c>
      <c r="V637" s="2" t="s">
        <v>468</v>
      </c>
      <c r="W637" s="2" t="s">
        <v>901</v>
      </c>
      <c r="X637" s="2" t="s">
        <v>539</v>
      </c>
      <c r="Y637" s="2" t="s">
        <v>4096</v>
      </c>
      <c r="Z637" s="4">
        <v>48</v>
      </c>
      <c r="AA637" s="4">
        <f>=ROUNDDOWN(48,0)</f>
      </c>
      <c r="AB637" s="5">
        <v>1</v>
      </c>
      <c r="AC637" s="2" t="s">
        <v>206</v>
      </c>
      <c r="AD637" s="4"/>
      <c r="AE637" s="4"/>
      <c r="AF637" s="6">
        <v>63</v>
      </c>
      <c r="AG637" s="6"/>
      <c r="AH637" s="7">
        <v>1</v>
      </c>
      <c r="AI637" s="4"/>
      <c r="AJ637" s="4">
        <f>=ROUNDDOWN({0},0)</f>
      </c>
      <c r="AK637" s="5"/>
      <c r="AL637" s="2" t="s">
        <v>206</v>
      </c>
      <c r="AM637" s="4"/>
      <c r="AN637" s="4"/>
      <c r="AO637" s="7"/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/>
      <c r="BD637" s="8"/>
      <c r="BE637" s="4"/>
      <c r="BF637" s="8"/>
      <c r="BG637" s="7"/>
      <c r="BH637" s="7"/>
      <c r="BI637" s="7"/>
      <c r="BJ637" s="4">
        <v>7</v>
      </c>
      <c r="BK637" s="8">
        <v>416.89</v>
      </c>
      <c r="BL637" s="2" t="s">
        <v>1308</v>
      </c>
      <c r="BM637" s="7"/>
      <c r="BN637" s="7"/>
      <c r="BO637" s="4"/>
      <c r="BP637" s="8"/>
      <c r="BQ637" s="4"/>
      <c r="BR637" s="8"/>
      <c r="BS637" s="7"/>
      <c r="BT637" s="7"/>
      <c r="BU637" s="2" t="s">
        <v>4097</v>
      </c>
      <c r="BV637" s="2" t="s">
        <v>206</v>
      </c>
      <c r="BW637" s="2" t="s">
        <v>206</v>
      </c>
      <c r="BX637" s="2" t="s">
        <v>214</v>
      </c>
      <c r="BY637" s="2" t="s">
        <v>215</v>
      </c>
      <c r="BZ637" s="2" t="s">
        <v>203</v>
      </c>
      <c r="CA637" s="2" t="s">
        <v>714</v>
      </c>
      <c r="CB637" s="2" t="s">
        <v>2340</v>
      </c>
      <c r="CC637" s="2" t="s">
        <v>218</v>
      </c>
      <c r="CD637" s="2" t="s">
        <v>206</v>
      </c>
      <c r="CE637" s="4"/>
      <c r="CF637" s="4">
        <v>48</v>
      </c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  <c r="FR637" s="4"/>
      <c r="FS637" s="4"/>
      <c r="FT637" s="4"/>
      <c r="FU637" s="4"/>
      <c r="FV637" s="4"/>
      <c r="FW637" s="4"/>
      <c r="FX637" s="4"/>
      <c r="FY637" s="4"/>
      <c r="FZ637" s="4"/>
      <c r="GA637" s="4"/>
      <c r="GB637" s="4"/>
      <c r="GC637" s="4"/>
      <c r="GD637" s="4"/>
      <c r="GE637" s="4"/>
      <c r="GF637" s="4"/>
    </row>
    <row r="638">
      <c r="A638" s="2" t="s">
        <v>4098</v>
      </c>
      <c r="B638" s="2" t="s">
        <v>461</v>
      </c>
      <c r="C638" s="2" t="s">
        <v>447</v>
      </c>
      <c r="D638" s="2" t="s">
        <v>975</v>
      </c>
      <c r="E638" s="2" t="s">
        <v>976</v>
      </c>
      <c r="F638" s="2" t="s">
        <v>4099</v>
      </c>
      <c r="G638" s="2" t="s">
        <v>4099</v>
      </c>
      <c r="H638" s="2" t="s">
        <v>4099</v>
      </c>
      <c r="I638" s="2" t="s">
        <v>4100</v>
      </c>
      <c r="J638" s="2" t="s">
        <v>434</v>
      </c>
      <c r="K638" s="2" t="s">
        <v>4101</v>
      </c>
      <c r="L638" s="3">
        <v>260</v>
      </c>
      <c r="M638" s="3">
        <v>273</v>
      </c>
      <c r="N638" s="3">
        <v>549</v>
      </c>
      <c r="O638" s="2" t="s">
        <v>203</v>
      </c>
      <c r="P638" s="2" t="s">
        <v>204</v>
      </c>
      <c r="Q638" s="2" t="s">
        <v>205</v>
      </c>
      <c r="R638" s="2" t="s">
        <v>206</v>
      </c>
      <c r="S638" s="2" t="s">
        <v>206</v>
      </c>
      <c r="T638" s="2" t="s">
        <v>206</v>
      </c>
      <c r="U638" s="2" t="s">
        <v>437</v>
      </c>
      <c r="V638" s="2" t="s">
        <v>468</v>
      </c>
      <c r="W638" s="2" t="s">
        <v>453</v>
      </c>
      <c r="X638" s="2" t="s">
        <v>2757</v>
      </c>
      <c r="Y638" s="2" t="s">
        <v>3090</v>
      </c>
      <c r="Z638" s="4">
        <v>91</v>
      </c>
      <c r="AA638" s="4">
        <f>=ROUNDDOWN(18.5714285714286,0)</f>
      </c>
      <c r="AB638" s="5">
        <v>4.9</v>
      </c>
      <c r="AC638" s="2" t="s">
        <v>318</v>
      </c>
      <c r="AD638" s="4">
        <v>150</v>
      </c>
      <c r="AE638" s="4">
        <v>150</v>
      </c>
      <c r="AF638" s="6">
        <v>66</v>
      </c>
      <c r="AG638" s="6"/>
      <c r="AH638" s="7">
        <v>0.6452</v>
      </c>
      <c r="AI638" s="4"/>
      <c r="AJ638" s="4">
        <f>=ROUNDDOWN({0},0)</f>
      </c>
      <c r="AK638" s="5"/>
      <c r="AL638" s="2" t="s">
        <v>206</v>
      </c>
      <c r="AM638" s="4"/>
      <c r="AN638" s="4"/>
      <c r="AO638" s="7"/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 t="s">
        <v>206</v>
      </c>
      <c r="BD638" s="8" t="s">
        <v>206</v>
      </c>
      <c r="BE638" s="4" t="s">
        <v>206</v>
      </c>
      <c r="BF638" s="8" t="s">
        <v>206</v>
      </c>
      <c r="BG638" s="7" t="s">
        <v>206</v>
      </c>
      <c r="BH638" s="7" t="s">
        <v>206</v>
      </c>
      <c r="BI638" s="7"/>
      <c r="BJ638" s="4">
        <v>9</v>
      </c>
      <c r="BK638" s="8">
        <v>2441.71</v>
      </c>
      <c r="BL638" s="2" t="s">
        <v>795</v>
      </c>
      <c r="BM638" s="7"/>
      <c r="BN638" s="7"/>
      <c r="BO638" s="4"/>
      <c r="BP638" s="8"/>
      <c r="BQ638" s="4"/>
      <c r="BR638" s="8"/>
      <c r="BS638" s="7"/>
      <c r="BT638" s="7"/>
      <c r="BU638" s="2" t="s">
        <v>4102</v>
      </c>
      <c r="BV638" s="2" t="s">
        <v>206</v>
      </c>
      <c r="BW638" s="2" t="s">
        <v>206</v>
      </c>
      <c r="BX638" s="2" t="s">
        <v>214</v>
      </c>
      <c r="BY638" s="2" t="s">
        <v>215</v>
      </c>
      <c r="BZ638" s="2" t="s">
        <v>203</v>
      </c>
      <c r="CA638" s="2" t="s">
        <v>2589</v>
      </c>
      <c r="CB638" s="2" t="s">
        <v>1669</v>
      </c>
      <c r="CC638" s="2" t="s">
        <v>218</v>
      </c>
      <c r="CD638" s="2" t="s">
        <v>206</v>
      </c>
      <c r="CE638" s="4"/>
      <c r="CF638" s="4">
        <v>91</v>
      </c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>
        <v>150</v>
      </c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  <c r="FU638" s="4"/>
      <c r="FV638" s="4"/>
      <c r="FW638" s="4"/>
      <c r="FX638" s="4"/>
      <c r="FY638" s="4"/>
      <c r="FZ638" s="4"/>
      <c r="GA638" s="4"/>
      <c r="GB638" s="4"/>
      <c r="GC638" s="4"/>
      <c r="GD638" s="4"/>
      <c r="GE638" s="4"/>
      <c r="GF638" s="4"/>
    </row>
    <row r="639">
      <c r="A639" s="2" t="s">
        <v>4103</v>
      </c>
      <c r="B639" s="2" t="s">
        <v>528</v>
      </c>
      <c r="C639" s="2" t="s">
        <v>1689</v>
      </c>
      <c r="D639" s="2" t="s">
        <v>548</v>
      </c>
      <c r="E639" s="2" t="s">
        <v>549</v>
      </c>
      <c r="F639" s="2" t="s">
        <v>4099</v>
      </c>
      <c r="G639" s="2" t="s">
        <v>4099</v>
      </c>
      <c r="H639" s="2" t="s">
        <v>4099</v>
      </c>
      <c r="I639" s="2" t="s">
        <v>4104</v>
      </c>
      <c r="J639" s="2" t="s">
        <v>593</v>
      </c>
      <c r="K639" s="2" t="s">
        <v>3184</v>
      </c>
      <c r="L639" s="3">
        <v>80</v>
      </c>
      <c r="M639" s="3">
        <v>84</v>
      </c>
      <c r="N639" s="3">
        <v>159.99</v>
      </c>
      <c r="O639" s="2" t="s">
        <v>203</v>
      </c>
      <c r="P639" s="2" t="s">
        <v>1037</v>
      </c>
      <c r="Q639" s="2" t="s">
        <v>205</v>
      </c>
      <c r="R639" s="2" t="s">
        <v>206</v>
      </c>
      <c r="S639" s="2" t="s">
        <v>4105</v>
      </c>
      <c r="T639" s="2" t="s">
        <v>234</v>
      </c>
      <c r="U639" s="2" t="s">
        <v>1177</v>
      </c>
      <c r="V639" s="2" t="s">
        <v>236</v>
      </c>
      <c r="W639" s="2" t="s">
        <v>786</v>
      </c>
      <c r="X639" s="2" t="s">
        <v>4106</v>
      </c>
      <c r="Y639" s="2" t="s">
        <v>4107</v>
      </c>
      <c r="Z639" s="4">
        <v>128</v>
      </c>
      <c r="AA639" s="4">
        <f>=ROUNDDOWN(64,0)</f>
      </c>
      <c r="AB639" s="5">
        <v>2</v>
      </c>
      <c r="AC639" s="2" t="s">
        <v>206</v>
      </c>
      <c r="AD639" s="4"/>
      <c r="AE639" s="4"/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206</v>
      </c>
      <c r="AM639" s="4"/>
      <c r="AN639" s="4"/>
      <c r="AO639" s="7"/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 t="s">
        <v>206</v>
      </c>
      <c r="BD639" s="8" t="s">
        <v>206</v>
      </c>
      <c r="BE639" s="4" t="s">
        <v>206</v>
      </c>
      <c r="BF639" s="8" t="s">
        <v>206</v>
      </c>
      <c r="BG639" s="7" t="s">
        <v>206</v>
      </c>
      <c r="BH639" s="7" t="s">
        <v>206</v>
      </c>
      <c r="BI639" s="7"/>
      <c r="BJ639" s="4">
        <v>6</v>
      </c>
      <c r="BK639" s="8">
        <v>534.24</v>
      </c>
      <c r="BL639" s="2" t="s">
        <v>338</v>
      </c>
      <c r="BM639" s="7"/>
      <c r="BN639" s="7"/>
      <c r="BO639" s="4"/>
      <c r="BP639" s="8"/>
      <c r="BQ639" s="4"/>
      <c r="BR639" s="8"/>
      <c r="BS639" s="7"/>
      <c r="BT639" s="7"/>
      <c r="BU639" s="2" t="s">
        <v>4108</v>
      </c>
      <c r="BV639" s="2" t="s">
        <v>206</v>
      </c>
      <c r="BW639" s="2" t="s">
        <v>206</v>
      </c>
      <c r="BX639" s="2" t="s">
        <v>214</v>
      </c>
      <c r="BY639" s="2" t="s">
        <v>215</v>
      </c>
      <c r="BZ639" s="2" t="s">
        <v>203</v>
      </c>
      <c r="CA639" s="2" t="s">
        <v>4109</v>
      </c>
      <c r="CB639" s="2" t="s">
        <v>4110</v>
      </c>
      <c r="CC639" s="2" t="s">
        <v>218</v>
      </c>
      <c r="CD639" s="2" t="s">
        <v>206</v>
      </c>
      <c r="CE639" s="4">
        <v>79</v>
      </c>
      <c r="CF639" s="4"/>
      <c r="CG639" s="4"/>
      <c r="CH639" s="4"/>
      <c r="CI639" s="4"/>
      <c r="CJ639" s="4"/>
      <c r="CK639" s="4"/>
      <c r="CL639" s="4"/>
      <c r="CM639" s="4"/>
      <c r="CN639" s="4"/>
      <c r="CO639" s="4">
        <v>49</v>
      </c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  <c r="FU639" s="4"/>
      <c r="FV639" s="4"/>
      <c r="FW639" s="4"/>
      <c r="FX639" s="4"/>
      <c r="FY639" s="4"/>
      <c r="FZ639" s="4"/>
      <c r="GA639" s="4"/>
      <c r="GB639" s="4"/>
      <c r="GC639" s="4"/>
      <c r="GD639" s="4"/>
      <c r="GE639" s="4"/>
      <c r="GF639" s="4"/>
    </row>
    <row r="640">
      <c r="A640" s="2" t="s">
        <v>4111</v>
      </c>
      <c r="B640" s="2" t="s">
        <v>429</v>
      </c>
      <c r="C640" s="2" t="s">
        <v>287</v>
      </c>
      <c r="D640" s="2" t="s">
        <v>909</v>
      </c>
      <c r="E640" s="2" t="s">
        <v>910</v>
      </c>
      <c r="F640" s="2" t="s">
        <v>4112</v>
      </c>
      <c r="G640" s="2" t="s">
        <v>4112</v>
      </c>
      <c r="H640" s="2" t="s">
        <v>4112</v>
      </c>
      <c r="I640" s="2" t="s">
        <v>4113</v>
      </c>
      <c r="J640" s="2" t="s">
        <v>434</v>
      </c>
      <c r="K640" s="2" t="s">
        <v>483</v>
      </c>
      <c r="L640" s="3">
        <v>61.71</v>
      </c>
      <c r="M640" s="3">
        <v>64.8</v>
      </c>
      <c r="N640" s="3">
        <v>127.49</v>
      </c>
      <c r="O640" s="2" t="s">
        <v>203</v>
      </c>
      <c r="P640" s="2" t="s">
        <v>204</v>
      </c>
      <c r="Q640" s="2" t="s">
        <v>205</v>
      </c>
      <c r="R640" s="2" t="s">
        <v>206</v>
      </c>
      <c r="S640" s="2" t="s">
        <v>4114</v>
      </c>
      <c r="T640" s="2" t="s">
        <v>206</v>
      </c>
      <c r="U640" s="2" t="s">
        <v>900</v>
      </c>
      <c r="V640" s="2" t="s">
        <v>438</v>
      </c>
      <c r="W640" s="2" t="s">
        <v>439</v>
      </c>
      <c r="X640" s="2" t="s">
        <v>914</v>
      </c>
      <c r="Y640" s="2" t="s">
        <v>440</v>
      </c>
      <c r="Z640" s="4">
        <v>114</v>
      </c>
      <c r="AA640" s="4">
        <f>=ROUNDDOWN(29.2307692307692,0)</f>
      </c>
      <c r="AB640" s="5">
        <v>3.9</v>
      </c>
      <c r="AC640" s="2" t="s">
        <v>206</v>
      </c>
      <c r="AD640" s="4"/>
      <c r="AE640" s="4"/>
      <c r="AF640" s="6">
        <v>63</v>
      </c>
      <c r="AG640" s="6"/>
      <c r="AH640" s="7">
        <v>1</v>
      </c>
      <c r="AI640" s="4"/>
      <c r="AJ640" s="4">
        <f>=ROUNDDOWN({0},0)</f>
      </c>
      <c r="AK640" s="5"/>
      <c r="AL640" s="2" t="s">
        <v>206</v>
      </c>
      <c r="AM640" s="4"/>
      <c r="AN640" s="4"/>
      <c r="AO640" s="7"/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/>
      <c r="BD640" s="8"/>
      <c r="BE640" s="4"/>
      <c r="BF640" s="8"/>
      <c r="BG640" s="7"/>
      <c r="BH640" s="7"/>
      <c r="BI640" s="7"/>
      <c r="BJ640" s="4">
        <v>16</v>
      </c>
      <c r="BK640" s="8">
        <v>1127.63</v>
      </c>
      <c r="BL640" s="2" t="s">
        <v>4115</v>
      </c>
      <c r="BM640" s="7"/>
      <c r="BN640" s="7"/>
      <c r="BO640" s="4"/>
      <c r="BP640" s="8"/>
      <c r="BQ640" s="4"/>
      <c r="BR640" s="8"/>
      <c r="BS640" s="7"/>
      <c r="BT640" s="7"/>
      <c r="BU640" s="2" t="s">
        <v>4116</v>
      </c>
      <c r="BV640" s="2" t="s">
        <v>206</v>
      </c>
      <c r="BW640" s="2" t="s">
        <v>206</v>
      </c>
      <c r="BX640" s="2" t="s">
        <v>214</v>
      </c>
      <c r="BY640" s="2" t="s">
        <v>215</v>
      </c>
      <c r="BZ640" s="2" t="s">
        <v>203</v>
      </c>
      <c r="CA640" s="2" t="s">
        <v>917</v>
      </c>
      <c r="CB640" s="2" t="s">
        <v>4117</v>
      </c>
      <c r="CC640" s="2" t="s">
        <v>218</v>
      </c>
      <c r="CD640" s="2" t="s">
        <v>206</v>
      </c>
      <c r="CE640" s="4"/>
      <c r="CF640" s="4">
        <v>114</v>
      </c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  <c r="FU640" s="4"/>
      <c r="FV640" s="4"/>
      <c r="FW640" s="4"/>
      <c r="FX640" s="4"/>
      <c r="FY640" s="4"/>
      <c r="FZ640" s="4"/>
      <c r="GA640" s="4"/>
      <c r="GB640" s="4"/>
      <c r="GC640" s="4"/>
      <c r="GD640" s="4"/>
      <c r="GE640" s="4"/>
      <c r="GF640" s="4"/>
    </row>
    <row r="641">
      <c r="A641" s="2" t="s">
        <v>4118</v>
      </c>
      <c r="B641" s="2" t="s">
        <v>662</v>
      </c>
      <c r="C641" s="2" t="s">
        <v>1145</v>
      </c>
      <c r="D641" s="2" t="s">
        <v>4119</v>
      </c>
      <c r="E641" s="2" t="s">
        <v>477</v>
      </c>
      <c r="F641" s="2" t="s">
        <v>4120</v>
      </c>
      <c r="G641" s="2" t="s">
        <v>3506</v>
      </c>
      <c r="H641" s="2" t="s">
        <v>4121</v>
      </c>
      <c r="I641" s="2" t="s">
        <v>4122</v>
      </c>
      <c r="J641" s="2" t="s">
        <v>434</v>
      </c>
      <c r="K641" s="2" t="s">
        <v>583</v>
      </c>
      <c r="L641" s="3">
        <v>26.4</v>
      </c>
      <c r="M641" s="3">
        <v>27.72</v>
      </c>
      <c r="N641" s="3">
        <v>54.99</v>
      </c>
      <c r="O641" s="2" t="s">
        <v>203</v>
      </c>
      <c r="P641" s="2" t="s">
        <v>204</v>
      </c>
      <c r="Q641" s="2" t="s">
        <v>205</v>
      </c>
      <c r="R641" s="2" t="s">
        <v>206</v>
      </c>
      <c r="S641" s="2" t="s">
        <v>4123</v>
      </c>
      <c r="T641" s="2" t="s">
        <v>206</v>
      </c>
      <c r="U641" s="2" t="s">
        <v>206</v>
      </c>
      <c r="V641" s="2" t="s">
        <v>4124</v>
      </c>
      <c r="W641" s="2" t="s">
        <v>210</v>
      </c>
      <c r="X641" s="2" t="s">
        <v>206</v>
      </c>
      <c r="Y641" s="2" t="s">
        <v>211</v>
      </c>
      <c r="Z641" s="4">
        <v>766</v>
      </c>
      <c r="AA641" s="4">
        <f>=ROUNDDOWN(95.75,0)</f>
      </c>
      <c r="AB641" s="5">
        <v>8</v>
      </c>
      <c r="AC641" s="2" t="s">
        <v>206</v>
      </c>
      <c r="AD641" s="4"/>
      <c r="AE641" s="4"/>
      <c r="AF641" s="6">
        <v>73</v>
      </c>
      <c r="AG641" s="6"/>
      <c r="AH641" s="7">
        <v>1</v>
      </c>
      <c r="AI641" s="4"/>
      <c r="AJ641" s="4">
        <f>=ROUNDDOWN({0},0)</f>
      </c>
      <c r="AK641" s="5"/>
      <c r="AL641" s="2" t="s">
        <v>206</v>
      </c>
      <c r="AM641" s="4"/>
      <c r="AN641" s="4"/>
      <c r="AO641" s="7"/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/>
      <c r="BD641" s="8"/>
      <c r="BE641" s="4"/>
      <c r="BF641" s="8"/>
      <c r="BG641" s="7"/>
      <c r="BH641" s="7"/>
      <c r="BI641" s="7"/>
      <c r="BJ641" s="4">
        <v>34</v>
      </c>
      <c r="BK641" s="8">
        <v>984.81</v>
      </c>
      <c r="BL641" s="2" t="s">
        <v>4125</v>
      </c>
      <c r="BM641" s="7"/>
      <c r="BN641" s="7"/>
      <c r="BO641" s="4"/>
      <c r="BP641" s="8"/>
      <c r="BQ641" s="4"/>
      <c r="BR641" s="8"/>
      <c r="BS641" s="7"/>
      <c r="BT641" s="7"/>
      <c r="BU641" s="2" t="s">
        <v>4126</v>
      </c>
      <c r="BV641" s="2" t="s">
        <v>206</v>
      </c>
      <c r="BW641" s="2" t="s">
        <v>206</v>
      </c>
      <c r="BX641" s="2" t="s">
        <v>214</v>
      </c>
      <c r="BY641" s="2" t="s">
        <v>215</v>
      </c>
      <c r="BZ641" s="2" t="s">
        <v>203</v>
      </c>
      <c r="CA641" s="2" t="s">
        <v>216</v>
      </c>
      <c r="CB641" s="2" t="s">
        <v>4127</v>
      </c>
      <c r="CC641" s="2" t="s">
        <v>218</v>
      </c>
      <c r="CD641" s="2" t="s">
        <v>206</v>
      </c>
      <c r="CE641" s="4">
        <v>766</v>
      </c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  <c r="FR641" s="4"/>
      <c r="FS641" s="4"/>
      <c r="FT641" s="4"/>
      <c r="FU641" s="4"/>
      <c r="FV641" s="4"/>
      <c r="FW641" s="4"/>
      <c r="FX641" s="4"/>
      <c r="FY641" s="4"/>
      <c r="FZ641" s="4"/>
      <c r="GA641" s="4"/>
      <c r="GB641" s="4"/>
      <c r="GC641" s="4"/>
      <c r="GD641" s="4"/>
      <c r="GE641" s="4"/>
      <c r="GF641" s="4"/>
    </row>
    <row r="642">
      <c r="A642" s="2" t="s">
        <v>4128</v>
      </c>
      <c r="B642" s="2" t="s">
        <v>561</v>
      </c>
      <c r="C642" s="2" t="s">
        <v>562</v>
      </c>
      <c r="D642" s="2" t="s">
        <v>563</v>
      </c>
      <c r="E642" s="2" t="s">
        <v>564</v>
      </c>
      <c r="F642" s="2" t="s">
        <v>4129</v>
      </c>
      <c r="G642" s="2" t="s">
        <v>4129</v>
      </c>
      <c r="H642" s="2" t="s">
        <v>4129</v>
      </c>
      <c r="I642" s="2" t="s">
        <v>4130</v>
      </c>
      <c r="J642" s="2" t="s">
        <v>3398</v>
      </c>
      <c r="K642" s="2" t="s">
        <v>336</v>
      </c>
      <c r="L642" s="3">
        <v>9.51</v>
      </c>
      <c r="M642" s="3">
        <v>9.99</v>
      </c>
      <c r="N642" s="3">
        <v>24.99</v>
      </c>
      <c r="O642" s="2" t="s">
        <v>203</v>
      </c>
      <c r="P642" s="2" t="s">
        <v>204</v>
      </c>
      <c r="Q642" s="2" t="s">
        <v>205</v>
      </c>
      <c r="R642" s="2" t="s">
        <v>206</v>
      </c>
      <c r="S642" s="2" t="s">
        <v>206</v>
      </c>
      <c r="T642" s="2" t="s">
        <v>206</v>
      </c>
      <c r="U642" s="2" t="s">
        <v>437</v>
      </c>
      <c r="V642" s="2" t="s">
        <v>468</v>
      </c>
      <c r="W642" s="2" t="s">
        <v>210</v>
      </c>
      <c r="X642" s="2" t="s">
        <v>206</v>
      </c>
      <c r="Y642" s="2" t="s">
        <v>1444</v>
      </c>
      <c r="Z642" s="4">
        <v>396</v>
      </c>
      <c r="AA642" s="4">
        <f>=ROUNDDOWN(123.75,0)</f>
      </c>
      <c r="AB642" s="5">
        <v>3.2</v>
      </c>
      <c r="AC642" s="2" t="s">
        <v>206</v>
      </c>
      <c r="AD642" s="4"/>
      <c r="AE642" s="4"/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206</v>
      </c>
      <c r="AM642" s="4"/>
      <c r="AN642" s="4"/>
      <c r="AO642" s="7"/>
      <c r="AP642" s="4"/>
      <c r="AQ642" s="8"/>
      <c r="AR642" s="4"/>
      <c r="AS642" s="8"/>
      <c r="AT642" s="7"/>
      <c r="AU642" s="7"/>
      <c r="AV642" s="4" t="s">
        <v>206</v>
      </c>
      <c r="AW642" s="8" t="s">
        <v>206</v>
      </c>
      <c r="AX642" s="4" t="s">
        <v>206</v>
      </c>
      <c r="AY642" s="8" t="s">
        <v>206</v>
      </c>
      <c r="AZ642" s="7" t="s">
        <v>206</v>
      </c>
      <c r="BA642" s="7" t="s">
        <v>206</v>
      </c>
      <c r="BB642" s="7"/>
      <c r="BC642" s="4" t="s">
        <v>206</v>
      </c>
      <c r="BD642" s="8" t="s">
        <v>206</v>
      </c>
      <c r="BE642" s="4" t="s">
        <v>206</v>
      </c>
      <c r="BF642" s="8" t="s">
        <v>206</v>
      </c>
      <c r="BG642" s="7" t="s">
        <v>206</v>
      </c>
      <c r="BH642" s="7" t="s">
        <v>206</v>
      </c>
      <c r="BI642" s="7"/>
      <c r="BJ642" s="4">
        <v>16</v>
      </c>
      <c r="BK642" s="8">
        <v>215.56</v>
      </c>
      <c r="BL642" s="2" t="s">
        <v>3211</v>
      </c>
      <c r="BM642" s="7"/>
      <c r="BN642" s="7"/>
      <c r="BO642" s="4"/>
      <c r="BP642" s="8"/>
      <c r="BQ642" s="4"/>
      <c r="BR642" s="8"/>
      <c r="BS642" s="7"/>
      <c r="BT642" s="7"/>
      <c r="BU642" s="2" t="s">
        <v>4131</v>
      </c>
      <c r="BV642" s="2" t="s">
        <v>206</v>
      </c>
      <c r="BW642" s="2" t="s">
        <v>206</v>
      </c>
      <c r="BX642" s="2" t="s">
        <v>214</v>
      </c>
      <c r="BY642" s="2" t="s">
        <v>215</v>
      </c>
      <c r="BZ642" s="2" t="s">
        <v>203</v>
      </c>
      <c r="CA642" s="2" t="s">
        <v>3631</v>
      </c>
      <c r="CB642" s="2" t="s">
        <v>4132</v>
      </c>
      <c r="CC642" s="2" t="s">
        <v>218</v>
      </c>
      <c r="CD642" s="2" t="s">
        <v>206</v>
      </c>
      <c r="CE642" s="4">
        <v>396</v>
      </c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/>
      <c r="FH642" s="4"/>
      <c r="FI642" s="4"/>
      <c r="FJ642" s="4"/>
      <c r="FK642" s="4"/>
      <c r="FL642" s="4"/>
      <c r="FM642" s="4"/>
      <c r="FN642" s="4"/>
      <c r="FO642" s="4"/>
      <c r="FP642" s="4"/>
      <c r="FQ642" s="4"/>
      <c r="FR642" s="4"/>
      <c r="FS642" s="4"/>
      <c r="FT642" s="4"/>
      <c r="FU642" s="4"/>
      <c r="FV642" s="4"/>
      <c r="FW642" s="4"/>
      <c r="FX642" s="4"/>
      <c r="FY642" s="4"/>
      <c r="FZ642" s="4"/>
      <c r="GA642" s="4"/>
      <c r="GB642" s="4"/>
      <c r="GC642" s="4"/>
      <c r="GD642" s="4"/>
      <c r="GE642" s="4"/>
      <c r="GF642" s="4"/>
    </row>
    <row r="643">
      <c r="A643" s="2" t="s">
        <v>4133</v>
      </c>
      <c r="B643" s="2" t="s">
        <v>561</v>
      </c>
      <c r="C643" s="2" t="s">
        <v>562</v>
      </c>
      <c r="D643" s="2" t="s">
        <v>563</v>
      </c>
      <c r="E643" s="2" t="s">
        <v>564</v>
      </c>
      <c r="F643" s="2" t="s">
        <v>4129</v>
      </c>
      <c r="G643" s="2" t="s">
        <v>4129</v>
      </c>
      <c r="H643" s="2" t="s">
        <v>4129</v>
      </c>
      <c r="I643" s="2" t="s">
        <v>4134</v>
      </c>
      <c r="J643" s="2" t="s">
        <v>4135</v>
      </c>
      <c r="K643" s="2" t="s">
        <v>336</v>
      </c>
      <c r="L643" s="3">
        <v>16.01</v>
      </c>
      <c r="M643" s="3">
        <v>16.81</v>
      </c>
      <c r="N643" s="3">
        <v>34.99</v>
      </c>
      <c r="O643" s="2" t="s">
        <v>203</v>
      </c>
      <c r="P643" s="2" t="s">
        <v>204</v>
      </c>
      <c r="Q643" s="2" t="s">
        <v>205</v>
      </c>
      <c r="R643" s="2" t="s">
        <v>206</v>
      </c>
      <c r="S643" s="2" t="s">
        <v>206</v>
      </c>
      <c r="T643" s="2" t="s">
        <v>206</v>
      </c>
      <c r="U643" s="2" t="s">
        <v>437</v>
      </c>
      <c r="V643" s="2" t="s">
        <v>468</v>
      </c>
      <c r="W643" s="2" t="s">
        <v>210</v>
      </c>
      <c r="X643" s="2" t="s">
        <v>206</v>
      </c>
      <c r="Y643" s="2" t="s">
        <v>1444</v>
      </c>
      <c r="Z643" s="4">
        <v>391</v>
      </c>
      <c r="AA643" s="4">
        <f>=ROUNDDOWN(39.1,0)</f>
      </c>
      <c r="AB643" s="5">
        <v>10</v>
      </c>
      <c r="AC643" s="2" t="s">
        <v>206</v>
      </c>
      <c r="AD643" s="4"/>
      <c r="AE643" s="4"/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206</v>
      </c>
      <c r="AM643" s="4"/>
      <c r="AN643" s="4"/>
      <c r="AO643" s="7"/>
      <c r="AP643" s="4"/>
      <c r="AQ643" s="8"/>
      <c r="AR643" s="4"/>
      <c r="AS643" s="8"/>
      <c r="AT643" s="7"/>
      <c r="AU643" s="7"/>
      <c r="AV643" s="4" t="s">
        <v>206</v>
      </c>
      <c r="AW643" s="8" t="s">
        <v>206</v>
      </c>
      <c r="AX643" s="4" t="s">
        <v>206</v>
      </c>
      <c r="AY643" s="8" t="s">
        <v>206</v>
      </c>
      <c r="AZ643" s="7" t="s">
        <v>206</v>
      </c>
      <c r="BA643" s="7" t="s">
        <v>206</v>
      </c>
      <c r="BB643" s="7"/>
      <c r="BC643" s="4" t="s">
        <v>206</v>
      </c>
      <c r="BD643" s="8" t="s">
        <v>206</v>
      </c>
      <c r="BE643" s="4" t="s">
        <v>206</v>
      </c>
      <c r="BF643" s="8" t="s">
        <v>206</v>
      </c>
      <c r="BG643" s="7" t="s">
        <v>206</v>
      </c>
      <c r="BH643" s="7" t="s">
        <v>206</v>
      </c>
      <c r="BI643" s="7"/>
      <c r="BJ643" s="4">
        <v>61</v>
      </c>
      <c r="BK643" s="8">
        <v>1218.34</v>
      </c>
      <c r="BL643" s="2" t="s">
        <v>3297</v>
      </c>
      <c r="BM643" s="7"/>
      <c r="BN643" s="7"/>
      <c r="BO643" s="4"/>
      <c r="BP643" s="8"/>
      <c r="BQ643" s="4"/>
      <c r="BR643" s="8"/>
      <c r="BS643" s="7"/>
      <c r="BT643" s="7"/>
      <c r="BU643" s="2" t="s">
        <v>4136</v>
      </c>
      <c r="BV643" s="2" t="s">
        <v>206</v>
      </c>
      <c r="BW643" s="2" t="s">
        <v>206</v>
      </c>
      <c r="BX643" s="2" t="s">
        <v>214</v>
      </c>
      <c r="BY643" s="2" t="s">
        <v>215</v>
      </c>
      <c r="BZ643" s="2" t="s">
        <v>203</v>
      </c>
      <c r="CA643" s="2" t="s">
        <v>3631</v>
      </c>
      <c r="CB643" s="2" t="s">
        <v>1559</v>
      </c>
      <c r="CC643" s="2" t="s">
        <v>218</v>
      </c>
      <c r="CD643" s="2" t="s">
        <v>206</v>
      </c>
      <c r="CE643" s="4">
        <v>391</v>
      </c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  <c r="GE643" s="4"/>
      <c r="GF643" s="4"/>
    </row>
    <row r="644">
      <c r="A644" s="2" t="s">
        <v>4137</v>
      </c>
      <c r="B644" s="2" t="s">
        <v>528</v>
      </c>
      <c r="C644" s="2" t="s">
        <v>462</v>
      </c>
      <c r="D644" s="2" t="s">
        <v>548</v>
      </c>
      <c r="E644" s="2" t="s">
        <v>579</v>
      </c>
      <c r="F644" s="2" t="s">
        <v>4138</v>
      </c>
      <c r="G644" s="2" t="s">
        <v>4138</v>
      </c>
      <c r="H644" s="2" t="s">
        <v>4138</v>
      </c>
      <c r="I644" s="2" t="s">
        <v>4139</v>
      </c>
      <c r="J644" s="2" t="s">
        <v>593</v>
      </c>
      <c r="K644" s="2" t="s">
        <v>2218</v>
      </c>
      <c r="L644" s="3">
        <v>43.2</v>
      </c>
      <c r="M644" s="3">
        <v>45.36</v>
      </c>
      <c r="N644" s="3">
        <v>84.99</v>
      </c>
      <c r="O644" s="2" t="s">
        <v>203</v>
      </c>
      <c r="P644" s="2" t="s">
        <v>204</v>
      </c>
      <c r="Q644" s="2" t="s">
        <v>205</v>
      </c>
      <c r="R644" s="2" t="s">
        <v>206</v>
      </c>
      <c r="S644" s="2" t="s">
        <v>4140</v>
      </c>
      <c r="T644" s="2" t="s">
        <v>234</v>
      </c>
      <c r="U644" s="2" t="s">
        <v>556</v>
      </c>
      <c r="V644" s="2" t="s">
        <v>2977</v>
      </c>
      <c r="W644" s="2" t="s">
        <v>439</v>
      </c>
      <c r="X644" s="2" t="s">
        <v>2977</v>
      </c>
      <c r="Y644" s="2" t="s">
        <v>4141</v>
      </c>
      <c r="Z644" s="4">
        <v>185</v>
      </c>
      <c r="AA644" s="4">
        <f>=ROUNDDOWN(46.25,0)</f>
      </c>
      <c r="AB644" s="5">
        <v>4</v>
      </c>
      <c r="AC644" s="2" t="s">
        <v>114</v>
      </c>
      <c r="AD644" s="4">
        <v>80</v>
      </c>
      <c r="AE644" s="4">
        <v>80</v>
      </c>
      <c r="AF644" s="6">
        <v>66</v>
      </c>
      <c r="AG644" s="6"/>
      <c r="AH644" s="7">
        <v>1</v>
      </c>
      <c r="AI644" s="4"/>
      <c r="AJ644" s="4">
        <f>=ROUNDDOWN({0},0)</f>
      </c>
      <c r="AK644" s="5"/>
      <c r="AL644" s="2" t="s">
        <v>206</v>
      </c>
      <c r="AM644" s="4"/>
      <c r="AN644" s="4"/>
      <c r="AO644" s="7"/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/>
      <c r="BD644" s="8"/>
      <c r="BE644" s="4"/>
      <c r="BF644" s="8"/>
      <c r="BG644" s="7"/>
      <c r="BH644" s="7"/>
      <c r="BI644" s="7"/>
      <c r="BJ644" s="4">
        <v>22</v>
      </c>
      <c r="BK644" s="8">
        <v>1162.7</v>
      </c>
      <c r="BL644" s="2" t="s">
        <v>2454</v>
      </c>
      <c r="BM644" s="7"/>
      <c r="BN644" s="7"/>
      <c r="BO644" s="4"/>
      <c r="BP644" s="8"/>
      <c r="BQ644" s="4"/>
      <c r="BR644" s="8"/>
      <c r="BS644" s="7"/>
      <c r="BT644" s="7"/>
      <c r="BU644" s="2" t="s">
        <v>4142</v>
      </c>
      <c r="BV644" s="2" t="s">
        <v>206</v>
      </c>
      <c r="BW644" s="2" t="s">
        <v>206</v>
      </c>
      <c r="BX644" s="2" t="s">
        <v>214</v>
      </c>
      <c r="BY644" s="2" t="s">
        <v>215</v>
      </c>
      <c r="BZ644" s="2" t="s">
        <v>203</v>
      </c>
      <c r="CA644" s="2" t="s">
        <v>4141</v>
      </c>
      <c r="CB644" s="2" t="s">
        <v>4143</v>
      </c>
      <c r="CC644" s="2" t="s">
        <v>218</v>
      </c>
      <c r="CD644" s="2" t="s">
        <v>206</v>
      </c>
      <c r="CE644" s="4">
        <v>185</v>
      </c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>
        <v>80</v>
      </c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  <c r="FW644" s="4"/>
      <c r="FX644" s="4"/>
      <c r="FY644" s="4"/>
      <c r="FZ644" s="4"/>
      <c r="GA644" s="4"/>
      <c r="GB644" s="4"/>
      <c r="GC644" s="4"/>
      <c r="GD644" s="4"/>
      <c r="GE644" s="4"/>
      <c r="GF644" s="4"/>
    </row>
    <row r="645">
      <c r="A645" s="2" t="s">
        <v>4144</v>
      </c>
      <c r="B645" s="2" t="s">
        <v>461</v>
      </c>
      <c r="C645" s="2" t="s">
        <v>462</v>
      </c>
      <c r="D645" s="2" t="s">
        <v>975</v>
      </c>
      <c r="E645" s="2" t="s">
        <v>976</v>
      </c>
      <c r="F645" s="2" t="s">
        <v>4145</v>
      </c>
      <c r="G645" s="2" t="s">
        <v>4145</v>
      </c>
      <c r="H645" s="2" t="s">
        <v>4145</v>
      </c>
      <c r="I645" s="2" t="s">
        <v>4146</v>
      </c>
      <c r="J645" s="2" t="s">
        <v>434</v>
      </c>
      <c r="K645" s="2" t="s">
        <v>1049</v>
      </c>
      <c r="L645" s="3">
        <v>180.5</v>
      </c>
      <c r="M645" s="3">
        <v>189.52</v>
      </c>
      <c r="N645" s="3">
        <v>379</v>
      </c>
      <c r="O645" s="2" t="s">
        <v>203</v>
      </c>
      <c r="P645" s="2" t="s">
        <v>204</v>
      </c>
      <c r="Q645" s="2" t="s">
        <v>205</v>
      </c>
      <c r="R645" s="2" t="s">
        <v>206</v>
      </c>
      <c r="S645" s="2" t="s">
        <v>206</v>
      </c>
      <c r="T645" s="2" t="s">
        <v>206</v>
      </c>
      <c r="U645" s="2" t="s">
        <v>437</v>
      </c>
      <c r="V645" s="2" t="s">
        <v>209</v>
      </c>
      <c r="W645" s="2" t="s">
        <v>586</v>
      </c>
      <c r="X645" s="2" t="s">
        <v>206</v>
      </c>
      <c r="Y645" s="2" t="s">
        <v>4147</v>
      </c>
      <c r="Z645" s="4">
        <v>452</v>
      </c>
      <c r="AA645" s="4">
        <f>=ROUNDDOWN(188.333333333333,0)</f>
      </c>
      <c r="AB645" s="5">
        <v>2.4</v>
      </c>
      <c r="AC645" s="2" t="s">
        <v>1098</v>
      </c>
      <c r="AD645" s="4">
        <v>50</v>
      </c>
      <c r="AE645" s="4">
        <v>90</v>
      </c>
      <c r="AF645" s="6">
        <v>74</v>
      </c>
      <c r="AG645" s="6">
        <v>60</v>
      </c>
      <c r="AH645" s="7">
        <v>1</v>
      </c>
      <c r="AI645" s="4"/>
      <c r="AJ645" s="4">
        <f>=ROUNDDOWN({0},0)</f>
      </c>
      <c r="AK645" s="5">
        <v>5.6</v>
      </c>
      <c r="AL645" s="2" t="s">
        <v>125</v>
      </c>
      <c r="AM645" s="4">
        <v>50</v>
      </c>
      <c r="AN645" s="4">
        <v>50</v>
      </c>
      <c r="AO645" s="7">
        <v>1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206</v>
      </c>
      <c r="BD645" s="8" t="s">
        <v>206</v>
      </c>
      <c r="BE645" s="4" t="s">
        <v>206</v>
      </c>
      <c r="BF645" s="8" t="s">
        <v>206</v>
      </c>
      <c r="BG645" s="7" t="s">
        <v>206</v>
      </c>
      <c r="BH645" s="7" t="s">
        <v>206</v>
      </c>
      <c r="BI645" s="7"/>
      <c r="BJ645" s="4">
        <v>37</v>
      </c>
      <c r="BK645" s="8">
        <v>6250.91</v>
      </c>
      <c r="BL645" s="2" t="s">
        <v>4148</v>
      </c>
      <c r="BM645" s="7"/>
      <c r="BN645" s="7"/>
      <c r="BO645" s="4"/>
      <c r="BP645" s="8"/>
      <c r="BQ645" s="4"/>
      <c r="BR645" s="8"/>
      <c r="BS645" s="7"/>
      <c r="BT645" s="7"/>
      <c r="BU645" s="2" t="s">
        <v>4149</v>
      </c>
      <c r="BV645" s="2" t="s">
        <v>206</v>
      </c>
      <c r="BW645" s="2" t="s">
        <v>206</v>
      </c>
      <c r="BX645" s="2" t="s">
        <v>3688</v>
      </c>
      <c r="BY645" s="2" t="s">
        <v>215</v>
      </c>
      <c r="BZ645" s="2" t="s">
        <v>203</v>
      </c>
      <c r="CA645" s="2" t="s">
        <v>1101</v>
      </c>
      <c r="CB645" s="2" t="s">
        <v>4150</v>
      </c>
      <c r="CC645" s="2" t="s">
        <v>218</v>
      </c>
      <c r="CD645" s="2" t="s">
        <v>206</v>
      </c>
      <c r="CE645" s="4"/>
      <c r="CF645" s="4">
        <v>452</v>
      </c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>
        <v>50</v>
      </c>
      <c r="EV645" s="4"/>
      <c r="EW645" s="4"/>
      <c r="EX645" s="4"/>
      <c r="EY645" s="4"/>
      <c r="EZ645" s="4"/>
      <c r="FA645" s="4"/>
      <c r="FB645" s="4"/>
      <c r="FC645" s="4"/>
      <c r="FD645" s="4"/>
      <c r="FE645" s="4">
        <v>40</v>
      </c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  <c r="FW645" s="4"/>
      <c r="FX645" s="4"/>
      <c r="FY645" s="4"/>
      <c r="FZ645" s="4"/>
      <c r="GA645" s="4"/>
      <c r="GB645" s="4"/>
      <c r="GC645" s="4">
        <v>50</v>
      </c>
      <c r="GD645" s="4"/>
      <c r="GE645" s="4"/>
      <c r="GF645" s="4"/>
    </row>
    <row r="646">
      <c r="A646" s="2" t="s">
        <v>4151</v>
      </c>
      <c r="B646" s="2" t="s">
        <v>461</v>
      </c>
      <c r="C646" s="2" t="s">
        <v>462</v>
      </c>
      <c r="D646" s="2" t="s">
        <v>975</v>
      </c>
      <c r="E646" s="2" t="s">
        <v>976</v>
      </c>
      <c r="F646" s="2" t="s">
        <v>4145</v>
      </c>
      <c r="G646" s="2" t="s">
        <v>4145</v>
      </c>
      <c r="H646" s="2" t="s">
        <v>4145</v>
      </c>
      <c r="I646" s="2" t="s">
        <v>4146</v>
      </c>
      <c r="J646" s="2" t="s">
        <v>434</v>
      </c>
      <c r="K646" s="2" t="s">
        <v>4152</v>
      </c>
      <c r="L646" s="3">
        <v>180.5</v>
      </c>
      <c r="M646" s="3">
        <v>189.52</v>
      </c>
      <c r="N646" s="3">
        <v>379</v>
      </c>
      <c r="O646" s="2" t="s">
        <v>203</v>
      </c>
      <c r="P646" s="2" t="s">
        <v>204</v>
      </c>
      <c r="Q646" s="2" t="s">
        <v>205</v>
      </c>
      <c r="R646" s="2" t="s">
        <v>206</v>
      </c>
      <c r="S646" s="2" t="s">
        <v>4153</v>
      </c>
      <c r="T646" s="2" t="s">
        <v>292</v>
      </c>
      <c r="U646" s="2" t="s">
        <v>206</v>
      </c>
      <c r="V646" s="2" t="s">
        <v>209</v>
      </c>
      <c r="W646" s="2" t="s">
        <v>586</v>
      </c>
      <c r="X646" s="2" t="s">
        <v>206</v>
      </c>
      <c r="Y646" s="2" t="s">
        <v>211</v>
      </c>
      <c r="Z646" s="4">
        <v>237</v>
      </c>
      <c r="AA646" s="4">
        <f>=ROUNDDOWN(33.8571428571429,0)</f>
      </c>
      <c r="AB646" s="5">
        <v>7</v>
      </c>
      <c r="AC646" s="2" t="s">
        <v>1098</v>
      </c>
      <c r="AD646" s="4">
        <v>100</v>
      </c>
      <c r="AE646" s="4">
        <v>200</v>
      </c>
      <c r="AF646" s="6">
        <v>74</v>
      </c>
      <c r="AG646" s="6">
        <v>60</v>
      </c>
      <c r="AH646" s="7">
        <v>1</v>
      </c>
      <c r="AI646" s="4"/>
      <c r="AJ646" s="4">
        <f>=ROUNDDOWN({0},0)</f>
      </c>
      <c r="AK646" s="5"/>
      <c r="AL646" s="2" t="s">
        <v>206</v>
      </c>
      <c r="AM646" s="4"/>
      <c r="AN646" s="4"/>
      <c r="AO646" s="7"/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 t="s">
        <v>206</v>
      </c>
      <c r="BD646" s="8" t="s">
        <v>206</v>
      </c>
      <c r="BE646" s="4" t="s">
        <v>206</v>
      </c>
      <c r="BF646" s="8" t="s">
        <v>206</v>
      </c>
      <c r="BG646" s="7" t="s">
        <v>206</v>
      </c>
      <c r="BH646" s="7" t="s">
        <v>206</v>
      </c>
      <c r="BI646" s="7"/>
      <c r="BJ646" s="4">
        <v>35</v>
      </c>
      <c r="BK646" s="8">
        <v>5500.87</v>
      </c>
      <c r="BL646" s="2" t="s">
        <v>4154</v>
      </c>
      <c r="BM646" s="7"/>
      <c r="BN646" s="7"/>
      <c r="BO646" s="4"/>
      <c r="BP646" s="8"/>
      <c r="BQ646" s="4"/>
      <c r="BR646" s="8"/>
      <c r="BS646" s="7"/>
      <c r="BT646" s="7"/>
      <c r="BU646" s="2" t="s">
        <v>4155</v>
      </c>
      <c r="BV646" s="2" t="s">
        <v>206</v>
      </c>
      <c r="BW646" s="2" t="s">
        <v>206</v>
      </c>
      <c r="BX646" s="2" t="s">
        <v>3688</v>
      </c>
      <c r="BY646" s="2" t="s">
        <v>215</v>
      </c>
      <c r="BZ646" s="2" t="s">
        <v>203</v>
      </c>
      <c r="CA646" s="2" t="s">
        <v>2144</v>
      </c>
      <c r="CB646" s="2" t="s">
        <v>4156</v>
      </c>
      <c r="CC646" s="2" t="s">
        <v>218</v>
      </c>
      <c r="CD646" s="2" t="s">
        <v>206</v>
      </c>
      <c r="CE646" s="4"/>
      <c r="CF646" s="4">
        <v>236</v>
      </c>
      <c r="CG646" s="4"/>
      <c r="CH646" s="4">
        <v>1</v>
      </c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>
        <v>100</v>
      </c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  <c r="FU646" s="4"/>
      <c r="FV646" s="4"/>
      <c r="FW646" s="4"/>
      <c r="FX646" s="4"/>
      <c r="FY646" s="4"/>
      <c r="FZ646" s="4"/>
      <c r="GA646" s="4">
        <v>100</v>
      </c>
      <c r="GB646" s="4"/>
      <c r="GC646" s="4"/>
      <c r="GD646" s="4"/>
      <c r="GE646" s="4"/>
      <c r="GF646" s="4"/>
    </row>
    <row r="647">
      <c r="A647" s="2" t="s">
        <v>4157</v>
      </c>
      <c r="B647" s="2" t="s">
        <v>461</v>
      </c>
      <c r="C647" s="2" t="s">
        <v>462</v>
      </c>
      <c r="D647" s="2" t="s">
        <v>975</v>
      </c>
      <c r="E647" s="2" t="s">
        <v>976</v>
      </c>
      <c r="F647" s="2" t="s">
        <v>4145</v>
      </c>
      <c r="G647" s="2" t="s">
        <v>4145</v>
      </c>
      <c r="H647" s="2" t="s">
        <v>4145</v>
      </c>
      <c r="I647" s="2" t="s">
        <v>4146</v>
      </c>
      <c r="J647" s="2" t="s">
        <v>434</v>
      </c>
      <c r="K647" s="2" t="s">
        <v>3224</v>
      </c>
      <c r="L647" s="3">
        <v>180.5</v>
      </c>
      <c r="M647" s="3">
        <v>189.52</v>
      </c>
      <c r="N647" s="3">
        <v>379</v>
      </c>
      <c r="O647" s="2" t="s">
        <v>203</v>
      </c>
      <c r="P647" s="2" t="s">
        <v>492</v>
      </c>
      <c r="Q647" s="2" t="s">
        <v>205</v>
      </c>
      <c r="R647" s="2" t="s">
        <v>206</v>
      </c>
      <c r="S647" s="2" t="s">
        <v>206</v>
      </c>
      <c r="T647" s="2" t="s">
        <v>206</v>
      </c>
      <c r="U647" s="2" t="s">
        <v>437</v>
      </c>
      <c r="V647" s="2" t="s">
        <v>209</v>
      </c>
      <c r="W647" s="2" t="s">
        <v>586</v>
      </c>
      <c r="X647" s="2" t="s">
        <v>206</v>
      </c>
      <c r="Y647" s="2" t="s">
        <v>1706</v>
      </c>
      <c r="Z647" s="4">
        <v>373</v>
      </c>
      <c r="AA647" s="4">
        <f>=ROUNDDOWN(19.6315789473684,0)</f>
      </c>
      <c r="AB647" s="5">
        <v>19</v>
      </c>
      <c r="AC647" s="2" t="s">
        <v>141</v>
      </c>
      <c r="AD647" s="4">
        <v>26</v>
      </c>
      <c r="AE647" s="4">
        <v>156</v>
      </c>
      <c r="AF647" s="6">
        <v>74</v>
      </c>
      <c r="AG647" s="6">
        <v>60</v>
      </c>
      <c r="AH647" s="7">
        <v>1</v>
      </c>
      <c r="AI647" s="4"/>
      <c r="AJ647" s="4">
        <f>=ROUNDDOWN({0},0)</f>
      </c>
      <c r="AK647" s="5">
        <v>14.7</v>
      </c>
      <c r="AL647" s="2" t="s">
        <v>192</v>
      </c>
      <c r="AM647" s="4">
        <v>63</v>
      </c>
      <c r="AN647" s="4">
        <v>254</v>
      </c>
      <c r="AO647" s="7">
        <v>1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206</v>
      </c>
      <c r="BD647" s="8" t="s">
        <v>206</v>
      </c>
      <c r="BE647" s="4" t="s">
        <v>206</v>
      </c>
      <c r="BF647" s="8" t="s">
        <v>206</v>
      </c>
      <c r="BG647" s="7" t="s">
        <v>206</v>
      </c>
      <c r="BH647" s="7" t="s">
        <v>206</v>
      </c>
      <c r="BI647" s="7"/>
      <c r="BJ647" s="4">
        <v>143</v>
      </c>
      <c r="BK647" s="8">
        <v>22880.07</v>
      </c>
      <c r="BL647" s="2" t="s">
        <v>4158</v>
      </c>
      <c r="BM647" s="7"/>
      <c r="BN647" s="7"/>
      <c r="BO647" s="4"/>
      <c r="BP647" s="8"/>
      <c r="BQ647" s="4"/>
      <c r="BR647" s="8"/>
      <c r="BS647" s="7"/>
      <c r="BT647" s="7"/>
      <c r="BU647" s="2" t="s">
        <v>4159</v>
      </c>
      <c r="BV647" s="2" t="s">
        <v>206</v>
      </c>
      <c r="BW647" s="2" t="s">
        <v>206</v>
      </c>
      <c r="BX647" s="2" t="s">
        <v>3688</v>
      </c>
      <c r="BY647" s="2" t="s">
        <v>215</v>
      </c>
      <c r="BZ647" s="2" t="s">
        <v>203</v>
      </c>
      <c r="CA647" s="2" t="s">
        <v>4160</v>
      </c>
      <c r="CB647" s="2" t="s">
        <v>907</v>
      </c>
      <c r="CC647" s="2" t="s">
        <v>218</v>
      </c>
      <c r="CD647" s="2" t="s">
        <v>206</v>
      </c>
      <c r="CE647" s="4"/>
      <c r="CF647" s="4">
        <v>310</v>
      </c>
      <c r="CG647" s="4"/>
      <c r="CH647" s="4">
        <v>63</v>
      </c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>
        <v>26</v>
      </c>
      <c r="ED647" s="4"/>
      <c r="EE647" s="4"/>
      <c r="EF647" s="4"/>
      <c r="EG647" s="4">
        <v>100</v>
      </c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  <c r="FT647" s="4"/>
      <c r="FU647" s="4"/>
      <c r="FV647" s="4"/>
      <c r="FW647" s="4"/>
      <c r="FX647" s="4"/>
      <c r="FY647" s="4"/>
      <c r="FZ647" s="4"/>
      <c r="GA647" s="4">
        <v>30</v>
      </c>
      <c r="GB647" s="4">
        <v>63</v>
      </c>
      <c r="GC647" s="4"/>
      <c r="GD647" s="4">
        <v>57</v>
      </c>
      <c r="GE647" s="4">
        <v>54</v>
      </c>
      <c r="GF647" s="4">
        <v>80</v>
      </c>
    </row>
    <row r="648">
      <c r="A648" s="2" t="s">
        <v>4161</v>
      </c>
      <c r="B648" s="2" t="s">
        <v>507</v>
      </c>
      <c r="C648" s="2" t="s">
        <v>828</v>
      </c>
      <c r="D648" s="2" t="s">
        <v>508</v>
      </c>
      <c r="E648" s="2" t="s">
        <v>509</v>
      </c>
      <c r="F648" s="2" t="s">
        <v>4162</v>
      </c>
      <c r="G648" s="2" t="s">
        <v>4162</v>
      </c>
      <c r="H648" s="2" t="s">
        <v>4162</v>
      </c>
      <c r="I648" s="2" t="s">
        <v>4163</v>
      </c>
      <c r="J648" s="2" t="s">
        <v>434</v>
      </c>
      <c r="K648" s="2" t="s">
        <v>483</v>
      </c>
      <c r="L648" s="3">
        <v>26.78</v>
      </c>
      <c r="M648" s="3">
        <v>28.12</v>
      </c>
      <c r="N648" s="3">
        <v>59.99</v>
      </c>
      <c r="O648" s="2" t="s">
        <v>203</v>
      </c>
      <c r="P648" s="2" t="s">
        <v>204</v>
      </c>
      <c r="Q648" s="2" t="s">
        <v>205</v>
      </c>
      <c r="R648" s="2" t="s">
        <v>206</v>
      </c>
      <c r="S648" s="2" t="s">
        <v>206</v>
      </c>
      <c r="T648" s="2" t="s">
        <v>206</v>
      </c>
      <c r="U648" s="2" t="s">
        <v>437</v>
      </c>
      <c r="V648" s="2" t="s">
        <v>468</v>
      </c>
      <c r="W648" s="2" t="s">
        <v>439</v>
      </c>
      <c r="X648" s="2" t="s">
        <v>206</v>
      </c>
      <c r="Y648" s="2" t="s">
        <v>2490</v>
      </c>
      <c r="Z648" s="4">
        <v>107</v>
      </c>
      <c r="AA648" s="4">
        <f>=ROUNDDOWN(26.75,0)</f>
      </c>
      <c r="AB648" s="5">
        <v>4</v>
      </c>
      <c r="AC648" s="2" t="s">
        <v>206</v>
      </c>
      <c r="AD648" s="4"/>
      <c r="AE648" s="4"/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206</v>
      </c>
      <c r="AM648" s="4"/>
      <c r="AN648" s="4"/>
      <c r="AO648" s="7"/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 t="s">
        <v>206</v>
      </c>
      <c r="BD648" s="8" t="s">
        <v>206</v>
      </c>
      <c r="BE648" s="4" t="s">
        <v>206</v>
      </c>
      <c r="BF648" s="8" t="s">
        <v>206</v>
      </c>
      <c r="BG648" s="7" t="s">
        <v>206</v>
      </c>
      <c r="BH648" s="7" t="s">
        <v>206</v>
      </c>
      <c r="BI648" s="7"/>
      <c r="BJ648" s="4">
        <v>18</v>
      </c>
      <c r="BK648" s="8">
        <v>526.26</v>
      </c>
      <c r="BL648" s="2" t="s">
        <v>4164</v>
      </c>
      <c r="BM648" s="7"/>
      <c r="BN648" s="7"/>
      <c r="BO648" s="4"/>
      <c r="BP648" s="8"/>
      <c r="BQ648" s="4"/>
      <c r="BR648" s="8"/>
      <c r="BS648" s="7"/>
      <c r="BT648" s="7"/>
      <c r="BU648" s="2" t="s">
        <v>4165</v>
      </c>
      <c r="BV648" s="2" t="s">
        <v>206</v>
      </c>
      <c r="BW648" s="2" t="s">
        <v>206</v>
      </c>
      <c r="BX648" s="2" t="s">
        <v>214</v>
      </c>
      <c r="BY648" s="2" t="s">
        <v>215</v>
      </c>
      <c r="BZ648" s="2" t="s">
        <v>203</v>
      </c>
      <c r="CA648" s="2" t="s">
        <v>2493</v>
      </c>
      <c r="CB648" s="2" t="s">
        <v>907</v>
      </c>
      <c r="CC648" s="2" t="s">
        <v>218</v>
      </c>
      <c r="CD648" s="2" t="s">
        <v>206</v>
      </c>
      <c r="CE648" s="4"/>
      <c r="CF648" s="4">
        <v>107</v>
      </c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  <c r="FT648" s="4"/>
      <c r="FU648" s="4"/>
      <c r="FV648" s="4"/>
      <c r="FW648" s="4"/>
      <c r="FX648" s="4"/>
      <c r="FY648" s="4"/>
      <c r="FZ648" s="4"/>
      <c r="GA648" s="4"/>
      <c r="GB648" s="4"/>
      <c r="GC648" s="4"/>
      <c r="GD648" s="4"/>
      <c r="GE648" s="4"/>
      <c r="GF648" s="4"/>
    </row>
    <row r="649">
      <c r="A649" s="2" t="s">
        <v>4166</v>
      </c>
      <c r="B649" s="2" t="s">
        <v>507</v>
      </c>
      <c r="C649" s="2" t="s">
        <v>828</v>
      </c>
      <c r="D649" s="2" t="s">
        <v>508</v>
      </c>
      <c r="E649" s="2" t="s">
        <v>509</v>
      </c>
      <c r="F649" s="2" t="s">
        <v>4162</v>
      </c>
      <c r="G649" s="2" t="s">
        <v>4162</v>
      </c>
      <c r="H649" s="2" t="s">
        <v>4162</v>
      </c>
      <c r="I649" s="2" t="s">
        <v>4163</v>
      </c>
      <c r="J649" s="2" t="s">
        <v>434</v>
      </c>
      <c r="K649" s="2" t="s">
        <v>202</v>
      </c>
      <c r="L649" s="3">
        <v>28.19</v>
      </c>
      <c r="M649" s="3">
        <v>29.6</v>
      </c>
      <c r="N649" s="3">
        <v>59.99</v>
      </c>
      <c r="O649" s="2" t="s">
        <v>203</v>
      </c>
      <c r="P649" s="2" t="s">
        <v>467</v>
      </c>
      <c r="Q649" s="2" t="s">
        <v>205</v>
      </c>
      <c r="R649" s="2" t="s">
        <v>206</v>
      </c>
      <c r="S649" s="2" t="s">
        <v>206</v>
      </c>
      <c r="T649" s="2" t="s">
        <v>206</v>
      </c>
      <c r="U649" s="2" t="s">
        <v>437</v>
      </c>
      <c r="V649" s="2" t="s">
        <v>468</v>
      </c>
      <c r="W649" s="2" t="s">
        <v>439</v>
      </c>
      <c r="X649" s="2" t="s">
        <v>206</v>
      </c>
      <c r="Y649" s="2" t="s">
        <v>2490</v>
      </c>
      <c r="Z649" s="4">
        <v>115</v>
      </c>
      <c r="AA649" s="4">
        <f>=ROUNDDOWN(31.9444444444444,0)</f>
      </c>
      <c r="AB649" s="5">
        <v>3.6</v>
      </c>
      <c r="AC649" s="2" t="s">
        <v>206</v>
      </c>
      <c r="AD649" s="4"/>
      <c r="AE649" s="4"/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206</v>
      </c>
      <c r="AM649" s="4"/>
      <c r="AN649" s="4"/>
      <c r="AO649" s="7"/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206</v>
      </c>
      <c r="BD649" s="8" t="s">
        <v>206</v>
      </c>
      <c r="BE649" s="4" t="s">
        <v>206</v>
      </c>
      <c r="BF649" s="8" t="s">
        <v>206</v>
      </c>
      <c r="BG649" s="7" t="s">
        <v>206</v>
      </c>
      <c r="BH649" s="7" t="s">
        <v>206</v>
      </c>
      <c r="BI649" s="7"/>
      <c r="BJ649" s="4">
        <v>18</v>
      </c>
      <c r="BK649" s="8">
        <v>542.54</v>
      </c>
      <c r="BL649" s="2" t="s">
        <v>4167</v>
      </c>
      <c r="BM649" s="7"/>
      <c r="BN649" s="7"/>
      <c r="BO649" s="4"/>
      <c r="BP649" s="8"/>
      <c r="BQ649" s="4"/>
      <c r="BR649" s="8"/>
      <c r="BS649" s="7"/>
      <c r="BT649" s="7"/>
      <c r="BU649" s="2" t="s">
        <v>4168</v>
      </c>
      <c r="BV649" s="2" t="s">
        <v>206</v>
      </c>
      <c r="BW649" s="2" t="s">
        <v>206</v>
      </c>
      <c r="BX649" s="2" t="s">
        <v>214</v>
      </c>
      <c r="BY649" s="2" t="s">
        <v>215</v>
      </c>
      <c r="BZ649" s="2" t="s">
        <v>203</v>
      </c>
      <c r="CA649" s="2" t="s">
        <v>2493</v>
      </c>
      <c r="CB649" s="2" t="s">
        <v>4169</v>
      </c>
      <c r="CC649" s="2" t="s">
        <v>218</v>
      </c>
      <c r="CD649" s="2" t="s">
        <v>206</v>
      </c>
      <c r="CE649" s="4"/>
      <c r="CF649" s="4">
        <v>115</v>
      </c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  <c r="FR649" s="4"/>
      <c r="FS649" s="4"/>
      <c r="FT649" s="4"/>
      <c r="FU649" s="4"/>
      <c r="FV649" s="4"/>
      <c r="FW649" s="4"/>
      <c r="FX649" s="4"/>
      <c r="FY649" s="4"/>
      <c r="FZ649" s="4"/>
      <c r="GA649" s="4"/>
      <c r="GB649" s="4"/>
      <c r="GC649" s="4"/>
      <c r="GD649" s="4"/>
      <c r="GE649" s="4"/>
      <c r="GF649" s="4"/>
    </row>
    <row r="650">
      <c r="A650" s="2" t="s">
        <v>4170</v>
      </c>
      <c r="B650" s="2" t="s">
        <v>461</v>
      </c>
      <c r="C650" s="2" t="s">
        <v>462</v>
      </c>
      <c r="D650" s="2" t="s">
        <v>882</v>
      </c>
      <c r="E650" s="2" t="s">
        <v>1196</v>
      </c>
      <c r="F650" s="2" t="s">
        <v>4171</v>
      </c>
      <c r="G650" s="2" t="s">
        <v>4171</v>
      </c>
      <c r="H650" s="2" t="s">
        <v>4171</v>
      </c>
      <c r="I650" s="2" t="s">
        <v>4172</v>
      </c>
      <c r="J650" s="2" t="s">
        <v>434</v>
      </c>
      <c r="K650" s="2" t="s">
        <v>4173</v>
      </c>
      <c r="L650" s="3">
        <v>238</v>
      </c>
      <c r="M650" s="3">
        <v>249.9</v>
      </c>
      <c r="N650" s="3">
        <v>499</v>
      </c>
      <c r="O650" s="2" t="s">
        <v>203</v>
      </c>
      <c r="P650" s="2" t="s">
        <v>467</v>
      </c>
      <c r="Q650" s="2" t="s">
        <v>205</v>
      </c>
      <c r="R650" s="2" t="s">
        <v>206</v>
      </c>
      <c r="S650" s="2" t="s">
        <v>206</v>
      </c>
      <c r="T650" s="2" t="s">
        <v>206</v>
      </c>
      <c r="U650" s="2" t="s">
        <v>437</v>
      </c>
      <c r="V650" s="2" t="s">
        <v>209</v>
      </c>
      <c r="W650" s="2" t="s">
        <v>586</v>
      </c>
      <c r="X650" s="2" t="s">
        <v>206</v>
      </c>
      <c r="Y650" s="2" t="s">
        <v>3789</v>
      </c>
      <c r="Z650" s="4">
        <v>134</v>
      </c>
      <c r="AA650" s="4">
        <f>=ROUNDDOWN(67,0)</f>
      </c>
      <c r="AB650" s="5">
        <v>2</v>
      </c>
      <c r="AC650" s="2" t="s">
        <v>120</v>
      </c>
      <c r="AD650" s="4">
        <v>40</v>
      </c>
      <c r="AE650" s="4">
        <v>40</v>
      </c>
      <c r="AF650" s="6">
        <v>66</v>
      </c>
      <c r="AG650" s="6">
        <v>49</v>
      </c>
      <c r="AH650" s="7">
        <v>1</v>
      </c>
      <c r="AI650" s="4"/>
      <c r="AJ650" s="4">
        <f>=ROUNDDOWN({0},0)</f>
      </c>
      <c r="AK650" s="5"/>
      <c r="AL650" s="2" t="s">
        <v>206</v>
      </c>
      <c r="AM650" s="4"/>
      <c r="AN650" s="4"/>
      <c r="AO650" s="7"/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/>
      <c r="BD650" s="8"/>
      <c r="BE650" s="4"/>
      <c r="BF650" s="8"/>
      <c r="BG650" s="7"/>
      <c r="BH650" s="7"/>
      <c r="BI650" s="7"/>
      <c r="BJ650" s="4">
        <v>10</v>
      </c>
      <c r="BK650" s="8">
        <v>1909.14</v>
      </c>
      <c r="BL650" s="2" t="s">
        <v>795</v>
      </c>
      <c r="BM650" s="7"/>
      <c r="BN650" s="7"/>
      <c r="BO650" s="4"/>
      <c r="BP650" s="8"/>
      <c r="BQ650" s="4"/>
      <c r="BR650" s="8"/>
      <c r="BS650" s="7"/>
      <c r="BT650" s="7"/>
      <c r="BU650" s="2" t="s">
        <v>4174</v>
      </c>
      <c r="BV650" s="2" t="s">
        <v>206</v>
      </c>
      <c r="BW650" s="2" t="s">
        <v>206</v>
      </c>
      <c r="BX650" s="2" t="s">
        <v>214</v>
      </c>
      <c r="BY650" s="2" t="s">
        <v>215</v>
      </c>
      <c r="BZ650" s="2" t="s">
        <v>203</v>
      </c>
      <c r="CA650" s="2" t="s">
        <v>4175</v>
      </c>
      <c r="CB650" s="2" t="s">
        <v>4176</v>
      </c>
      <c r="CC650" s="2" t="s">
        <v>218</v>
      </c>
      <c r="CD650" s="2" t="s">
        <v>206</v>
      </c>
      <c r="CE650" s="4"/>
      <c r="CF650" s="4">
        <v>134</v>
      </c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>
        <v>40</v>
      </c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  <c r="FT650" s="4"/>
      <c r="FU650" s="4"/>
      <c r="FV650" s="4"/>
      <c r="FW650" s="4"/>
      <c r="FX650" s="4"/>
      <c r="FY650" s="4"/>
      <c r="FZ650" s="4"/>
      <c r="GA650" s="4"/>
      <c r="GB650" s="4"/>
      <c r="GC650" s="4"/>
      <c r="GD650" s="4"/>
      <c r="GE650" s="4"/>
      <c r="GF650" s="4"/>
    </row>
    <row r="651">
      <c r="A651" s="2" t="s">
        <v>4177</v>
      </c>
      <c r="B651" s="2" t="s">
        <v>461</v>
      </c>
      <c r="C651" s="2" t="s">
        <v>462</v>
      </c>
      <c r="D651" s="2" t="s">
        <v>975</v>
      </c>
      <c r="E651" s="2" t="s">
        <v>1206</v>
      </c>
      <c r="F651" s="2" t="s">
        <v>4178</v>
      </c>
      <c r="G651" s="2" t="s">
        <v>4178</v>
      </c>
      <c r="H651" s="2" t="s">
        <v>4178</v>
      </c>
      <c r="I651" s="2" t="s">
        <v>1208</v>
      </c>
      <c r="J651" s="2" t="s">
        <v>434</v>
      </c>
      <c r="K651" s="2" t="s">
        <v>763</v>
      </c>
      <c r="L651" s="3">
        <v>174.8</v>
      </c>
      <c r="M651" s="3">
        <v>183.54</v>
      </c>
      <c r="N651" s="3">
        <v>369</v>
      </c>
      <c r="O651" s="2" t="s">
        <v>203</v>
      </c>
      <c r="P651" s="2" t="s">
        <v>204</v>
      </c>
      <c r="Q651" s="2" t="s">
        <v>205</v>
      </c>
      <c r="R651" s="2" t="s">
        <v>206</v>
      </c>
      <c r="S651" s="2" t="s">
        <v>206</v>
      </c>
      <c r="T651" s="2" t="s">
        <v>206</v>
      </c>
      <c r="U651" s="2" t="s">
        <v>437</v>
      </c>
      <c r="V651" s="2" t="s">
        <v>209</v>
      </c>
      <c r="W651" s="2" t="s">
        <v>586</v>
      </c>
      <c r="X651" s="2" t="s">
        <v>206</v>
      </c>
      <c r="Y651" s="2" t="s">
        <v>3789</v>
      </c>
      <c r="Z651" s="4">
        <v>202</v>
      </c>
      <c r="AA651" s="4">
        <f>=ROUNDDOWN(33.6666666666667,0)</f>
      </c>
      <c r="AB651" s="5">
        <v>6</v>
      </c>
      <c r="AC651" s="2" t="s">
        <v>1098</v>
      </c>
      <c r="AD651" s="4">
        <v>100</v>
      </c>
      <c r="AE651" s="4">
        <v>100</v>
      </c>
      <c r="AF651" s="6">
        <v>66</v>
      </c>
      <c r="AG651" s="6"/>
      <c r="AH651" s="7">
        <v>1</v>
      </c>
      <c r="AI651" s="4"/>
      <c r="AJ651" s="4">
        <f>=ROUNDDOWN({0},0)</f>
      </c>
      <c r="AK651" s="5"/>
      <c r="AL651" s="2" t="s">
        <v>206</v>
      </c>
      <c r="AM651" s="4"/>
      <c r="AN651" s="4"/>
      <c r="AO651" s="7"/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/>
      <c r="BD651" s="8"/>
      <c r="BE651" s="4"/>
      <c r="BF651" s="8"/>
      <c r="BG651" s="7"/>
      <c r="BH651" s="7"/>
      <c r="BI651" s="7"/>
      <c r="BJ651" s="4">
        <v>23</v>
      </c>
      <c r="BK651" s="8">
        <v>3924.27</v>
      </c>
      <c r="BL651" s="2" t="s">
        <v>4179</v>
      </c>
      <c r="BM651" s="7"/>
      <c r="BN651" s="7"/>
      <c r="BO651" s="4"/>
      <c r="BP651" s="8"/>
      <c r="BQ651" s="4"/>
      <c r="BR651" s="8"/>
      <c r="BS651" s="7"/>
      <c r="BT651" s="7"/>
      <c r="BU651" s="2" t="s">
        <v>4180</v>
      </c>
      <c r="BV651" s="2" t="s">
        <v>206</v>
      </c>
      <c r="BW651" s="2" t="s">
        <v>206</v>
      </c>
      <c r="BX651" s="2" t="s">
        <v>214</v>
      </c>
      <c r="BY651" s="2" t="s">
        <v>215</v>
      </c>
      <c r="BZ651" s="2" t="s">
        <v>203</v>
      </c>
      <c r="CA651" s="2" t="s">
        <v>1331</v>
      </c>
      <c r="CB651" s="2" t="s">
        <v>4181</v>
      </c>
      <c r="CC651" s="2" t="s">
        <v>218</v>
      </c>
      <c r="CD651" s="2" t="s">
        <v>206</v>
      </c>
      <c r="CE651" s="4"/>
      <c r="CF651" s="4">
        <v>202</v>
      </c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>
        <v>100</v>
      </c>
      <c r="EV651" s="4"/>
      <c r="EW651" s="4"/>
      <c r="EX651" s="4"/>
      <c r="EY651" s="4"/>
      <c r="EZ651" s="4"/>
      <c r="FA651" s="4"/>
      <c r="FB651" s="4"/>
      <c r="FC651" s="4"/>
      <c r="FD651" s="4"/>
      <c r="FE651" s="4"/>
      <c r="FF651" s="4"/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/>
      <c r="FR651" s="4"/>
      <c r="FS651" s="4"/>
      <c r="FT651" s="4"/>
      <c r="FU651" s="4"/>
      <c r="FV651" s="4"/>
      <c r="FW651" s="4"/>
      <c r="FX651" s="4"/>
      <c r="FY651" s="4"/>
      <c r="FZ651" s="4"/>
      <c r="GA651" s="4"/>
      <c r="GB651" s="4"/>
      <c r="GC651" s="4"/>
      <c r="GD651" s="4"/>
      <c r="GE651" s="4"/>
      <c r="GF651" s="4"/>
    </row>
    <row r="652">
      <c r="A652" s="2" t="s">
        <v>4182</v>
      </c>
      <c r="B652" s="2" t="s">
        <v>561</v>
      </c>
      <c r="C652" s="2" t="s">
        <v>562</v>
      </c>
      <c r="D652" s="2" t="s">
        <v>563</v>
      </c>
      <c r="E652" s="2" t="s">
        <v>564</v>
      </c>
      <c r="F652" s="2" t="s">
        <v>4183</v>
      </c>
      <c r="G652" s="2" t="s">
        <v>4183</v>
      </c>
      <c r="H652" s="2" t="s">
        <v>4183</v>
      </c>
      <c r="I652" s="2" t="s">
        <v>4184</v>
      </c>
      <c r="J652" s="2" t="s">
        <v>3049</v>
      </c>
      <c r="K652" s="2" t="s">
        <v>336</v>
      </c>
      <c r="L652" s="3">
        <v>8.66</v>
      </c>
      <c r="M652" s="3">
        <v>9.09</v>
      </c>
      <c r="N652" s="3">
        <v>19.99</v>
      </c>
      <c r="O652" s="2" t="s">
        <v>203</v>
      </c>
      <c r="P652" s="2" t="s">
        <v>492</v>
      </c>
      <c r="Q652" s="2" t="s">
        <v>205</v>
      </c>
      <c r="R652" s="2" t="s">
        <v>206</v>
      </c>
      <c r="S652" s="2" t="s">
        <v>206</v>
      </c>
      <c r="T652" s="2" t="s">
        <v>206</v>
      </c>
      <c r="U652" s="2" t="s">
        <v>437</v>
      </c>
      <c r="V652" s="2" t="s">
        <v>468</v>
      </c>
      <c r="W652" s="2" t="s">
        <v>210</v>
      </c>
      <c r="X652" s="2" t="s">
        <v>206</v>
      </c>
      <c r="Y652" s="2" t="s">
        <v>1444</v>
      </c>
      <c r="Z652" s="4">
        <v>6</v>
      </c>
      <c r="AA652" s="4">
        <f>=ROUNDDOWN(0.107142857142857,0)</f>
      </c>
      <c r="AB652" s="5">
        <v>56</v>
      </c>
      <c r="AC652" s="2" t="s">
        <v>109</v>
      </c>
      <c r="AD652" s="4">
        <v>1200</v>
      </c>
      <c r="AE652" s="4">
        <v>2004</v>
      </c>
      <c r="AF652" s="6">
        <v>65</v>
      </c>
      <c r="AG652" s="6"/>
      <c r="AH652" s="7">
        <v>0</v>
      </c>
      <c r="AI652" s="4"/>
      <c r="AJ652" s="4">
        <f>=ROUNDDOWN({0},0)</f>
      </c>
      <c r="AK652" s="5"/>
      <c r="AL652" s="2" t="s">
        <v>206</v>
      </c>
      <c r="AM652" s="4"/>
      <c r="AN652" s="4"/>
      <c r="AO652" s="7"/>
      <c r="AP652" s="4"/>
      <c r="AQ652" s="8"/>
      <c r="AR652" s="4"/>
      <c r="AS652" s="8"/>
      <c r="AT652" s="7"/>
      <c r="AU652" s="7"/>
      <c r="AV652" s="4" t="s">
        <v>206</v>
      </c>
      <c r="AW652" s="8" t="s">
        <v>206</v>
      </c>
      <c r="AX652" s="4" t="s">
        <v>206</v>
      </c>
      <c r="AY652" s="8" t="s">
        <v>206</v>
      </c>
      <c r="AZ652" s="7" t="s">
        <v>206</v>
      </c>
      <c r="BA652" s="7" t="s">
        <v>206</v>
      </c>
      <c r="BB652" s="7"/>
      <c r="BC652" s="4" t="s">
        <v>206</v>
      </c>
      <c r="BD652" s="8" t="s">
        <v>206</v>
      </c>
      <c r="BE652" s="4" t="s">
        <v>206</v>
      </c>
      <c r="BF652" s="8" t="s">
        <v>206</v>
      </c>
      <c r="BG652" s="7" t="s">
        <v>206</v>
      </c>
      <c r="BH652" s="7" t="s">
        <v>206</v>
      </c>
      <c r="BI652" s="7"/>
      <c r="BJ652" s="4"/>
      <c r="BK652" s="8"/>
      <c r="BL652" s="2" t="s">
        <v>206</v>
      </c>
      <c r="BM652" s="7"/>
      <c r="BN652" s="7"/>
      <c r="BO652" s="4"/>
      <c r="BP652" s="8"/>
      <c r="BQ652" s="4"/>
      <c r="BR652" s="8"/>
      <c r="BS652" s="7"/>
      <c r="BT652" s="7"/>
      <c r="BU652" s="2" t="s">
        <v>4185</v>
      </c>
      <c r="BV652" s="2" t="s">
        <v>206</v>
      </c>
      <c r="BW652" s="2" t="s">
        <v>206</v>
      </c>
      <c r="BX652" s="2" t="s">
        <v>214</v>
      </c>
      <c r="BY652" s="2" t="s">
        <v>215</v>
      </c>
      <c r="BZ652" s="2" t="s">
        <v>203</v>
      </c>
      <c r="CA652" s="2" t="s">
        <v>3631</v>
      </c>
      <c r="CB652" s="2" t="s">
        <v>206</v>
      </c>
      <c r="CC652" s="2" t="s">
        <v>218</v>
      </c>
      <c r="CD652" s="2" t="s">
        <v>206</v>
      </c>
      <c r="CE652" s="4"/>
      <c r="CF652" s="4">
        <v>3</v>
      </c>
      <c r="CG652" s="4"/>
      <c r="CH652" s="4">
        <v>3</v>
      </c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>
        <v>1200</v>
      </c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>
        <v>804</v>
      </c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  <c r="FG652" s="4"/>
      <c r="FH652" s="4"/>
      <c r="FI652" s="4"/>
      <c r="FJ652" s="4"/>
      <c r="FK652" s="4"/>
      <c r="FL652" s="4"/>
      <c r="FM652" s="4"/>
      <c r="FN652" s="4"/>
      <c r="FO652" s="4"/>
      <c r="FP652" s="4"/>
      <c r="FQ652" s="4"/>
      <c r="FR652" s="4"/>
      <c r="FS652" s="4"/>
      <c r="FT652" s="4"/>
      <c r="FU652" s="4"/>
      <c r="FV652" s="4"/>
      <c r="FW652" s="4"/>
      <c r="FX652" s="4"/>
      <c r="FY652" s="4"/>
      <c r="FZ652" s="4"/>
      <c r="GA652" s="4"/>
      <c r="GB652" s="4"/>
      <c r="GC652" s="4"/>
      <c r="GD652" s="4"/>
      <c r="GE652" s="4"/>
      <c r="GF652" s="4"/>
    </row>
    <row r="653">
      <c r="A653" s="2" t="s">
        <v>4186</v>
      </c>
      <c r="B653" s="2" t="s">
        <v>561</v>
      </c>
      <c r="C653" s="2" t="s">
        <v>562</v>
      </c>
      <c r="D653" s="2" t="s">
        <v>563</v>
      </c>
      <c r="E653" s="2" t="s">
        <v>564</v>
      </c>
      <c r="F653" s="2" t="s">
        <v>4183</v>
      </c>
      <c r="G653" s="2" t="s">
        <v>4183</v>
      </c>
      <c r="H653" s="2" t="s">
        <v>4183</v>
      </c>
      <c r="I653" s="2" t="s">
        <v>4184</v>
      </c>
      <c r="J653" s="2" t="s">
        <v>567</v>
      </c>
      <c r="K653" s="2" t="s">
        <v>336</v>
      </c>
      <c r="L653" s="3">
        <v>10.57</v>
      </c>
      <c r="M653" s="3">
        <v>11.1</v>
      </c>
      <c r="N653" s="3">
        <v>23.99</v>
      </c>
      <c r="O653" s="2" t="s">
        <v>203</v>
      </c>
      <c r="P653" s="2" t="s">
        <v>492</v>
      </c>
      <c r="Q653" s="2" t="s">
        <v>205</v>
      </c>
      <c r="R653" s="2" t="s">
        <v>206</v>
      </c>
      <c r="S653" s="2" t="s">
        <v>206</v>
      </c>
      <c r="T653" s="2" t="s">
        <v>206</v>
      </c>
      <c r="U653" s="2" t="s">
        <v>437</v>
      </c>
      <c r="V653" s="2" t="s">
        <v>468</v>
      </c>
      <c r="W653" s="2" t="s">
        <v>210</v>
      </c>
      <c r="X653" s="2" t="s">
        <v>206</v>
      </c>
      <c r="Y653" s="2" t="s">
        <v>1444</v>
      </c>
      <c r="Z653" s="4">
        <v>1359</v>
      </c>
      <c r="AA653" s="4">
        <f>=ROUNDDOWN(113.25,0)</f>
      </c>
      <c r="AB653" s="5">
        <v>12</v>
      </c>
      <c r="AC653" s="2" t="s">
        <v>206</v>
      </c>
      <c r="AD653" s="4"/>
      <c r="AE653" s="4"/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206</v>
      </c>
      <c r="AM653" s="4"/>
      <c r="AN653" s="4"/>
      <c r="AO653" s="7"/>
      <c r="AP653" s="4"/>
      <c r="AQ653" s="8"/>
      <c r="AR653" s="4"/>
      <c r="AS653" s="8"/>
      <c r="AT653" s="7"/>
      <c r="AU653" s="7"/>
      <c r="AV653" s="4" t="s">
        <v>206</v>
      </c>
      <c r="AW653" s="8" t="s">
        <v>206</v>
      </c>
      <c r="AX653" s="4" t="s">
        <v>206</v>
      </c>
      <c r="AY653" s="8" t="s">
        <v>206</v>
      </c>
      <c r="AZ653" s="7" t="s">
        <v>206</v>
      </c>
      <c r="BA653" s="7" t="s">
        <v>206</v>
      </c>
      <c r="BB653" s="7"/>
      <c r="BC653" s="4" t="s">
        <v>206</v>
      </c>
      <c r="BD653" s="8" t="s">
        <v>206</v>
      </c>
      <c r="BE653" s="4" t="s">
        <v>206</v>
      </c>
      <c r="BF653" s="8" t="s">
        <v>206</v>
      </c>
      <c r="BG653" s="7" t="s">
        <v>206</v>
      </c>
      <c r="BH653" s="7" t="s">
        <v>206</v>
      </c>
      <c r="BI653" s="7"/>
      <c r="BJ653" s="4">
        <v>28</v>
      </c>
      <c r="BK653" s="8">
        <v>337.76</v>
      </c>
      <c r="BL653" s="2" t="s">
        <v>2359</v>
      </c>
      <c r="BM653" s="7"/>
      <c r="BN653" s="7"/>
      <c r="BO653" s="4"/>
      <c r="BP653" s="8"/>
      <c r="BQ653" s="4"/>
      <c r="BR653" s="8"/>
      <c r="BS653" s="7"/>
      <c r="BT653" s="7"/>
      <c r="BU653" s="2" t="s">
        <v>4187</v>
      </c>
      <c r="BV653" s="2" t="s">
        <v>206</v>
      </c>
      <c r="BW653" s="2" t="s">
        <v>206</v>
      </c>
      <c r="BX653" s="2" t="s">
        <v>214</v>
      </c>
      <c r="BY653" s="2" t="s">
        <v>215</v>
      </c>
      <c r="BZ653" s="2" t="s">
        <v>203</v>
      </c>
      <c r="CA653" s="2" t="s">
        <v>3631</v>
      </c>
      <c r="CB653" s="2" t="s">
        <v>206</v>
      </c>
      <c r="CC653" s="2" t="s">
        <v>218</v>
      </c>
      <c r="CD653" s="2" t="s">
        <v>206</v>
      </c>
      <c r="CE653" s="4"/>
      <c r="CF653" s="4">
        <v>44</v>
      </c>
      <c r="CG653" s="4"/>
      <c r="CH653" s="4">
        <v>1315</v>
      </c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  <c r="FG653" s="4"/>
      <c r="FH653" s="4"/>
      <c r="FI653" s="4"/>
      <c r="FJ653" s="4"/>
      <c r="FK653" s="4"/>
      <c r="FL653" s="4"/>
      <c r="FM653" s="4"/>
      <c r="FN653" s="4"/>
      <c r="FO653" s="4"/>
      <c r="FP653" s="4"/>
      <c r="FQ653" s="4"/>
      <c r="FR653" s="4"/>
      <c r="FS653" s="4"/>
      <c r="FT653" s="4"/>
      <c r="FU653" s="4"/>
      <c r="FV653" s="4"/>
      <c r="FW653" s="4"/>
      <c r="FX653" s="4"/>
      <c r="FY653" s="4"/>
      <c r="FZ653" s="4"/>
      <c r="GA653" s="4"/>
      <c r="GB653" s="4"/>
      <c r="GC653" s="4"/>
      <c r="GD653" s="4"/>
      <c r="GE653" s="4"/>
      <c r="GF653" s="4"/>
    </row>
    <row r="654">
      <c r="A654" s="2" t="s">
        <v>4188</v>
      </c>
      <c r="B654" s="2" t="s">
        <v>561</v>
      </c>
      <c r="C654" s="2" t="s">
        <v>562</v>
      </c>
      <c r="D654" s="2" t="s">
        <v>563</v>
      </c>
      <c r="E654" s="2" t="s">
        <v>564</v>
      </c>
      <c r="F654" s="2" t="s">
        <v>4183</v>
      </c>
      <c r="G654" s="2" t="s">
        <v>4183</v>
      </c>
      <c r="H654" s="2" t="s">
        <v>4183</v>
      </c>
      <c r="I654" s="2" t="s">
        <v>4184</v>
      </c>
      <c r="J654" s="2" t="s">
        <v>3053</v>
      </c>
      <c r="K654" s="2" t="s">
        <v>336</v>
      </c>
      <c r="L654" s="3">
        <v>13.42</v>
      </c>
      <c r="M654" s="3">
        <v>14.09</v>
      </c>
      <c r="N654" s="3">
        <v>29.99</v>
      </c>
      <c r="O654" s="2" t="s">
        <v>203</v>
      </c>
      <c r="P654" s="2" t="s">
        <v>492</v>
      </c>
      <c r="Q654" s="2" t="s">
        <v>205</v>
      </c>
      <c r="R654" s="2" t="s">
        <v>206</v>
      </c>
      <c r="S654" s="2" t="s">
        <v>206</v>
      </c>
      <c r="T654" s="2" t="s">
        <v>206</v>
      </c>
      <c r="U654" s="2" t="s">
        <v>437</v>
      </c>
      <c r="V654" s="2" t="s">
        <v>468</v>
      </c>
      <c r="W654" s="2" t="s">
        <v>210</v>
      </c>
      <c r="X654" s="2" t="s">
        <v>206</v>
      </c>
      <c r="Y654" s="2" t="s">
        <v>1444</v>
      </c>
      <c r="Z654" s="4">
        <v>1345</v>
      </c>
      <c r="AA654" s="4">
        <f>=ROUNDDOWN(84.0625,0)</f>
      </c>
      <c r="AB654" s="5">
        <v>16</v>
      </c>
      <c r="AC654" s="2" t="s">
        <v>206</v>
      </c>
      <c r="AD654" s="4"/>
      <c r="AE654" s="4"/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206</v>
      </c>
      <c r="AM654" s="4"/>
      <c r="AN654" s="4"/>
      <c r="AO654" s="7"/>
      <c r="AP654" s="4"/>
      <c r="AQ654" s="8"/>
      <c r="AR654" s="4"/>
      <c r="AS654" s="8"/>
      <c r="AT654" s="7"/>
      <c r="AU654" s="7"/>
      <c r="AV654" s="4" t="s">
        <v>206</v>
      </c>
      <c r="AW654" s="8" t="s">
        <v>206</v>
      </c>
      <c r="AX654" s="4" t="s">
        <v>206</v>
      </c>
      <c r="AY654" s="8" t="s">
        <v>206</v>
      </c>
      <c r="AZ654" s="7" t="s">
        <v>206</v>
      </c>
      <c r="BA654" s="7" t="s">
        <v>206</v>
      </c>
      <c r="BB654" s="7"/>
      <c r="BC654" s="4" t="s">
        <v>206</v>
      </c>
      <c r="BD654" s="8" t="s">
        <v>206</v>
      </c>
      <c r="BE654" s="4" t="s">
        <v>206</v>
      </c>
      <c r="BF654" s="8" t="s">
        <v>206</v>
      </c>
      <c r="BG654" s="7" t="s">
        <v>206</v>
      </c>
      <c r="BH654" s="7" t="s">
        <v>206</v>
      </c>
      <c r="BI654" s="7"/>
      <c r="BJ654" s="4">
        <v>5</v>
      </c>
      <c r="BK654" s="8">
        <v>74.52</v>
      </c>
      <c r="BL654" s="2" t="s">
        <v>3333</v>
      </c>
      <c r="BM654" s="7"/>
      <c r="BN654" s="7"/>
      <c r="BO654" s="4"/>
      <c r="BP654" s="8"/>
      <c r="BQ654" s="4"/>
      <c r="BR654" s="8"/>
      <c r="BS654" s="7"/>
      <c r="BT654" s="7"/>
      <c r="BU654" s="2" t="s">
        <v>4189</v>
      </c>
      <c r="BV654" s="2" t="s">
        <v>206</v>
      </c>
      <c r="BW654" s="2" t="s">
        <v>206</v>
      </c>
      <c r="BX654" s="2" t="s">
        <v>214</v>
      </c>
      <c r="BY654" s="2" t="s">
        <v>215</v>
      </c>
      <c r="BZ654" s="2" t="s">
        <v>203</v>
      </c>
      <c r="CA654" s="2" t="s">
        <v>3631</v>
      </c>
      <c r="CB654" s="2" t="s">
        <v>206</v>
      </c>
      <c r="CC654" s="2" t="s">
        <v>218</v>
      </c>
      <c r="CD654" s="2" t="s">
        <v>206</v>
      </c>
      <c r="CE654" s="4"/>
      <c r="CF654" s="4">
        <v>44</v>
      </c>
      <c r="CG654" s="4"/>
      <c r="CH654" s="4">
        <v>1301</v>
      </c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  <c r="FG654" s="4"/>
      <c r="FH654" s="4"/>
      <c r="FI654" s="4"/>
      <c r="FJ654" s="4"/>
      <c r="FK654" s="4"/>
      <c r="FL654" s="4"/>
      <c r="FM654" s="4"/>
      <c r="FN654" s="4"/>
      <c r="FO654" s="4"/>
      <c r="FP654" s="4"/>
      <c r="FQ654" s="4"/>
      <c r="FR654" s="4"/>
      <c r="FS654" s="4"/>
      <c r="FT654" s="4"/>
      <c r="FU654" s="4"/>
      <c r="FV654" s="4"/>
      <c r="FW654" s="4"/>
      <c r="FX654" s="4"/>
      <c r="FY654" s="4"/>
      <c r="FZ654" s="4"/>
      <c r="GA654" s="4"/>
      <c r="GB654" s="4"/>
      <c r="GC654" s="4"/>
      <c r="GD654" s="4"/>
      <c r="GE654" s="4"/>
      <c r="GF654" s="4"/>
    </row>
    <row r="655">
      <c r="A655" s="2" t="s">
        <v>4190</v>
      </c>
      <c r="B655" s="2" t="s">
        <v>561</v>
      </c>
      <c r="C655" s="2" t="s">
        <v>562</v>
      </c>
      <c r="D655" s="2" t="s">
        <v>563</v>
      </c>
      <c r="E655" s="2" t="s">
        <v>564</v>
      </c>
      <c r="F655" s="2" t="s">
        <v>4183</v>
      </c>
      <c r="G655" s="2" t="s">
        <v>4183</v>
      </c>
      <c r="H655" s="2" t="s">
        <v>4183</v>
      </c>
      <c r="I655" s="2" t="s">
        <v>4184</v>
      </c>
      <c r="J655" s="2" t="s">
        <v>574</v>
      </c>
      <c r="K655" s="2" t="s">
        <v>336</v>
      </c>
      <c r="L655" s="3">
        <v>15.03</v>
      </c>
      <c r="M655" s="3">
        <v>15.78</v>
      </c>
      <c r="N655" s="3">
        <v>34.99</v>
      </c>
      <c r="O655" s="2" t="s">
        <v>203</v>
      </c>
      <c r="P655" s="2" t="s">
        <v>492</v>
      </c>
      <c r="Q655" s="2" t="s">
        <v>205</v>
      </c>
      <c r="R655" s="2" t="s">
        <v>206</v>
      </c>
      <c r="S655" s="2" t="s">
        <v>206</v>
      </c>
      <c r="T655" s="2" t="s">
        <v>206</v>
      </c>
      <c r="U655" s="2" t="s">
        <v>437</v>
      </c>
      <c r="V655" s="2" t="s">
        <v>468</v>
      </c>
      <c r="W655" s="2" t="s">
        <v>210</v>
      </c>
      <c r="X655" s="2" t="s">
        <v>206</v>
      </c>
      <c r="Y655" s="2" t="s">
        <v>1444</v>
      </c>
      <c r="Z655" s="4">
        <v>1749</v>
      </c>
      <c r="AA655" s="4">
        <f>=ROUNDDOWN(174.9,0)</f>
      </c>
      <c r="AB655" s="5">
        <v>10</v>
      </c>
      <c r="AC655" s="2" t="s">
        <v>206</v>
      </c>
      <c r="AD655" s="4"/>
      <c r="AE655" s="4"/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206</v>
      </c>
      <c r="AM655" s="4"/>
      <c r="AN655" s="4"/>
      <c r="AO655" s="7"/>
      <c r="AP655" s="4"/>
      <c r="AQ655" s="8"/>
      <c r="AR655" s="4"/>
      <c r="AS655" s="8"/>
      <c r="AT655" s="7"/>
      <c r="AU655" s="7"/>
      <c r="AV655" s="4" t="s">
        <v>206</v>
      </c>
      <c r="AW655" s="8" t="s">
        <v>206</v>
      </c>
      <c r="AX655" s="4" t="s">
        <v>206</v>
      </c>
      <c r="AY655" s="8" t="s">
        <v>206</v>
      </c>
      <c r="AZ655" s="7" t="s">
        <v>206</v>
      </c>
      <c r="BA655" s="7" t="s">
        <v>206</v>
      </c>
      <c r="BB655" s="7"/>
      <c r="BC655" s="4" t="s">
        <v>206</v>
      </c>
      <c r="BD655" s="8" t="s">
        <v>206</v>
      </c>
      <c r="BE655" s="4" t="s">
        <v>206</v>
      </c>
      <c r="BF655" s="8" t="s">
        <v>206</v>
      </c>
      <c r="BG655" s="7" t="s">
        <v>206</v>
      </c>
      <c r="BH655" s="7" t="s">
        <v>206</v>
      </c>
      <c r="BI655" s="7"/>
      <c r="BJ655" s="4">
        <v>12</v>
      </c>
      <c r="BK655" s="8">
        <v>207.48</v>
      </c>
      <c r="BL655" s="2" t="s">
        <v>2359</v>
      </c>
      <c r="BM655" s="7"/>
      <c r="BN655" s="7"/>
      <c r="BO655" s="4"/>
      <c r="BP655" s="8"/>
      <c r="BQ655" s="4"/>
      <c r="BR655" s="8"/>
      <c r="BS655" s="7"/>
      <c r="BT655" s="7"/>
      <c r="BU655" s="2" t="s">
        <v>4191</v>
      </c>
      <c r="BV655" s="2" t="s">
        <v>206</v>
      </c>
      <c r="BW655" s="2" t="s">
        <v>206</v>
      </c>
      <c r="BX655" s="2" t="s">
        <v>214</v>
      </c>
      <c r="BY655" s="2" t="s">
        <v>215</v>
      </c>
      <c r="BZ655" s="2" t="s">
        <v>203</v>
      </c>
      <c r="CA655" s="2" t="s">
        <v>3631</v>
      </c>
      <c r="CB655" s="2" t="s">
        <v>206</v>
      </c>
      <c r="CC655" s="2" t="s">
        <v>218</v>
      </c>
      <c r="CD655" s="2" t="s">
        <v>206</v>
      </c>
      <c r="CE655" s="4"/>
      <c r="CF655" s="4">
        <v>360</v>
      </c>
      <c r="CG655" s="4"/>
      <c r="CH655" s="4">
        <v>1389</v>
      </c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/>
      <c r="FG655" s="4"/>
      <c r="FH655" s="4"/>
      <c r="FI655" s="4"/>
      <c r="FJ655" s="4"/>
      <c r="FK655" s="4"/>
      <c r="FL655" s="4"/>
      <c r="FM655" s="4"/>
      <c r="FN655" s="4"/>
      <c r="FO655" s="4"/>
      <c r="FP655" s="4"/>
      <c r="FQ655" s="4"/>
      <c r="FR655" s="4"/>
      <c r="FS655" s="4"/>
      <c r="FT655" s="4"/>
      <c r="FU655" s="4"/>
      <c r="FV655" s="4"/>
      <c r="FW655" s="4"/>
      <c r="FX655" s="4"/>
      <c r="FY655" s="4"/>
      <c r="FZ655" s="4"/>
      <c r="GA655" s="4"/>
      <c r="GB655" s="4"/>
      <c r="GC655" s="4"/>
      <c r="GD655" s="4"/>
      <c r="GE655" s="4"/>
      <c r="GF655" s="4"/>
    </row>
    <row r="656">
      <c r="A656" s="2" t="s">
        <v>4192</v>
      </c>
      <c r="B656" s="2" t="s">
        <v>561</v>
      </c>
      <c r="C656" s="2" t="s">
        <v>562</v>
      </c>
      <c r="D656" s="2" t="s">
        <v>563</v>
      </c>
      <c r="E656" s="2" t="s">
        <v>564</v>
      </c>
      <c r="F656" s="2" t="s">
        <v>4183</v>
      </c>
      <c r="G656" s="2" t="s">
        <v>4183</v>
      </c>
      <c r="H656" s="2" t="s">
        <v>4183</v>
      </c>
      <c r="I656" s="2" t="s">
        <v>4193</v>
      </c>
      <c r="J656" s="2" t="s">
        <v>3049</v>
      </c>
      <c r="K656" s="2" t="s">
        <v>4194</v>
      </c>
      <c r="L656" s="3">
        <v>11.19</v>
      </c>
      <c r="M656" s="3">
        <v>11.75</v>
      </c>
      <c r="N656" s="3">
        <v>21.99</v>
      </c>
      <c r="O656" s="2" t="s">
        <v>203</v>
      </c>
      <c r="P656" s="2" t="s">
        <v>492</v>
      </c>
      <c r="Q656" s="2" t="s">
        <v>205</v>
      </c>
      <c r="R656" s="2" t="s">
        <v>206</v>
      </c>
      <c r="S656" s="2" t="s">
        <v>206</v>
      </c>
      <c r="T656" s="2" t="s">
        <v>206</v>
      </c>
      <c r="U656" s="2" t="s">
        <v>437</v>
      </c>
      <c r="V656" s="2" t="s">
        <v>468</v>
      </c>
      <c r="W656" s="2" t="s">
        <v>210</v>
      </c>
      <c r="X656" s="2" t="s">
        <v>206</v>
      </c>
      <c r="Y656" s="2" t="s">
        <v>4195</v>
      </c>
      <c r="Z656" s="4">
        <v>1559</v>
      </c>
      <c r="AA656" s="4">
        <f>=ROUNDDOWN(236.212121212121,0)</f>
      </c>
      <c r="AB656" s="5">
        <v>6.6</v>
      </c>
      <c r="AC656" s="2" t="s">
        <v>206</v>
      </c>
      <c r="AD656" s="4"/>
      <c r="AE656" s="4"/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206</v>
      </c>
      <c r="AM656" s="4"/>
      <c r="AN656" s="4"/>
      <c r="AO656" s="7"/>
      <c r="AP656" s="4"/>
      <c r="AQ656" s="8"/>
      <c r="AR656" s="4"/>
      <c r="AS656" s="8"/>
      <c r="AT656" s="7"/>
      <c r="AU656" s="7"/>
      <c r="AV656" s="4" t="s">
        <v>206</v>
      </c>
      <c r="AW656" s="8" t="s">
        <v>206</v>
      </c>
      <c r="AX656" s="4" t="s">
        <v>206</v>
      </c>
      <c r="AY656" s="8" t="s">
        <v>206</v>
      </c>
      <c r="AZ656" s="7" t="s">
        <v>206</v>
      </c>
      <c r="BA656" s="7" t="s">
        <v>206</v>
      </c>
      <c r="BB656" s="7"/>
      <c r="BC656" s="4" t="s">
        <v>206</v>
      </c>
      <c r="BD656" s="8" t="s">
        <v>206</v>
      </c>
      <c r="BE656" s="4" t="s">
        <v>206</v>
      </c>
      <c r="BF656" s="8" t="s">
        <v>206</v>
      </c>
      <c r="BG656" s="7" t="s">
        <v>206</v>
      </c>
      <c r="BH656" s="7" t="s">
        <v>206</v>
      </c>
      <c r="BI656" s="7"/>
      <c r="BJ656" s="4">
        <v>41</v>
      </c>
      <c r="BK656" s="8">
        <v>527.67</v>
      </c>
      <c r="BL656" s="2" t="s">
        <v>1450</v>
      </c>
      <c r="BM656" s="7"/>
      <c r="BN656" s="7"/>
      <c r="BO656" s="4"/>
      <c r="BP656" s="8"/>
      <c r="BQ656" s="4"/>
      <c r="BR656" s="8"/>
      <c r="BS656" s="7"/>
      <c r="BT656" s="7"/>
      <c r="BU656" s="2" t="s">
        <v>4196</v>
      </c>
      <c r="BV656" s="2" t="s">
        <v>206</v>
      </c>
      <c r="BW656" s="2" t="s">
        <v>206</v>
      </c>
      <c r="BX656" s="2" t="s">
        <v>214</v>
      </c>
      <c r="BY656" s="2" t="s">
        <v>215</v>
      </c>
      <c r="BZ656" s="2" t="s">
        <v>203</v>
      </c>
      <c r="CA656" s="2" t="s">
        <v>3631</v>
      </c>
      <c r="CB656" s="2" t="s">
        <v>206</v>
      </c>
      <c r="CC656" s="2" t="s">
        <v>218</v>
      </c>
      <c r="CD656" s="2" t="s">
        <v>206</v>
      </c>
      <c r="CE656" s="4"/>
      <c r="CF656" s="4">
        <v>276</v>
      </c>
      <c r="CG656" s="4"/>
      <c r="CH656" s="4">
        <v>1283</v>
      </c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  <c r="FG656" s="4"/>
      <c r="FH656" s="4"/>
      <c r="FI656" s="4"/>
      <c r="FJ656" s="4"/>
      <c r="FK656" s="4"/>
      <c r="FL656" s="4"/>
      <c r="FM656" s="4"/>
      <c r="FN656" s="4"/>
      <c r="FO656" s="4"/>
      <c r="FP656" s="4"/>
      <c r="FQ656" s="4"/>
      <c r="FR656" s="4"/>
      <c r="FS656" s="4"/>
      <c r="FT656" s="4"/>
      <c r="FU656" s="4"/>
      <c r="FV656" s="4"/>
      <c r="FW656" s="4"/>
      <c r="FX656" s="4"/>
      <c r="FY656" s="4"/>
      <c r="FZ656" s="4"/>
      <c r="GA656" s="4"/>
      <c r="GB656" s="4"/>
      <c r="GC656" s="4"/>
      <c r="GD656" s="4"/>
      <c r="GE656" s="4"/>
      <c r="GF656" s="4"/>
    </row>
    <row r="657">
      <c r="A657" s="2" t="s">
        <v>4197</v>
      </c>
      <c r="B657" s="2" t="s">
        <v>561</v>
      </c>
      <c r="C657" s="2" t="s">
        <v>562</v>
      </c>
      <c r="D657" s="2" t="s">
        <v>563</v>
      </c>
      <c r="E657" s="2" t="s">
        <v>564</v>
      </c>
      <c r="F657" s="2" t="s">
        <v>4183</v>
      </c>
      <c r="G657" s="2" t="s">
        <v>4183</v>
      </c>
      <c r="H657" s="2" t="s">
        <v>4183</v>
      </c>
      <c r="I657" s="2" t="s">
        <v>4193</v>
      </c>
      <c r="J657" s="2" t="s">
        <v>567</v>
      </c>
      <c r="K657" s="2" t="s">
        <v>4194</v>
      </c>
      <c r="L657" s="3">
        <v>13.49</v>
      </c>
      <c r="M657" s="3">
        <v>14.16</v>
      </c>
      <c r="N657" s="3">
        <v>24.99</v>
      </c>
      <c r="O657" s="2" t="s">
        <v>203</v>
      </c>
      <c r="P657" s="2" t="s">
        <v>492</v>
      </c>
      <c r="Q657" s="2" t="s">
        <v>205</v>
      </c>
      <c r="R657" s="2" t="s">
        <v>206</v>
      </c>
      <c r="S657" s="2" t="s">
        <v>206</v>
      </c>
      <c r="T657" s="2" t="s">
        <v>206</v>
      </c>
      <c r="U657" s="2" t="s">
        <v>437</v>
      </c>
      <c r="V657" s="2" t="s">
        <v>468</v>
      </c>
      <c r="W657" s="2" t="s">
        <v>210</v>
      </c>
      <c r="X657" s="2" t="s">
        <v>206</v>
      </c>
      <c r="Y657" s="2" t="s">
        <v>4195</v>
      </c>
      <c r="Z657" s="4">
        <v>1227</v>
      </c>
      <c r="AA657" s="4">
        <f>=ROUNDDOWN(49.08,0)</f>
      </c>
      <c r="AB657" s="5">
        <v>25</v>
      </c>
      <c r="AC657" s="2" t="s">
        <v>206</v>
      </c>
      <c r="AD657" s="4"/>
      <c r="AE657" s="4"/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206</v>
      </c>
      <c r="AM657" s="4"/>
      <c r="AN657" s="4"/>
      <c r="AO657" s="7"/>
      <c r="AP657" s="4"/>
      <c r="AQ657" s="8"/>
      <c r="AR657" s="4"/>
      <c r="AS657" s="8"/>
      <c r="AT657" s="7"/>
      <c r="AU657" s="7"/>
      <c r="AV657" s="4" t="s">
        <v>206</v>
      </c>
      <c r="AW657" s="8" t="s">
        <v>206</v>
      </c>
      <c r="AX657" s="4" t="s">
        <v>206</v>
      </c>
      <c r="AY657" s="8" t="s">
        <v>206</v>
      </c>
      <c r="AZ657" s="7" t="s">
        <v>206</v>
      </c>
      <c r="BA657" s="7" t="s">
        <v>206</v>
      </c>
      <c r="BB657" s="7"/>
      <c r="BC657" s="4" t="s">
        <v>206</v>
      </c>
      <c r="BD657" s="8" t="s">
        <v>206</v>
      </c>
      <c r="BE657" s="4" t="s">
        <v>206</v>
      </c>
      <c r="BF657" s="8" t="s">
        <v>206</v>
      </c>
      <c r="BG657" s="7" t="s">
        <v>206</v>
      </c>
      <c r="BH657" s="7" t="s">
        <v>206</v>
      </c>
      <c r="BI657" s="7"/>
      <c r="BJ657" s="4">
        <v>2</v>
      </c>
      <c r="BK657" s="8">
        <v>31.02</v>
      </c>
      <c r="BL657" s="2" t="s">
        <v>3333</v>
      </c>
      <c r="BM657" s="7"/>
      <c r="BN657" s="7"/>
      <c r="BO657" s="4"/>
      <c r="BP657" s="8"/>
      <c r="BQ657" s="4"/>
      <c r="BR657" s="8"/>
      <c r="BS657" s="7"/>
      <c r="BT657" s="7"/>
      <c r="BU657" s="2" t="s">
        <v>4198</v>
      </c>
      <c r="BV657" s="2" t="s">
        <v>206</v>
      </c>
      <c r="BW657" s="2" t="s">
        <v>206</v>
      </c>
      <c r="BX657" s="2" t="s">
        <v>214</v>
      </c>
      <c r="BY657" s="2" t="s">
        <v>215</v>
      </c>
      <c r="BZ657" s="2" t="s">
        <v>203</v>
      </c>
      <c r="CA657" s="2" t="s">
        <v>3631</v>
      </c>
      <c r="CB657" s="2" t="s">
        <v>206</v>
      </c>
      <c r="CC657" s="2" t="s">
        <v>218</v>
      </c>
      <c r="CD657" s="2" t="s">
        <v>206</v>
      </c>
      <c r="CE657" s="4"/>
      <c r="CF657" s="4">
        <v>2</v>
      </c>
      <c r="CG657" s="4"/>
      <c r="CH657" s="4">
        <v>1225</v>
      </c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  <c r="FG657" s="4"/>
      <c r="FH657" s="4"/>
      <c r="FI657" s="4"/>
      <c r="FJ657" s="4"/>
      <c r="FK657" s="4"/>
      <c r="FL657" s="4"/>
      <c r="FM657" s="4"/>
      <c r="FN657" s="4"/>
      <c r="FO657" s="4"/>
      <c r="FP657" s="4"/>
      <c r="FQ657" s="4"/>
      <c r="FR657" s="4"/>
      <c r="FS657" s="4"/>
      <c r="FT657" s="4"/>
      <c r="FU657" s="4"/>
      <c r="FV657" s="4"/>
      <c r="FW657" s="4"/>
      <c r="FX657" s="4"/>
      <c r="FY657" s="4"/>
      <c r="FZ657" s="4"/>
      <c r="GA657" s="4"/>
      <c r="GB657" s="4"/>
      <c r="GC657" s="4"/>
      <c r="GD657" s="4"/>
      <c r="GE657" s="4"/>
      <c r="GF657" s="4"/>
    </row>
    <row r="658">
      <c r="A658" s="2" t="s">
        <v>4199</v>
      </c>
      <c r="B658" s="2" t="s">
        <v>561</v>
      </c>
      <c r="C658" s="2" t="s">
        <v>562</v>
      </c>
      <c r="D658" s="2" t="s">
        <v>563</v>
      </c>
      <c r="E658" s="2" t="s">
        <v>564</v>
      </c>
      <c r="F658" s="2" t="s">
        <v>4183</v>
      </c>
      <c r="G658" s="2" t="s">
        <v>4183</v>
      </c>
      <c r="H658" s="2" t="s">
        <v>4183</v>
      </c>
      <c r="I658" s="2" t="s">
        <v>4193</v>
      </c>
      <c r="J658" s="2" t="s">
        <v>3053</v>
      </c>
      <c r="K658" s="2" t="s">
        <v>4194</v>
      </c>
      <c r="L658" s="3">
        <v>18.65</v>
      </c>
      <c r="M658" s="3">
        <v>19.58</v>
      </c>
      <c r="N658" s="3">
        <v>26.99</v>
      </c>
      <c r="O658" s="2" t="s">
        <v>203</v>
      </c>
      <c r="P658" s="2" t="s">
        <v>492</v>
      </c>
      <c r="Q658" s="2" t="s">
        <v>205</v>
      </c>
      <c r="R658" s="2" t="s">
        <v>206</v>
      </c>
      <c r="S658" s="2" t="s">
        <v>206</v>
      </c>
      <c r="T658" s="2" t="s">
        <v>206</v>
      </c>
      <c r="U658" s="2" t="s">
        <v>437</v>
      </c>
      <c r="V658" s="2" t="s">
        <v>468</v>
      </c>
      <c r="W658" s="2" t="s">
        <v>210</v>
      </c>
      <c r="X658" s="2" t="s">
        <v>206</v>
      </c>
      <c r="Y658" s="2" t="s">
        <v>4195</v>
      </c>
      <c r="Z658" s="4">
        <v>1534</v>
      </c>
      <c r="AA658" s="4">
        <f>=ROUNDDOWN(278.909090909091,0)</f>
      </c>
      <c r="AB658" s="5">
        <v>5.5</v>
      </c>
      <c r="AC658" s="2" t="s">
        <v>206</v>
      </c>
      <c r="AD658" s="4"/>
      <c r="AE658" s="4"/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206</v>
      </c>
      <c r="AM658" s="4"/>
      <c r="AN658" s="4"/>
      <c r="AO658" s="7"/>
      <c r="AP658" s="4"/>
      <c r="AQ658" s="8"/>
      <c r="AR658" s="4"/>
      <c r="AS658" s="8"/>
      <c r="AT658" s="7"/>
      <c r="AU658" s="7"/>
      <c r="AV658" s="4" t="s">
        <v>206</v>
      </c>
      <c r="AW658" s="8" t="s">
        <v>206</v>
      </c>
      <c r="AX658" s="4" t="s">
        <v>206</v>
      </c>
      <c r="AY658" s="8" t="s">
        <v>206</v>
      </c>
      <c r="AZ658" s="7" t="s">
        <v>206</v>
      </c>
      <c r="BA658" s="7" t="s">
        <v>206</v>
      </c>
      <c r="BB658" s="7"/>
      <c r="BC658" s="4" t="s">
        <v>206</v>
      </c>
      <c r="BD658" s="8" t="s">
        <v>206</v>
      </c>
      <c r="BE658" s="4" t="s">
        <v>206</v>
      </c>
      <c r="BF658" s="8" t="s">
        <v>206</v>
      </c>
      <c r="BG658" s="7" t="s">
        <v>206</v>
      </c>
      <c r="BH658" s="7" t="s">
        <v>206</v>
      </c>
      <c r="BI658" s="7"/>
      <c r="BJ658" s="4">
        <v>7</v>
      </c>
      <c r="BK658" s="8">
        <v>145.28</v>
      </c>
      <c r="BL658" s="2" t="s">
        <v>2359</v>
      </c>
      <c r="BM658" s="7"/>
      <c r="BN658" s="7"/>
      <c r="BO658" s="4"/>
      <c r="BP658" s="8"/>
      <c r="BQ658" s="4"/>
      <c r="BR658" s="8"/>
      <c r="BS658" s="7"/>
      <c r="BT658" s="7"/>
      <c r="BU658" s="2" t="s">
        <v>4200</v>
      </c>
      <c r="BV658" s="2" t="s">
        <v>206</v>
      </c>
      <c r="BW658" s="2" t="s">
        <v>206</v>
      </c>
      <c r="BX658" s="2" t="s">
        <v>214</v>
      </c>
      <c r="BY658" s="2" t="s">
        <v>215</v>
      </c>
      <c r="BZ658" s="2" t="s">
        <v>203</v>
      </c>
      <c r="CA658" s="2" t="s">
        <v>3631</v>
      </c>
      <c r="CB658" s="2" t="s">
        <v>206</v>
      </c>
      <c r="CC658" s="2" t="s">
        <v>218</v>
      </c>
      <c r="CD658" s="2" t="s">
        <v>206</v>
      </c>
      <c r="CE658" s="4"/>
      <c r="CF658" s="4">
        <v>167</v>
      </c>
      <c r="CG658" s="4"/>
      <c r="CH658" s="4">
        <v>1367</v>
      </c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  <c r="FD658" s="4"/>
      <c r="FE658" s="4"/>
      <c r="FF658" s="4"/>
      <c r="FG658" s="4"/>
      <c r="FH658" s="4"/>
      <c r="FI658" s="4"/>
      <c r="FJ658" s="4"/>
      <c r="FK658" s="4"/>
      <c r="FL658" s="4"/>
      <c r="FM658" s="4"/>
      <c r="FN658" s="4"/>
      <c r="FO658" s="4"/>
      <c r="FP658" s="4"/>
      <c r="FQ658" s="4"/>
      <c r="FR658" s="4"/>
      <c r="FS658" s="4"/>
      <c r="FT658" s="4"/>
      <c r="FU658" s="4"/>
      <c r="FV658" s="4"/>
      <c r="FW658" s="4"/>
      <c r="FX658" s="4"/>
      <c r="FY658" s="4"/>
      <c r="FZ658" s="4"/>
      <c r="GA658" s="4"/>
      <c r="GB658" s="4"/>
      <c r="GC658" s="4"/>
      <c r="GD658" s="4"/>
      <c r="GE658" s="4"/>
      <c r="GF658" s="4"/>
    </row>
    <row r="659">
      <c r="A659" s="2" t="s">
        <v>4201</v>
      </c>
      <c r="B659" s="2" t="s">
        <v>561</v>
      </c>
      <c r="C659" s="2" t="s">
        <v>562</v>
      </c>
      <c r="D659" s="2" t="s">
        <v>563</v>
      </c>
      <c r="E659" s="2" t="s">
        <v>564</v>
      </c>
      <c r="F659" s="2" t="s">
        <v>4183</v>
      </c>
      <c r="G659" s="2" t="s">
        <v>4183</v>
      </c>
      <c r="H659" s="2" t="s">
        <v>4183</v>
      </c>
      <c r="I659" s="2" t="s">
        <v>4193</v>
      </c>
      <c r="J659" s="2" t="s">
        <v>574</v>
      </c>
      <c r="K659" s="2" t="s">
        <v>4194</v>
      </c>
      <c r="L659" s="3">
        <v>20.9</v>
      </c>
      <c r="M659" s="3">
        <v>21.95</v>
      </c>
      <c r="N659" s="3">
        <v>29.99</v>
      </c>
      <c r="O659" s="2" t="s">
        <v>203</v>
      </c>
      <c r="P659" s="2" t="s">
        <v>492</v>
      </c>
      <c r="Q659" s="2" t="s">
        <v>205</v>
      </c>
      <c r="R659" s="2" t="s">
        <v>206</v>
      </c>
      <c r="S659" s="2" t="s">
        <v>206</v>
      </c>
      <c r="T659" s="2" t="s">
        <v>206</v>
      </c>
      <c r="U659" s="2" t="s">
        <v>437</v>
      </c>
      <c r="V659" s="2" t="s">
        <v>468</v>
      </c>
      <c r="W659" s="2" t="s">
        <v>210</v>
      </c>
      <c r="X659" s="2" t="s">
        <v>206</v>
      </c>
      <c r="Y659" s="2" t="s">
        <v>4195</v>
      </c>
      <c r="Z659" s="4">
        <v>1314</v>
      </c>
      <c r="AA659" s="4">
        <f>=ROUNDDOWN(52.56,0)</f>
      </c>
      <c r="AB659" s="5">
        <v>25</v>
      </c>
      <c r="AC659" s="2" t="s">
        <v>206</v>
      </c>
      <c r="AD659" s="4"/>
      <c r="AE659" s="4"/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206</v>
      </c>
      <c r="AM659" s="4"/>
      <c r="AN659" s="4"/>
      <c r="AO659" s="7"/>
      <c r="AP659" s="4"/>
      <c r="AQ659" s="8"/>
      <c r="AR659" s="4"/>
      <c r="AS659" s="8"/>
      <c r="AT659" s="7"/>
      <c r="AU659" s="7"/>
      <c r="AV659" s="4" t="s">
        <v>206</v>
      </c>
      <c r="AW659" s="8" t="s">
        <v>206</v>
      </c>
      <c r="AX659" s="4" t="s">
        <v>206</v>
      </c>
      <c r="AY659" s="8" t="s">
        <v>206</v>
      </c>
      <c r="AZ659" s="7" t="s">
        <v>206</v>
      </c>
      <c r="BA659" s="7" t="s">
        <v>206</v>
      </c>
      <c r="BB659" s="7"/>
      <c r="BC659" s="4" t="s">
        <v>206</v>
      </c>
      <c r="BD659" s="8" t="s">
        <v>206</v>
      </c>
      <c r="BE659" s="4" t="s">
        <v>206</v>
      </c>
      <c r="BF659" s="8" t="s">
        <v>206</v>
      </c>
      <c r="BG659" s="7" t="s">
        <v>206</v>
      </c>
      <c r="BH659" s="7" t="s">
        <v>206</v>
      </c>
      <c r="BI659" s="7"/>
      <c r="BJ659" s="4"/>
      <c r="BK659" s="8"/>
      <c r="BL659" s="2" t="s">
        <v>3333</v>
      </c>
      <c r="BM659" s="7"/>
      <c r="BN659" s="7"/>
      <c r="BO659" s="4"/>
      <c r="BP659" s="8"/>
      <c r="BQ659" s="4"/>
      <c r="BR659" s="8"/>
      <c r="BS659" s="7"/>
      <c r="BT659" s="7"/>
      <c r="BU659" s="2" t="s">
        <v>4202</v>
      </c>
      <c r="BV659" s="2" t="s">
        <v>206</v>
      </c>
      <c r="BW659" s="2" t="s">
        <v>206</v>
      </c>
      <c r="BX659" s="2" t="s">
        <v>214</v>
      </c>
      <c r="BY659" s="2" t="s">
        <v>215</v>
      </c>
      <c r="BZ659" s="2" t="s">
        <v>203</v>
      </c>
      <c r="CA659" s="2" t="s">
        <v>3631</v>
      </c>
      <c r="CB659" s="2" t="s">
        <v>206</v>
      </c>
      <c r="CC659" s="2" t="s">
        <v>218</v>
      </c>
      <c r="CD659" s="2" t="s">
        <v>206</v>
      </c>
      <c r="CE659" s="4"/>
      <c r="CF659" s="4">
        <v>11</v>
      </c>
      <c r="CG659" s="4"/>
      <c r="CH659" s="4">
        <v>1303</v>
      </c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  <c r="FD659" s="4"/>
      <c r="FE659" s="4"/>
      <c r="FF659" s="4"/>
      <c r="FG659" s="4"/>
      <c r="FH659" s="4"/>
      <c r="FI659" s="4"/>
      <c r="FJ659" s="4"/>
      <c r="FK659" s="4"/>
      <c r="FL659" s="4"/>
      <c r="FM659" s="4"/>
      <c r="FN659" s="4"/>
      <c r="FO659" s="4"/>
      <c r="FP659" s="4"/>
      <c r="FQ659" s="4"/>
      <c r="FR659" s="4"/>
      <c r="FS659" s="4"/>
      <c r="FT659" s="4"/>
      <c r="FU659" s="4"/>
      <c r="FV659" s="4"/>
      <c r="FW659" s="4"/>
      <c r="FX659" s="4"/>
      <c r="FY659" s="4"/>
      <c r="FZ659" s="4"/>
      <c r="GA659" s="4"/>
      <c r="GB659" s="4"/>
      <c r="GC659" s="4"/>
      <c r="GD659" s="4"/>
      <c r="GE659" s="4"/>
      <c r="GF659" s="4"/>
    </row>
    <row r="660">
      <c r="A660" s="2" t="s">
        <v>4203</v>
      </c>
      <c r="B660" s="2" t="s">
        <v>461</v>
      </c>
      <c r="C660" s="2" t="s">
        <v>462</v>
      </c>
      <c r="D660" s="2" t="s">
        <v>975</v>
      </c>
      <c r="E660" s="2" t="s">
        <v>976</v>
      </c>
      <c r="F660" s="2" t="s">
        <v>4204</v>
      </c>
      <c r="G660" s="2" t="s">
        <v>4204</v>
      </c>
      <c r="H660" s="2" t="s">
        <v>4204</v>
      </c>
      <c r="I660" s="2" t="s">
        <v>4205</v>
      </c>
      <c r="J660" s="2" t="s">
        <v>434</v>
      </c>
      <c r="K660" s="2" t="s">
        <v>336</v>
      </c>
      <c r="L660" s="3">
        <v>161.5</v>
      </c>
      <c r="M660" s="3">
        <v>169.58</v>
      </c>
      <c r="N660" s="3">
        <v>339</v>
      </c>
      <c r="O660" s="2" t="s">
        <v>203</v>
      </c>
      <c r="P660" s="2" t="s">
        <v>204</v>
      </c>
      <c r="Q660" s="2" t="s">
        <v>205</v>
      </c>
      <c r="R660" s="2" t="s">
        <v>206</v>
      </c>
      <c r="S660" s="2" t="s">
        <v>206</v>
      </c>
      <c r="T660" s="2" t="s">
        <v>206</v>
      </c>
      <c r="U660" s="2" t="s">
        <v>437</v>
      </c>
      <c r="V660" s="2" t="s">
        <v>209</v>
      </c>
      <c r="W660" s="2" t="s">
        <v>586</v>
      </c>
      <c r="X660" s="2" t="s">
        <v>439</v>
      </c>
      <c r="Y660" s="2" t="s">
        <v>4206</v>
      </c>
      <c r="Z660" s="4">
        <v>95</v>
      </c>
      <c r="AA660" s="4">
        <f>=ROUNDDOWN(13.5714285714286,0)</f>
      </c>
      <c r="AB660" s="5">
        <v>7</v>
      </c>
      <c r="AC660" s="2" t="s">
        <v>112</v>
      </c>
      <c r="AD660" s="4">
        <v>82</v>
      </c>
      <c r="AE660" s="4">
        <v>232</v>
      </c>
      <c r="AF660" s="6">
        <v>74</v>
      </c>
      <c r="AG660" s="6">
        <v>60</v>
      </c>
      <c r="AH660" s="7">
        <v>0.7419</v>
      </c>
      <c r="AI660" s="4"/>
      <c r="AJ660" s="4">
        <f>=ROUNDDOWN({0},0)</f>
      </c>
      <c r="AK660" s="5"/>
      <c r="AL660" s="2" t="s">
        <v>206</v>
      </c>
      <c r="AM660" s="4"/>
      <c r="AN660" s="4"/>
      <c r="AO660" s="7"/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 t="s">
        <v>206</v>
      </c>
      <c r="BD660" s="8" t="s">
        <v>206</v>
      </c>
      <c r="BE660" s="4" t="s">
        <v>206</v>
      </c>
      <c r="BF660" s="8" t="s">
        <v>206</v>
      </c>
      <c r="BG660" s="7" t="s">
        <v>206</v>
      </c>
      <c r="BH660" s="7" t="s">
        <v>206</v>
      </c>
      <c r="BI660" s="7"/>
      <c r="BJ660" s="4">
        <v>12</v>
      </c>
      <c r="BK660" s="8">
        <v>1886.22</v>
      </c>
      <c r="BL660" s="2" t="s">
        <v>4207</v>
      </c>
      <c r="BM660" s="7"/>
      <c r="BN660" s="7"/>
      <c r="BO660" s="4"/>
      <c r="BP660" s="8"/>
      <c r="BQ660" s="4"/>
      <c r="BR660" s="8"/>
      <c r="BS660" s="7"/>
      <c r="BT660" s="7"/>
      <c r="BU660" s="2" t="s">
        <v>4208</v>
      </c>
      <c r="BV660" s="2" t="s">
        <v>206</v>
      </c>
      <c r="BW660" s="2" t="s">
        <v>206</v>
      </c>
      <c r="BX660" s="2" t="s">
        <v>3688</v>
      </c>
      <c r="BY660" s="2" t="s">
        <v>215</v>
      </c>
      <c r="BZ660" s="2" t="s">
        <v>203</v>
      </c>
      <c r="CA660" s="2" t="s">
        <v>4206</v>
      </c>
      <c r="CB660" s="2" t="s">
        <v>4209</v>
      </c>
      <c r="CC660" s="2" t="s">
        <v>218</v>
      </c>
      <c r="CD660" s="2" t="s">
        <v>206</v>
      </c>
      <c r="CE660" s="4"/>
      <c r="CF660" s="4">
        <v>95</v>
      </c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>
        <v>82</v>
      </c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>
        <v>42</v>
      </c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>
        <v>8</v>
      </c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>
        <v>100</v>
      </c>
      <c r="FB660" s="4"/>
      <c r="FC660" s="4"/>
      <c r="FD660" s="4"/>
      <c r="FE660" s="4"/>
      <c r="FF660" s="4"/>
      <c r="FG660" s="4"/>
      <c r="FH660" s="4"/>
      <c r="FI660" s="4"/>
      <c r="FJ660" s="4"/>
      <c r="FK660" s="4"/>
      <c r="FL660" s="4"/>
      <c r="FM660" s="4"/>
      <c r="FN660" s="4"/>
      <c r="FO660" s="4"/>
      <c r="FP660" s="4"/>
      <c r="FQ660" s="4"/>
      <c r="FR660" s="4"/>
      <c r="FS660" s="4"/>
      <c r="FT660" s="4"/>
      <c r="FU660" s="4"/>
      <c r="FV660" s="4"/>
      <c r="FW660" s="4"/>
      <c r="FX660" s="4"/>
      <c r="FY660" s="4"/>
      <c r="FZ660" s="4"/>
      <c r="GA660" s="4"/>
      <c r="GB660" s="4"/>
      <c r="GC660" s="4"/>
      <c r="GD660" s="4"/>
      <c r="GE660" s="4"/>
      <c r="GF660" s="4"/>
    </row>
    <row r="661">
      <c r="A661" s="2" t="s">
        <v>4210</v>
      </c>
      <c r="B661" s="2" t="s">
        <v>461</v>
      </c>
      <c r="C661" s="2" t="s">
        <v>462</v>
      </c>
      <c r="D661" s="2" t="s">
        <v>975</v>
      </c>
      <c r="E661" s="2" t="s">
        <v>976</v>
      </c>
      <c r="F661" s="2" t="s">
        <v>4204</v>
      </c>
      <c r="G661" s="2" t="s">
        <v>4204</v>
      </c>
      <c r="H661" s="2" t="s">
        <v>4204</v>
      </c>
      <c r="I661" s="2" t="s">
        <v>4205</v>
      </c>
      <c r="J661" s="2" t="s">
        <v>434</v>
      </c>
      <c r="K661" s="2" t="s">
        <v>3224</v>
      </c>
      <c r="L661" s="3">
        <v>161.5</v>
      </c>
      <c r="M661" s="3">
        <v>169.58</v>
      </c>
      <c r="N661" s="3">
        <v>339</v>
      </c>
      <c r="O661" s="2" t="s">
        <v>203</v>
      </c>
      <c r="P661" s="2" t="s">
        <v>467</v>
      </c>
      <c r="Q661" s="2" t="s">
        <v>205</v>
      </c>
      <c r="R661" s="2" t="s">
        <v>206</v>
      </c>
      <c r="S661" s="2" t="s">
        <v>206</v>
      </c>
      <c r="T661" s="2" t="s">
        <v>206</v>
      </c>
      <c r="U661" s="2" t="s">
        <v>437</v>
      </c>
      <c r="V661" s="2" t="s">
        <v>209</v>
      </c>
      <c r="W661" s="2" t="s">
        <v>586</v>
      </c>
      <c r="X661" s="2" t="s">
        <v>439</v>
      </c>
      <c r="Y661" s="2" t="s">
        <v>4211</v>
      </c>
      <c r="Z661" s="4">
        <v>182</v>
      </c>
      <c r="AA661" s="4">
        <f>=ROUNDDOWN(36.4,0)</f>
      </c>
      <c r="AB661" s="5">
        <v>5</v>
      </c>
      <c r="AC661" s="2" t="s">
        <v>124</v>
      </c>
      <c r="AD661" s="4">
        <v>10</v>
      </c>
      <c r="AE661" s="4">
        <v>57</v>
      </c>
      <c r="AF661" s="6">
        <v>74</v>
      </c>
      <c r="AG661" s="6">
        <v>60</v>
      </c>
      <c r="AH661" s="7">
        <v>0.9677</v>
      </c>
      <c r="AI661" s="4"/>
      <c r="AJ661" s="4">
        <f>=ROUNDDOWN({0},0)</f>
      </c>
      <c r="AK661" s="5"/>
      <c r="AL661" s="2" t="s">
        <v>206</v>
      </c>
      <c r="AM661" s="4"/>
      <c r="AN661" s="4"/>
      <c r="AO661" s="7"/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 t="s">
        <v>206</v>
      </c>
      <c r="BD661" s="8" t="s">
        <v>206</v>
      </c>
      <c r="BE661" s="4" t="s">
        <v>206</v>
      </c>
      <c r="BF661" s="8" t="s">
        <v>206</v>
      </c>
      <c r="BG661" s="7" t="s">
        <v>206</v>
      </c>
      <c r="BH661" s="7" t="s">
        <v>206</v>
      </c>
      <c r="BI661" s="7"/>
      <c r="BJ661" s="4">
        <v>12</v>
      </c>
      <c r="BK661" s="8">
        <v>1741.29</v>
      </c>
      <c r="BL661" s="2" t="s">
        <v>4212</v>
      </c>
      <c r="BM661" s="7"/>
      <c r="BN661" s="7"/>
      <c r="BO661" s="4"/>
      <c r="BP661" s="8"/>
      <c r="BQ661" s="4"/>
      <c r="BR661" s="8"/>
      <c r="BS661" s="7"/>
      <c r="BT661" s="7"/>
      <c r="BU661" s="2" t="s">
        <v>4213</v>
      </c>
      <c r="BV661" s="2" t="s">
        <v>206</v>
      </c>
      <c r="BW661" s="2" t="s">
        <v>206</v>
      </c>
      <c r="BX661" s="2" t="s">
        <v>3688</v>
      </c>
      <c r="BY661" s="2" t="s">
        <v>215</v>
      </c>
      <c r="BZ661" s="2" t="s">
        <v>203</v>
      </c>
      <c r="CA661" s="2" t="s">
        <v>4214</v>
      </c>
      <c r="CB661" s="2" t="s">
        <v>206</v>
      </c>
      <c r="CC661" s="2" t="s">
        <v>218</v>
      </c>
      <c r="CD661" s="2" t="s">
        <v>206</v>
      </c>
      <c r="CE661" s="4"/>
      <c r="CF661" s="4">
        <v>91</v>
      </c>
      <c r="CG661" s="4"/>
      <c r="CH661" s="4">
        <v>90</v>
      </c>
      <c r="CI661" s="4"/>
      <c r="CJ661" s="4"/>
      <c r="CK661" s="4"/>
      <c r="CL661" s="4"/>
      <c r="CM661" s="4"/>
      <c r="CN661" s="4"/>
      <c r="CO661" s="4"/>
      <c r="CP661" s="4">
        <v>1</v>
      </c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>
        <v>10</v>
      </c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/>
      <c r="EZ661" s="4"/>
      <c r="FA661" s="4"/>
      <c r="FB661" s="4"/>
      <c r="FC661" s="4"/>
      <c r="FD661" s="4"/>
      <c r="FE661" s="4"/>
      <c r="FF661" s="4"/>
      <c r="FG661" s="4"/>
      <c r="FH661" s="4"/>
      <c r="FI661" s="4"/>
      <c r="FJ661" s="4"/>
      <c r="FK661" s="4"/>
      <c r="FL661" s="4"/>
      <c r="FM661" s="4"/>
      <c r="FN661" s="4"/>
      <c r="FO661" s="4">
        <v>47</v>
      </c>
      <c r="FP661" s="4"/>
      <c r="FQ661" s="4"/>
      <c r="FR661" s="4"/>
      <c r="FS661" s="4"/>
      <c r="FT661" s="4"/>
      <c r="FU661" s="4"/>
      <c r="FV661" s="4"/>
      <c r="FW661" s="4"/>
      <c r="FX661" s="4"/>
      <c r="FY661" s="4"/>
      <c r="FZ661" s="4"/>
      <c r="GA661" s="4"/>
      <c r="GB661" s="4"/>
      <c r="GC661" s="4"/>
      <c r="GD661" s="4"/>
      <c r="GE661" s="4"/>
      <c r="GF661" s="4"/>
    </row>
    <row r="662">
      <c r="A662" s="2" t="s">
        <v>4215</v>
      </c>
      <c r="B662" s="2" t="s">
        <v>461</v>
      </c>
      <c r="C662" s="2" t="s">
        <v>462</v>
      </c>
      <c r="D662" s="2" t="s">
        <v>975</v>
      </c>
      <c r="E662" s="2" t="s">
        <v>976</v>
      </c>
      <c r="F662" s="2" t="s">
        <v>4204</v>
      </c>
      <c r="G662" s="2" t="s">
        <v>4204</v>
      </c>
      <c r="H662" s="2" t="s">
        <v>4204</v>
      </c>
      <c r="I662" s="2" t="s">
        <v>4205</v>
      </c>
      <c r="J662" s="2" t="s">
        <v>434</v>
      </c>
      <c r="K662" s="2" t="s">
        <v>1060</v>
      </c>
      <c r="L662" s="3">
        <v>161.5</v>
      </c>
      <c r="M662" s="3">
        <v>169.58</v>
      </c>
      <c r="N662" s="3">
        <v>339</v>
      </c>
      <c r="O662" s="2" t="s">
        <v>203</v>
      </c>
      <c r="P662" s="2" t="s">
        <v>1037</v>
      </c>
      <c r="Q662" s="2" t="s">
        <v>205</v>
      </c>
      <c r="R662" s="2" t="s">
        <v>206</v>
      </c>
      <c r="S662" s="2" t="s">
        <v>4216</v>
      </c>
      <c r="T662" s="2" t="s">
        <v>206</v>
      </c>
      <c r="U662" s="2" t="s">
        <v>437</v>
      </c>
      <c r="V662" s="2" t="s">
        <v>209</v>
      </c>
      <c r="W662" s="2" t="s">
        <v>586</v>
      </c>
      <c r="X662" s="2" t="s">
        <v>439</v>
      </c>
      <c r="Y662" s="2" t="s">
        <v>211</v>
      </c>
      <c r="Z662" s="4">
        <v>461</v>
      </c>
      <c r="AA662" s="4">
        <f>=ROUNDDOWN(33.4057971014493,0)</f>
      </c>
      <c r="AB662" s="5">
        <v>13.8</v>
      </c>
      <c r="AC662" s="2" t="s">
        <v>112</v>
      </c>
      <c r="AD662" s="4">
        <v>219</v>
      </c>
      <c r="AE662" s="4">
        <v>537</v>
      </c>
      <c r="AF662" s="6">
        <v>74</v>
      </c>
      <c r="AG662" s="6">
        <v>60</v>
      </c>
      <c r="AH662" s="7">
        <v>1</v>
      </c>
      <c r="AI662" s="4"/>
      <c r="AJ662" s="4">
        <f>=ROUNDDOWN({0},0)</f>
      </c>
      <c r="AK662" s="5">
        <v>8.6</v>
      </c>
      <c r="AL662" s="2" t="s">
        <v>4217</v>
      </c>
      <c r="AM662" s="4">
        <v>140</v>
      </c>
      <c r="AN662" s="4">
        <v>220</v>
      </c>
      <c r="AO662" s="7">
        <v>1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206</v>
      </c>
      <c r="BD662" s="8" t="s">
        <v>206</v>
      </c>
      <c r="BE662" s="4" t="s">
        <v>206</v>
      </c>
      <c r="BF662" s="8" t="s">
        <v>206</v>
      </c>
      <c r="BG662" s="7" t="s">
        <v>206</v>
      </c>
      <c r="BH662" s="7" t="s">
        <v>206</v>
      </c>
      <c r="BI662" s="7"/>
      <c r="BJ662" s="4">
        <v>113</v>
      </c>
      <c r="BK662" s="8">
        <v>17595.62</v>
      </c>
      <c r="BL662" s="2" t="s">
        <v>4218</v>
      </c>
      <c r="BM662" s="7"/>
      <c r="BN662" s="7"/>
      <c r="BO662" s="4"/>
      <c r="BP662" s="8"/>
      <c r="BQ662" s="4"/>
      <c r="BR662" s="8"/>
      <c r="BS662" s="7"/>
      <c r="BT662" s="7"/>
      <c r="BU662" s="2" t="s">
        <v>4219</v>
      </c>
      <c r="BV662" s="2" t="s">
        <v>206</v>
      </c>
      <c r="BW662" s="2" t="s">
        <v>206</v>
      </c>
      <c r="BX662" s="2" t="s">
        <v>3688</v>
      </c>
      <c r="BY662" s="2" t="s">
        <v>215</v>
      </c>
      <c r="BZ662" s="2" t="s">
        <v>203</v>
      </c>
      <c r="CA662" s="2" t="s">
        <v>4220</v>
      </c>
      <c r="CB662" s="2" t="s">
        <v>4156</v>
      </c>
      <c r="CC662" s="2" t="s">
        <v>218</v>
      </c>
      <c r="CD662" s="2" t="s">
        <v>206</v>
      </c>
      <c r="CE662" s="4"/>
      <c r="CF662" s="4">
        <v>238</v>
      </c>
      <c r="CG662" s="4"/>
      <c r="CH662" s="4">
        <v>223</v>
      </c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>
        <v>219</v>
      </c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>
        <v>204</v>
      </c>
      <c r="DL662" s="4">
        <v>38</v>
      </c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>
        <v>8</v>
      </c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>
        <v>48</v>
      </c>
      <c r="FB662" s="4"/>
      <c r="FC662" s="4"/>
      <c r="FD662" s="4"/>
      <c r="FE662" s="4"/>
      <c r="FF662" s="4"/>
      <c r="FG662" s="4"/>
      <c r="FH662" s="4"/>
      <c r="FI662" s="4"/>
      <c r="FJ662" s="4"/>
      <c r="FK662" s="4"/>
      <c r="FL662" s="4"/>
      <c r="FM662" s="4"/>
      <c r="FN662" s="4"/>
      <c r="FO662" s="4"/>
      <c r="FP662" s="4"/>
      <c r="FQ662" s="4"/>
      <c r="FR662" s="4"/>
      <c r="FS662" s="4">
        <v>20</v>
      </c>
      <c r="FT662" s="4"/>
      <c r="FU662" s="4"/>
      <c r="FV662" s="4"/>
      <c r="FW662" s="4"/>
      <c r="FX662" s="4"/>
      <c r="FY662" s="4"/>
      <c r="FZ662" s="4"/>
      <c r="GA662" s="4"/>
      <c r="GB662" s="4"/>
      <c r="GC662" s="4"/>
      <c r="GD662" s="4">
        <v>140</v>
      </c>
      <c r="GE662" s="4">
        <v>80</v>
      </c>
      <c r="GF662" s="4"/>
    </row>
    <row r="663">
      <c r="A663" s="2" t="s">
        <v>4221</v>
      </c>
      <c r="B663" s="2" t="s">
        <v>461</v>
      </c>
      <c r="C663" s="2" t="s">
        <v>462</v>
      </c>
      <c r="D663" s="2" t="s">
        <v>975</v>
      </c>
      <c r="E663" s="2" t="s">
        <v>976</v>
      </c>
      <c r="F663" s="2" t="s">
        <v>4204</v>
      </c>
      <c r="G663" s="2" t="s">
        <v>4204</v>
      </c>
      <c r="H663" s="2" t="s">
        <v>4204</v>
      </c>
      <c r="I663" s="2" t="s">
        <v>4205</v>
      </c>
      <c r="J663" s="2" t="s">
        <v>434</v>
      </c>
      <c r="K663" s="2" t="s">
        <v>499</v>
      </c>
      <c r="L663" s="3">
        <v>161.5</v>
      </c>
      <c r="M663" s="3">
        <v>169.58</v>
      </c>
      <c r="N663" s="3">
        <v>339</v>
      </c>
      <c r="O663" s="2" t="s">
        <v>203</v>
      </c>
      <c r="P663" s="2" t="s">
        <v>204</v>
      </c>
      <c r="Q663" s="2" t="s">
        <v>205</v>
      </c>
      <c r="R663" s="2" t="s">
        <v>206</v>
      </c>
      <c r="S663" s="2" t="s">
        <v>206</v>
      </c>
      <c r="T663" s="2" t="s">
        <v>206</v>
      </c>
      <c r="U663" s="2" t="s">
        <v>437</v>
      </c>
      <c r="V663" s="2" t="s">
        <v>209</v>
      </c>
      <c r="W663" s="2" t="s">
        <v>586</v>
      </c>
      <c r="X663" s="2" t="s">
        <v>439</v>
      </c>
      <c r="Y663" s="2" t="s">
        <v>4206</v>
      </c>
      <c r="Z663" s="4">
        <v>122</v>
      </c>
      <c r="AA663" s="4">
        <f>=ROUNDDOWN(13.1182795698925,0)</f>
      </c>
      <c r="AB663" s="5">
        <v>9.3</v>
      </c>
      <c r="AC663" s="2" t="s">
        <v>112</v>
      </c>
      <c r="AD663" s="4">
        <v>69</v>
      </c>
      <c r="AE663" s="4">
        <v>359</v>
      </c>
      <c r="AF663" s="6">
        <v>74</v>
      </c>
      <c r="AG663" s="6">
        <v>60</v>
      </c>
      <c r="AH663" s="7">
        <v>1</v>
      </c>
      <c r="AI663" s="4"/>
      <c r="AJ663" s="4">
        <f>=ROUNDDOWN({0},0)</f>
      </c>
      <c r="AK663" s="5"/>
      <c r="AL663" s="2" t="s">
        <v>206</v>
      </c>
      <c r="AM663" s="4"/>
      <c r="AN663" s="4"/>
      <c r="AO663" s="7"/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 t="s">
        <v>206</v>
      </c>
      <c r="BD663" s="8" t="s">
        <v>206</v>
      </c>
      <c r="BE663" s="4" t="s">
        <v>206</v>
      </c>
      <c r="BF663" s="8" t="s">
        <v>206</v>
      </c>
      <c r="BG663" s="7" t="s">
        <v>206</v>
      </c>
      <c r="BH663" s="7" t="s">
        <v>206</v>
      </c>
      <c r="BI663" s="7"/>
      <c r="BJ663" s="4">
        <v>24</v>
      </c>
      <c r="BK663" s="8">
        <v>3470.02</v>
      </c>
      <c r="BL663" s="2" t="s">
        <v>4222</v>
      </c>
      <c r="BM663" s="7"/>
      <c r="BN663" s="7"/>
      <c r="BO663" s="4"/>
      <c r="BP663" s="8"/>
      <c r="BQ663" s="4"/>
      <c r="BR663" s="8"/>
      <c r="BS663" s="7"/>
      <c r="BT663" s="7"/>
      <c r="BU663" s="2" t="s">
        <v>4223</v>
      </c>
      <c r="BV663" s="2" t="s">
        <v>206</v>
      </c>
      <c r="BW663" s="2" t="s">
        <v>206</v>
      </c>
      <c r="BX663" s="2" t="s">
        <v>3688</v>
      </c>
      <c r="BY663" s="2" t="s">
        <v>215</v>
      </c>
      <c r="BZ663" s="2" t="s">
        <v>203</v>
      </c>
      <c r="CA663" s="2" t="s">
        <v>4206</v>
      </c>
      <c r="CB663" s="2" t="s">
        <v>4224</v>
      </c>
      <c r="CC663" s="2" t="s">
        <v>218</v>
      </c>
      <c r="CD663" s="2" t="s">
        <v>206</v>
      </c>
      <c r="CE663" s="4"/>
      <c r="CF663" s="4">
        <v>122</v>
      </c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>
        <v>69</v>
      </c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>
        <v>90</v>
      </c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>
        <v>100</v>
      </c>
      <c r="FB663" s="4"/>
      <c r="FC663" s="4"/>
      <c r="FD663" s="4"/>
      <c r="FE663" s="4"/>
      <c r="FF663" s="4"/>
      <c r="FG663" s="4"/>
      <c r="FH663" s="4"/>
      <c r="FI663" s="4"/>
      <c r="FJ663" s="4"/>
      <c r="FK663" s="4"/>
      <c r="FL663" s="4"/>
      <c r="FM663" s="4">
        <v>100</v>
      </c>
      <c r="FN663" s="4"/>
      <c r="FO663" s="4"/>
      <c r="FP663" s="4"/>
      <c r="FQ663" s="4"/>
      <c r="FR663" s="4"/>
      <c r="FS663" s="4"/>
      <c r="FT663" s="4"/>
      <c r="FU663" s="4"/>
      <c r="FV663" s="4"/>
      <c r="FW663" s="4"/>
      <c r="FX663" s="4"/>
      <c r="FY663" s="4"/>
      <c r="FZ663" s="4"/>
      <c r="GA663" s="4"/>
      <c r="GB663" s="4"/>
      <c r="GC663" s="4"/>
      <c r="GD663" s="4"/>
      <c r="GE663" s="4"/>
      <c r="GF663" s="4"/>
    </row>
    <row r="664">
      <c r="A664" s="2" t="s">
        <v>4225</v>
      </c>
      <c r="B664" s="2" t="s">
        <v>225</v>
      </c>
      <c r="C664" s="2" t="s">
        <v>1145</v>
      </c>
      <c r="D664" s="2" t="s">
        <v>227</v>
      </c>
      <c r="E664" s="2" t="s">
        <v>228</v>
      </c>
      <c r="F664" s="2" t="s">
        <v>1932</v>
      </c>
      <c r="G664" s="2" t="s">
        <v>1932</v>
      </c>
      <c r="H664" s="2" t="s">
        <v>1932</v>
      </c>
      <c r="I664" s="2" t="s">
        <v>4226</v>
      </c>
      <c r="J664" s="2" t="s">
        <v>4227</v>
      </c>
      <c r="K664" s="2" t="s">
        <v>4228</v>
      </c>
      <c r="L664" s="3">
        <v>12.6</v>
      </c>
      <c r="M664" s="3">
        <v>13.23</v>
      </c>
      <c r="N664" s="3">
        <v>27.99</v>
      </c>
      <c r="O664" s="2" t="s">
        <v>203</v>
      </c>
      <c r="P664" s="2" t="s">
        <v>204</v>
      </c>
      <c r="Q664" s="2" t="s">
        <v>205</v>
      </c>
      <c r="R664" s="2" t="s">
        <v>206</v>
      </c>
      <c r="S664" s="2" t="s">
        <v>4229</v>
      </c>
      <c r="T664" s="2" t="s">
        <v>292</v>
      </c>
      <c r="U664" s="2" t="s">
        <v>206</v>
      </c>
      <c r="V664" s="2" t="s">
        <v>1932</v>
      </c>
      <c r="W664" s="2" t="s">
        <v>210</v>
      </c>
      <c r="X664" s="2" t="s">
        <v>206</v>
      </c>
      <c r="Y664" s="2" t="s">
        <v>1328</v>
      </c>
      <c r="Z664" s="4">
        <v>29</v>
      </c>
      <c r="AA664" s="4">
        <f>=ROUNDDOWN(5.8,0)</f>
      </c>
      <c r="AB664" s="5">
        <v>5</v>
      </c>
      <c r="AC664" s="2" t="s">
        <v>139</v>
      </c>
      <c r="AD664" s="4">
        <v>150</v>
      </c>
      <c r="AE664" s="4">
        <v>150</v>
      </c>
      <c r="AF664" s="6">
        <v>65</v>
      </c>
      <c r="AG664" s="6"/>
      <c r="AH664" s="7">
        <v>1</v>
      </c>
      <c r="AI664" s="4"/>
      <c r="AJ664" s="4">
        <f>=ROUNDDOWN({0},0)</f>
      </c>
      <c r="AK664" s="5"/>
      <c r="AL664" s="2" t="s">
        <v>206</v>
      </c>
      <c r="AM664" s="4"/>
      <c r="AN664" s="4"/>
      <c r="AO664" s="7"/>
      <c r="AP664" s="4"/>
      <c r="AQ664" s="8"/>
      <c r="AR664" s="4"/>
      <c r="AS664" s="8"/>
      <c r="AT664" s="7"/>
      <c r="AU664" s="7"/>
      <c r="AV664" s="4" t="s">
        <v>206</v>
      </c>
      <c r="AW664" s="8" t="s">
        <v>206</v>
      </c>
      <c r="AX664" s="4" t="s">
        <v>206</v>
      </c>
      <c r="AY664" s="8" t="s">
        <v>206</v>
      </c>
      <c r="AZ664" s="7" t="s">
        <v>206</v>
      </c>
      <c r="BA664" s="7" t="s">
        <v>206</v>
      </c>
      <c r="BB664" s="7"/>
      <c r="BC664" s="4" t="s">
        <v>206</v>
      </c>
      <c r="BD664" s="8" t="s">
        <v>206</v>
      </c>
      <c r="BE664" s="4" t="s">
        <v>206</v>
      </c>
      <c r="BF664" s="8" t="s">
        <v>206</v>
      </c>
      <c r="BG664" s="7" t="s">
        <v>206</v>
      </c>
      <c r="BH664" s="7" t="s">
        <v>206</v>
      </c>
      <c r="BI664" s="7"/>
      <c r="BJ664" s="4">
        <v>34</v>
      </c>
      <c r="BK664" s="8">
        <v>481.94</v>
      </c>
      <c r="BL664" s="2" t="s">
        <v>4230</v>
      </c>
      <c r="BM664" s="7"/>
      <c r="BN664" s="7"/>
      <c r="BO664" s="4"/>
      <c r="BP664" s="8"/>
      <c r="BQ664" s="4"/>
      <c r="BR664" s="8"/>
      <c r="BS664" s="7"/>
      <c r="BT664" s="7"/>
      <c r="BU664" s="2" t="s">
        <v>4231</v>
      </c>
      <c r="BV664" s="2" t="s">
        <v>206</v>
      </c>
      <c r="BW664" s="2" t="s">
        <v>206</v>
      </c>
      <c r="BX664" s="2" t="s">
        <v>214</v>
      </c>
      <c r="BY664" s="2" t="s">
        <v>215</v>
      </c>
      <c r="BZ664" s="2" t="s">
        <v>203</v>
      </c>
      <c r="CA664" s="2" t="s">
        <v>4232</v>
      </c>
      <c r="CB664" s="2" t="s">
        <v>4181</v>
      </c>
      <c r="CC664" s="2" t="s">
        <v>218</v>
      </c>
      <c r="CD664" s="2" t="s">
        <v>206</v>
      </c>
      <c r="CE664" s="4">
        <v>29</v>
      </c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>
        <v>150</v>
      </c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/>
      <c r="FH664" s="4"/>
      <c r="FI664" s="4"/>
      <c r="FJ664" s="4"/>
      <c r="FK664" s="4"/>
      <c r="FL664" s="4"/>
      <c r="FM664" s="4"/>
      <c r="FN664" s="4"/>
      <c r="FO664" s="4"/>
      <c r="FP664" s="4"/>
      <c r="FQ664" s="4"/>
      <c r="FR664" s="4"/>
      <c r="FS664" s="4"/>
      <c r="FT664" s="4"/>
      <c r="FU664" s="4"/>
      <c r="FV664" s="4"/>
      <c r="FW664" s="4"/>
      <c r="FX664" s="4"/>
      <c r="FY664" s="4"/>
      <c r="FZ664" s="4"/>
      <c r="GA664" s="4"/>
      <c r="GB664" s="4"/>
      <c r="GC664" s="4"/>
      <c r="GD664" s="4"/>
      <c r="GE664" s="4"/>
      <c r="GF664" s="4"/>
    </row>
    <row r="665">
      <c r="A665" s="2" t="s">
        <v>4233</v>
      </c>
      <c r="B665" s="2" t="s">
        <v>225</v>
      </c>
      <c r="C665" s="2" t="s">
        <v>1145</v>
      </c>
      <c r="D665" s="2" t="s">
        <v>227</v>
      </c>
      <c r="E665" s="2" t="s">
        <v>228</v>
      </c>
      <c r="F665" s="2" t="s">
        <v>1932</v>
      </c>
      <c r="G665" s="2" t="s">
        <v>1932</v>
      </c>
      <c r="H665" s="2" t="s">
        <v>1932</v>
      </c>
      <c r="I665" s="2" t="s">
        <v>4226</v>
      </c>
      <c r="J665" s="2" t="s">
        <v>282</v>
      </c>
      <c r="K665" s="2" t="s">
        <v>4228</v>
      </c>
      <c r="L665" s="3">
        <v>14.85</v>
      </c>
      <c r="M665" s="3">
        <v>15.59</v>
      </c>
      <c r="N665" s="3">
        <v>32.99</v>
      </c>
      <c r="O665" s="2" t="s">
        <v>203</v>
      </c>
      <c r="P665" s="2" t="s">
        <v>204</v>
      </c>
      <c r="Q665" s="2" t="s">
        <v>205</v>
      </c>
      <c r="R665" s="2" t="s">
        <v>206</v>
      </c>
      <c r="S665" s="2" t="s">
        <v>4229</v>
      </c>
      <c r="T665" s="2" t="s">
        <v>292</v>
      </c>
      <c r="U665" s="2" t="s">
        <v>206</v>
      </c>
      <c r="V665" s="2" t="s">
        <v>1932</v>
      </c>
      <c r="W665" s="2" t="s">
        <v>210</v>
      </c>
      <c r="X665" s="2" t="s">
        <v>206</v>
      </c>
      <c r="Y665" s="2" t="s">
        <v>1328</v>
      </c>
      <c r="Z665" s="4">
        <v>151</v>
      </c>
      <c r="AA665" s="4">
        <f>=ROUNDDOWN(13.7272727272727,0)</f>
      </c>
      <c r="AB665" s="5">
        <v>11</v>
      </c>
      <c r="AC665" s="2" t="s">
        <v>139</v>
      </c>
      <c r="AD665" s="4">
        <v>130</v>
      </c>
      <c r="AE665" s="4">
        <v>130</v>
      </c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206</v>
      </c>
      <c r="AM665" s="4"/>
      <c r="AN665" s="4"/>
      <c r="AO665" s="7"/>
      <c r="AP665" s="4"/>
      <c r="AQ665" s="8"/>
      <c r="AR665" s="4"/>
      <c r="AS665" s="8"/>
      <c r="AT665" s="7"/>
      <c r="AU665" s="7"/>
      <c r="AV665" s="4" t="s">
        <v>206</v>
      </c>
      <c r="AW665" s="8" t="s">
        <v>206</v>
      </c>
      <c r="AX665" s="4" t="s">
        <v>206</v>
      </c>
      <c r="AY665" s="8" t="s">
        <v>206</v>
      </c>
      <c r="AZ665" s="7" t="s">
        <v>206</v>
      </c>
      <c r="BA665" s="7" t="s">
        <v>206</v>
      </c>
      <c r="BB665" s="7"/>
      <c r="BC665" s="4" t="s">
        <v>206</v>
      </c>
      <c r="BD665" s="8" t="s">
        <v>206</v>
      </c>
      <c r="BE665" s="4" t="s">
        <v>206</v>
      </c>
      <c r="BF665" s="8" t="s">
        <v>206</v>
      </c>
      <c r="BG665" s="7" t="s">
        <v>206</v>
      </c>
      <c r="BH665" s="7" t="s">
        <v>206</v>
      </c>
      <c r="BI665" s="7"/>
      <c r="BJ665" s="4">
        <v>88</v>
      </c>
      <c r="BK665" s="8">
        <v>1487.21</v>
      </c>
      <c r="BL665" s="2" t="s">
        <v>4234</v>
      </c>
      <c r="BM665" s="7"/>
      <c r="BN665" s="7"/>
      <c r="BO665" s="4"/>
      <c r="BP665" s="8"/>
      <c r="BQ665" s="4"/>
      <c r="BR665" s="8"/>
      <c r="BS665" s="7"/>
      <c r="BT665" s="7"/>
      <c r="BU665" s="2" t="s">
        <v>4235</v>
      </c>
      <c r="BV665" s="2" t="s">
        <v>206</v>
      </c>
      <c r="BW665" s="2" t="s">
        <v>206</v>
      </c>
      <c r="BX665" s="2" t="s">
        <v>214</v>
      </c>
      <c r="BY665" s="2" t="s">
        <v>215</v>
      </c>
      <c r="BZ665" s="2" t="s">
        <v>203</v>
      </c>
      <c r="CA665" s="2" t="s">
        <v>4232</v>
      </c>
      <c r="CB665" s="2" t="s">
        <v>4236</v>
      </c>
      <c r="CC665" s="2" t="s">
        <v>218</v>
      </c>
      <c r="CD665" s="2" t="s">
        <v>206</v>
      </c>
      <c r="CE665" s="4">
        <v>151</v>
      </c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>
        <v>130</v>
      </c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/>
      <c r="FH665" s="4"/>
      <c r="FI665" s="4"/>
      <c r="FJ665" s="4"/>
      <c r="FK665" s="4"/>
      <c r="FL665" s="4"/>
      <c r="FM665" s="4"/>
      <c r="FN665" s="4"/>
      <c r="FO665" s="4"/>
      <c r="FP665" s="4"/>
      <c r="FQ665" s="4"/>
      <c r="FR665" s="4"/>
      <c r="FS665" s="4"/>
      <c r="FT665" s="4"/>
      <c r="FU665" s="4"/>
      <c r="FV665" s="4"/>
      <c r="FW665" s="4"/>
      <c r="FX665" s="4"/>
      <c r="FY665" s="4"/>
      <c r="FZ665" s="4"/>
      <c r="GA665" s="4"/>
      <c r="GB665" s="4"/>
      <c r="GC665" s="4"/>
      <c r="GD665" s="4"/>
      <c r="GE665" s="4"/>
      <c r="GF665" s="4"/>
    </row>
    <row r="666">
      <c r="A666" s="2" t="s">
        <v>4237</v>
      </c>
      <c r="B666" s="2" t="s">
        <v>225</v>
      </c>
      <c r="C666" s="2" t="s">
        <v>1145</v>
      </c>
      <c r="D666" s="2" t="s">
        <v>227</v>
      </c>
      <c r="E666" s="2" t="s">
        <v>228</v>
      </c>
      <c r="F666" s="2" t="s">
        <v>1932</v>
      </c>
      <c r="G666" s="2" t="s">
        <v>1932</v>
      </c>
      <c r="H666" s="2" t="s">
        <v>1932</v>
      </c>
      <c r="I666" s="2" t="s">
        <v>4226</v>
      </c>
      <c r="J666" s="2" t="s">
        <v>220</v>
      </c>
      <c r="K666" s="2" t="s">
        <v>4238</v>
      </c>
      <c r="L666" s="3">
        <v>13.95</v>
      </c>
      <c r="M666" s="3">
        <v>14.65</v>
      </c>
      <c r="N666" s="3">
        <v>30.99</v>
      </c>
      <c r="O666" s="2" t="s">
        <v>203</v>
      </c>
      <c r="P666" s="2" t="s">
        <v>204</v>
      </c>
      <c r="Q666" s="2" t="s">
        <v>205</v>
      </c>
      <c r="R666" s="2" t="s">
        <v>206</v>
      </c>
      <c r="S666" s="2" t="s">
        <v>4239</v>
      </c>
      <c r="T666" s="2" t="s">
        <v>292</v>
      </c>
      <c r="U666" s="2" t="s">
        <v>235</v>
      </c>
      <c r="V666" s="2" t="s">
        <v>1932</v>
      </c>
      <c r="W666" s="2" t="s">
        <v>210</v>
      </c>
      <c r="X666" s="2" t="s">
        <v>206</v>
      </c>
      <c r="Y666" s="2" t="s">
        <v>1328</v>
      </c>
      <c r="Z666" s="4">
        <v>196</v>
      </c>
      <c r="AA666" s="4">
        <f>=ROUNDDOWN(26.8493150684932,0)</f>
      </c>
      <c r="AB666" s="5">
        <v>7.3</v>
      </c>
      <c r="AC666" s="2" t="s">
        <v>206</v>
      </c>
      <c r="AD666" s="4"/>
      <c r="AE666" s="4"/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206</v>
      </c>
      <c r="AM666" s="4"/>
      <c r="AN666" s="4"/>
      <c r="AO666" s="7"/>
      <c r="AP666" s="4"/>
      <c r="AQ666" s="8"/>
      <c r="AR666" s="4"/>
      <c r="AS666" s="8"/>
      <c r="AT666" s="7"/>
      <c r="AU666" s="7"/>
      <c r="AV666" s="4" t="s">
        <v>206</v>
      </c>
      <c r="AW666" s="8" t="s">
        <v>206</v>
      </c>
      <c r="AX666" s="4" t="s">
        <v>206</v>
      </c>
      <c r="AY666" s="8" t="s">
        <v>206</v>
      </c>
      <c r="AZ666" s="7" t="s">
        <v>206</v>
      </c>
      <c r="BA666" s="7" t="s">
        <v>206</v>
      </c>
      <c r="BB666" s="7"/>
      <c r="BC666" s="4" t="s">
        <v>206</v>
      </c>
      <c r="BD666" s="8" t="s">
        <v>206</v>
      </c>
      <c r="BE666" s="4" t="s">
        <v>206</v>
      </c>
      <c r="BF666" s="8" t="s">
        <v>206</v>
      </c>
      <c r="BG666" s="7" t="s">
        <v>206</v>
      </c>
      <c r="BH666" s="7" t="s">
        <v>206</v>
      </c>
      <c r="BI666" s="7"/>
      <c r="BJ666" s="4">
        <v>39</v>
      </c>
      <c r="BK666" s="8">
        <v>622.4</v>
      </c>
      <c r="BL666" s="2" t="s">
        <v>3865</v>
      </c>
      <c r="BM666" s="7"/>
      <c r="BN666" s="7"/>
      <c r="BO666" s="4"/>
      <c r="BP666" s="8"/>
      <c r="BQ666" s="4"/>
      <c r="BR666" s="8"/>
      <c r="BS666" s="7"/>
      <c r="BT666" s="7"/>
      <c r="BU666" s="2" t="s">
        <v>4240</v>
      </c>
      <c r="BV666" s="2" t="s">
        <v>206</v>
      </c>
      <c r="BW666" s="2" t="s">
        <v>206</v>
      </c>
      <c r="BX666" s="2" t="s">
        <v>214</v>
      </c>
      <c r="BY666" s="2" t="s">
        <v>215</v>
      </c>
      <c r="BZ666" s="2" t="s">
        <v>203</v>
      </c>
      <c r="CA666" s="2" t="s">
        <v>4232</v>
      </c>
      <c r="CB666" s="2" t="s">
        <v>4241</v>
      </c>
      <c r="CC666" s="2" t="s">
        <v>218</v>
      </c>
      <c r="CD666" s="2" t="s">
        <v>206</v>
      </c>
      <c r="CE666" s="4">
        <v>196</v>
      </c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/>
      <c r="FO666" s="4"/>
      <c r="FP666" s="4"/>
      <c r="FQ666" s="4"/>
      <c r="FR666" s="4"/>
      <c r="FS666" s="4"/>
      <c r="FT666" s="4"/>
      <c r="FU666" s="4"/>
      <c r="FV666" s="4"/>
      <c r="FW666" s="4"/>
      <c r="FX666" s="4"/>
      <c r="FY666" s="4"/>
      <c r="FZ666" s="4"/>
      <c r="GA666" s="4"/>
      <c r="GB666" s="4"/>
      <c r="GC666" s="4"/>
      <c r="GD666" s="4"/>
      <c r="GE666" s="4"/>
      <c r="GF666" s="4"/>
    </row>
    <row r="667">
      <c r="A667" s="2" t="s">
        <v>4242</v>
      </c>
      <c r="B667" s="2" t="s">
        <v>225</v>
      </c>
      <c r="C667" s="2" t="s">
        <v>1145</v>
      </c>
      <c r="D667" s="2" t="s">
        <v>227</v>
      </c>
      <c r="E667" s="2" t="s">
        <v>228</v>
      </c>
      <c r="F667" s="2" t="s">
        <v>1932</v>
      </c>
      <c r="G667" s="2" t="s">
        <v>1932</v>
      </c>
      <c r="H667" s="2" t="s">
        <v>1932</v>
      </c>
      <c r="I667" s="2" t="s">
        <v>4226</v>
      </c>
      <c r="J667" s="2" t="s">
        <v>282</v>
      </c>
      <c r="K667" s="2" t="s">
        <v>4238</v>
      </c>
      <c r="L667" s="3">
        <v>14.85</v>
      </c>
      <c r="M667" s="3">
        <v>15.59</v>
      </c>
      <c r="N667" s="3">
        <v>32.99</v>
      </c>
      <c r="O667" s="2" t="s">
        <v>203</v>
      </c>
      <c r="P667" s="2" t="s">
        <v>204</v>
      </c>
      <c r="Q667" s="2" t="s">
        <v>205</v>
      </c>
      <c r="R667" s="2" t="s">
        <v>206</v>
      </c>
      <c r="S667" s="2" t="s">
        <v>4239</v>
      </c>
      <c r="T667" s="2" t="s">
        <v>292</v>
      </c>
      <c r="U667" s="2" t="s">
        <v>235</v>
      </c>
      <c r="V667" s="2" t="s">
        <v>1932</v>
      </c>
      <c r="W667" s="2" t="s">
        <v>210</v>
      </c>
      <c r="X667" s="2" t="s">
        <v>206</v>
      </c>
      <c r="Y667" s="2" t="s">
        <v>1328</v>
      </c>
      <c r="Z667" s="4">
        <v>482</v>
      </c>
      <c r="AA667" s="4">
        <f>=ROUNDDOWN(48.2,0)</f>
      </c>
      <c r="AB667" s="5">
        <v>10</v>
      </c>
      <c r="AC667" s="2" t="s">
        <v>4243</v>
      </c>
      <c r="AD667" s="4">
        <v>350</v>
      </c>
      <c r="AE667" s="4">
        <v>350</v>
      </c>
      <c r="AF667" s="6">
        <v>65</v>
      </c>
      <c r="AG667" s="6"/>
      <c r="AH667" s="7">
        <v>1</v>
      </c>
      <c r="AI667" s="4"/>
      <c r="AJ667" s="4">
        <f>=ROUNDDOWN({0},0)</f>
      </c>
      <c r="AK667" s="5"/>
      <c r="AL667" s="2" t="s">
        <v>206</v>
      </c>
      <c r="AM667" s="4"/>
      <c r="AN667" s="4"/>
      <c r="AO667" s="7"/>
      <c r="AP667" s="4"/>
      <c r="AQ667" s="8"/>
      <c r="AR667" s="4"/>
      <c r="AS667" s="8"/>
      <c r="AT667" s="7"/>
      <c r="AU667" s="7"/>
      <c r="AV667" s="4" t="s">
        <v>206</v>
      </c>
      <c r="AW667" s="8" t="s">
        <v>206</v>
      </c>
      <c r="AX667" s="4" t="s">
        <v>206</v>
      </c>
      <c r="AY667" s="8" t="s">
        <v>206</v>
      </c>
      <c r="AZ667" s="7" t="s">
        <v>206</v>
      </c>
      <c r="BA667" s="7" t="s">
        <v>206</v>
      </c>
      <c r="BB667" s="7"/>
      <c r="BC667" s="4" t="s">
        <v>206</v>
      </c>
      <c r="BD667" s="8" t="s">
        <v>206</v>
      </c>
      <c r="BE667" s="4" t="s">
        <v>206</v>
      </c>
      <c r="BF667" s="8" t="s">
        <v>206</v>
      </c>
      <c r="BG667" s="7" t="s">
        <v>206</v>
      </c>
      <c r="BH667" s="7" t="s">
        <v>206</v>
      </c>
      <c r="BI667" s="7"/>
      <c r="BJ667" s="4">
        <v>48</v>
      </c>
      <c r="BK667" s="8">
        <v>813.16</v>
      </c>
      <c r="BL667" s="2" t="s">
        <v>3856</v>
      </c>
      <c r="BM667" s="7"/>
      <c r="BN667" s="7"/>
      <c r="BO667" s="4"/>
      <c r="BP667" s="8"/>
      <c r="BQ667" s="4"/>
      <c r="BR667" s="8"/>
      <c r="BS667" s="7"/>
      <c r="BT667" s="7"/>
      <c r="BU667" s="2" t="s">
        <v>4244</v>
      </c>
      <c r="BV667" s="2" t="s">
        <v>206</v>
      </c>
      <c r="BW667" s="2" t="s">
        <v>206</v>
      </c>
      <c r="BX667" s="2" t="s">
        <v>214</v>
      </c>
      <c r="BY667" s="2" t="s">
        <v>215</v>
      </c>
      <c r="BZ667" s="2" t="s">
        <v>203</v>
      </c>
      <c r="CA667" s="2" t="s">
        <v>4232</v>
      </c>
      <c r="CB667" s="2" t="s">
        <v>1331</v>
      </c>
      <c r="CC667" s="2" t="s">
        <v>218</v>
      </c>
      <c r="CD667" s="2" t="s">
        <v>206</v>
      </c>
      <c r="CE667" s="4">
        <v>482</v>
      </c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/>
      <c r="FD667" s="4"/>
      <c r="FE667" s="4"/>
      <c r="FF667" s="4"/>
      <c r="FG667" s="4"/>
      <c r="FH667" s="4"/>
      <c r="FI667" s="4"/>
      <c r="FJ667" s="4"/>
      <c r="FK667" s="4"/>
      <c r="FL667" s="4"/>
      <c r="FM667" s="4"/>
      <c r="FN667" s="4"/>
      <c r="FO667" s="4"/>
      <c r="FP667" s="4"/>
      <c r="FQ667" s="4">
        <v>350</v>
      </c>
      <c r="FR667" s="4"/>
      <c r="FS667" s="4"/>
      <c r="FT667" s="4"/>
      <c r="FU667" s="4"/>
      <c r="FV667" s="4"/>
      <c r="FW667" s="4"/>
      <c r="FX667" s="4"/>
      <c r="FY667" s="4"/>
      <c r="FZ667" s="4"/>
      <c r="GA667" s="4"/>
      <c r="GB667" s="4"/>
      <c r="GC667" s="4"/>
      <c r="GD667" s="4"/>
      <c r="GE667" s="4"/>
      <c r="GF667" s="4"/>
    </row>
    <row r="668">
      <c r="A668" s="2" t="s">
        <v>4245</v>
      </c>
      <c r="B668" s="2" t="s">
        <v>225</v>
      </c>
      <c r="C668" s="2" t="s">
        <v>1145</v>
      </c>
      <c r="D668" s="2" t="s">
        <v>227</v>
      </c>
      <c r="E668" s="2" t="s">
        <v>228</v>
      </c>
      <c r="F668" s="2" t="s">
        <v>1932</v>
      </c>
      <c r="G668" s="2" t="s">
        <v>1932</v>
      </c>
      <c r="H668" s="2" t="s">
        <v>1932</v>
      </c>
      <c r="I668" s="2" t="s">
        <v>4226</v>
      </c>
      <c r="J668" s="2" t="s">
        <v>4227</v>
      </c>
      <c r="K668" s="2" t="s">
        <v>4246</v>
      </c>
      <c r="L668" s="3">
        <v>12.6</v>
      </c>
      <c r="M668" s="3">
        <v>13.23</v>
      </c>
      <c r="N668" s="3">
        <v>27.99</v>
      </c>
      <c r="O668" s="2" t="s">
        <v>203</v>
      </c>
      <c r="P668" s="2" t="s">
        <v>467</v>
      </c>
      <c r="Q668" s="2" t="s">
        <v>205</v>
      </c>
      <c r="R668" s="2" t="s">
        <v>206</v>
      </c>
      <c r="S668" s="2" t="s">
        <v>4247</v>
      </c>
      <c r="T668" s="2" t="s">
        <v>292</v>
      </c>
      <c r="U668" s="2" t="s">
        <v>206</v>
      </c>
      <c r="V668" s="2" t="s">
        <v>1932</v>
      </c>
      <c r="W668" s="2" t="s">
        <v>210</v>
      </c>
      <c r="X668" s="2" t="s">
        <v>206</v>
      </c>
      <c r="Y668" s="2" t="s">
        <v>1328</v>
      </c>
      <c r="Z668" s="4">
        <v>93</v>
      </c>
      <c r="AA668" s="4">
        <f>=ROUNDDOWN(31,0)</f>
      </c>
      <c r="AB668" s="5">
        <v>3</v>
      </c>
      <c r="AC668" s="2" t="s">
        <v>139</v>
      </c>
      <c r="AD668" s="4">
        <v>90</v>
      </c>
      <c r="AE668" s="4">
        <v>90</v>
      </c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206</v>
      </c>
      <c r="AM668" s="4"/>
      <c r="AN668" s="4"/>
      <c r="AO668" s="7"/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206</v>
      </c>
      <c r="BD668" s="8" t="s">
        <v>206</v>
      </c>
      <c r="BE668" s="4" t="s">
        <v>206</v>
      </c>
      <c r="BF668" s="8" t="s">
        <v>206</v>
      </c>
      <c r="BG668" s="7" t="s">
        <v>206</v>
      </c>
      <c r="BH668" s="7" t="s">
        <v>206</v>
      </c>
      <c r="BI668" s="7"/>
      <c r="BJ668" s="4">
        <v>10</v>
      </c>
      <c r="BK668" s="8">
        <v>138.63</v>
      </c>
      <c r="BL668" s="2" t="s">
        <v>4248</v>
      </c>
      <c r="BM668" s="7"/>
      <c r="BN668" s="7"/>
      <c r="BO668" s="4"/>
      <c r="BP668" s="8"/>
      <c r="BQ668" s="4"/>
      <c r="BR668" s="8"/>
      <c r="BS668" s="7"/>
      <c r="BT668" s="7"/>
      <c r="BU668" s="2" t="s">
        <v>4249</v>
      </c>
      <c r="BV668" s="2" t="s">
        <v>206</v>
      </c>
      <c r="BW668" s="2" t="s">
        <v>206</v>
      </c>
      <c r="BX668" s="2" t="s">
        <v>214</v>
      </c>
      <c r="BY668" s="2" t="s">
        <v>215</v>
      </c>
      <c r="BZ668" s="2" t="s">
        <v>203</v>
      </c>
      <c r="CA668" s="2" t="s">
        <v>4232</v>
      </c>
      <c r="CB668" s="2" t="s">
        <v>1331</v>
      </c>
      <c r="CC668" s="2" t="s">
        <v>218</v>
      </c>
      <c r="CD668" s="2" t="s">
        <v>206</v>
      </c>
      <c r="CE668" s="4">
        <v>93</v>
      </c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>
        <v>90</v>
      </c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  <c r="FD668" s="4"/>
      <c r="FE668" s="4"/>
      <c r="FF668" s="4"/>
      <c r="FG668" s="4"/>
      <c r="FH668" s="4"/>
      <c r="FI668" s="4"/>
      <c r="FJ668" s="4"/>
      <c r="FK668" s="4"/>
      <c r="FL668" s="4"/>
      <c r="FM668" s="4"/>
      <c r="FN668" s="4"/>
      <c r="FO668" s="4"/>
      <c r="FP668" s="4"/>
      <c r="FQ668" s="4"/>
      <c r="FR668" s="4"/>
      <c r="FS668" s="4"/>
      <c r="FT668" s="4"/>
      <c r="FU668" s="4"/>
      <c r="FV668" s="4"/>
      <c r="FW668" s="4"/>
      <c r="FX668" s="4"/>
      <c r="FY668" s="4"/>
      <c r="FZ668" s="4"/>
      <c r="GA668" s="4"/>
      <c r="GB668" s="4"/>
      <c r="GC668" s="4"/>
      <c r="GD668" s="4"/>
      <c r="GE668" s="4"/>
      <c r="GF668" s="4"/>
    </row>
    <row r="669">
      <c r="A669" s="2" t="s">
        <v>4250</v>
      </c>
      <c r="B669" s="2" t="s">
        <v>475</v>
      </c>
      <c r="C669" s="2" t="s">
        <v>2240</v>
      </c>
      <c r="D669" s="2" t="s">
        <v>476</v>
      </c>
      <c r="E669" s="2" t="s">
        <v>477</v>
      </c>
      <c r="F669" s="2" t="s">
        <v>4251</v>
      </c>
      <c r="G669" s="2" t="s">
        <v>4251</v>
      </c>
      <c r="H669" s="2" t="s">
        <v>4251</v>
      </c>
      <c r="I669" s="2" t="s">
        <v>4252</v>
      </c>
      <c r="J669" s="2" t="s">
        <v>482</v>
      </c>
      <c r="K669" s="2" t="s">
        <v>392</v>
      </c>
      <c r="L669" s="3">
        <v>36.5</v>
      </c>
      <c r="M669" s="3">
        <v>38.33</v>
      </c>
      <c r="N669" s="3">
        <v>79.99</v>
      </c>
      <c r="O669" s="2" t="s">
        <v>203</v>
      </c>
      <c r="P669" s="2" t="s">
        <v>467</v>
      </c>
      <c r="Q669" s="2" t="s">
        <v>205</v>
      </c>
      <c r="R669" s="2" t="s">
        <v>206</v>
      </c>
      <c r="S669" s="2" t="s">
        <v>4253</v>
      </c>
      <c r="T669" s="2" t="s">
        <v>234</v>
      </c>
      <c r="U669" s="2" t="s">
        <v>485</v>
      </c>
      <c r="V669" s="2" t="s">
        <v>209</v>
      </c>
      <c r="W669" s="2" t="s">
        <v>914</v>
      </c>
      <c r="X669" s="2" t="s">
        <v>206</v>
      </c>
      <c r="Y669" s="2" t="s">
        <v>4254</v>
      </c>
      <c r="Z669" s="4">
        <v>414</v>
      </c>
      <c r="AA669" s="4">
        <f>=ROUNDDOWN(69,0)</f>
      </c>
      <c r="AB669" s="5">
        <v>6</v>
      </c>
      <c r="AC669" s="2" t="s">
        <v>4255</v>
      </c>
      <c r="AD669" s="4">
        <v>160</v>
      </c>
      <c r="AE669" s="4">
        <v>160</v>
      </c>
      <c r="AF669" s="6">
        <v>65</v>
      </c>
      <c r="AG669" s="6"/>
      <c r="AH669" s="7">
        <v>1</v>
      </c>
      <c r="AI669" s="4"/>
      <c r="AJ669" s="4">
        <f>=ROUNDDOWN({0},0)</f>
      </c>
      <c r="AK669" s="5"/>
      <c r="AL669" s="2" t="s">
        <v>206</v>
      </c>
      <c r="AM669" s="4"/>
      <c r="AN669" s="4"/>
      <c r="AO669" s="7"/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/>
      <c r="BD669" s="8"/>
      <c r="BE669" s="4"/>
      <c r="BF669" s="8"/>
      <c r="BG669" s="7"/>
      <c r="BH669" s="7"/>
      <c r="BI669" s="7"/>
      <c r="BJ669" s="4">
        <v>8</v>
      </c>
      <c r="BK669" s="8">
        <v>313.25</v>
      </c>
      <c r="BL669" s="2" t="s">
        <v>4256</v>
      </c>
      <c r="BM669" s="7"/>
      <c r="BN669" s="7"/>
      <c r="BO669" s="4"/>
      <c r="BP669" s="8"/>
      <c r="BQ669" s="4"/>
      <c r="BR669" s="8"/>
      <c r="BS669" s="7"/>
      <c r="BT669" s="7"/>
      <c r="BU669" s="2" t="s">
        <v>4257</v>
      </c>
      <c r="BV669" s="2" t="s">
        <v>206</v>
      </c>
      <c r="BW669" s="2" t="s">
        <v>206</v>
      </c>
      <c r="BX669" s="2" t="s">
        <v>214</v>
      </c>
      <c r="BY669" s="2" t="s">
        <v>215</v>
      </c>
      <c r="BZ669" s="2" t="s">
        <v>203</v>
      </c>
      <c r="CA669" s="2" t="s">
        <v>4258</v>
      </c>
      <c r="CB669" s="2" t="s">
        <v>4259</v>
      </c>
      <c r="CC669" s="2" t="s">
        <v>218</v>
      </c>
      <c r="CD669" s="2" t="s">
        <v>206</v>
      </c>
      <c r="CE669" s="4">
        <v>414</v>
      </c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>
        <v>160</v>
      </c>
      <c r="FG669" s="4"/>
      <c r="FH669" s="4"/>
      <c r="FI669" s="4"/>
      <c r="FJ669" s="4"/>
      <c r="FK669" s="4"/>
      <c r="FL669" s="4"/>
      <c r="FM669" s="4"/>
      <c r="FN669" s="4"/>
      <c r="FO669" s="4"/>
      <c r="FP669" s="4"/>
      <c r="FQ669" s="4"/>
      <c r="FR669" s="4"/>
      <c r="FS669" s="4"/>
      <c r="FT669" s="4"/>
      <c r="FU669" s="4"/>
      <c r="FV669" s="4"/>
      <c r="FW669" s="4"/>
      <c r="FX669" s="4"/>
      <c r="FY669" s="4"/>
      <c r="FZ669" s="4"/>
      <c r="GA669" s="4"/>
      <c r="GB669" s="4"/>
      <c r="GC669" s="4"/>
      <c r="GD669" s="4"/>
      <c r="GE669" s="4"/>
      <c r="GF669" s="4"/>
    </row>
    <row r="670">
      <c r="A670" s="2" t="s">
        <v>4260</v>
      </c>
      <c r="B670" s="2" t="s">
        <v>475</v>
      </c>
      <c r="C670" s="2" t="s">
        <v>2726</v>
      </c>
      <c r="D670" s="2" t="s">
        <v>476</v>
      </c>
      <c r="E670" s="2" t="s">
        <v>477</v>
      </c>
      <c r="F670" s="2" t="s">
        <v>4261</v>
      </c>
      <c r="G670" s="2" t="s">
        <v>4261</v>
      </c>
      <c r="H670" s="2" t="s">
        <v>4261</v>
      </c>
      <c r="I670" s="2" t="s">
        <v>4262</v>
      </c>
      <c r="J670" s="2" t="s">
        <v>482</v>
      </c>
      <c r="K670" s="2" t="s">
        <v>656</v>
      </c>
      <c r="L670" s="3">
        <v>23.09</v>
      </c>
      <c r="M670" s="3">
        <v>24.24</v>
      </c>
      <c r="N670" s="3">
        <v>54.99</v>
      </c>
      <c r="O670" s="2" t="s">
        <v>203</v>
      </c>
      <c r="P670" s="2" t="s">
        <v>204</v>
      </c>
      <c r="Q670" s="2" t="s">
        <v>205</v>
      </c>
      <c r="R670" s="2" t="s">
        <v>206</v>
      </c>
      <c r="S670" s="2" t="s">
        <v>4263</v>
      </c>
      <c r="T670" s="2" t="s">
        <v>234</v>
      </c>
      <c r="U670" s="2" t="s">
        <v>485</v>
      </c>
      <c r="V670" s="2" t="s">
        <v>209</v>
      </c>
      <c r="W670" s="2" t="s">
        <v>210</v>
      </c>
      <c r="X670" s="2" t="s">
        <v>439</v>
      </c>
      <c r="Y670" s="2" t="s">
        <v>4264</v>
      </c>
      <c r="Z670" s="4">
        <v>574</v>
      </c>
      <c r="AA670" s="4">
        <f>=ROUNDDOWN(52.1818181818182,0)</f>
      </c>
      <c r="AB670" s="5">
        <v>11</v>
      </c>
      <c r="AC670" s="2" t="s">
        <v>206</v>
      </c>
      <c r="AD670" s="4"/>
      <c r="AE670" s="4"/>
      <c r="AF670" s="6">
        <v>73</v>
      </c>
      <c r="AG670" s="6"/>
      <c r="AH670" s="7">
        <v>1</v>
      </c>
      <c r="AI670" s="4"/>
      <c r="AJ670" s="4">
        <f>=ROUNDDOWN({0},0)</f>
      </c>
      <c r="AK670" s="5"/>
      <c r="AL670" s="2" t="s">
        <v>206</v>
      </c>
      <c r="AM670" s="4"/>
      <c r="AN670" s="4"/>
      <c r="AO670" s="7"/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/>
      <c r="BD670" s="8"/>
      <c r="BE670" s="4"/>
      <c r="BF670" s="8"/>
      <c r="BG670" s="7"/>
      <c r="BH670" s="7"/>
      <c r="BI670" s="7"/>
      <c r="BJ670" s="4">
        <v>40</v>
      </c>
      <c r="BK670" s="8">
        <v>1036.4</v>
      </c>
      <c r="BL670" s="2" t="s">
        <v>4265</v>
      </c>
      <c r="BM670" s="7"/>
      <c r="BN670" s="7"/>
      <c r="BO670" s="4"/>
      <c r="BP670" s="8"/>
      <c r="BQ670" s="4"/>
      <c r="BR670" s="8"/>
      <c r="BS670" s="7"/>
      <c r="BT670" s="7"/>
      <c r="BU670" s="2" t="s">
        <v>4266</v>
      </c>
      <c r="BV670" s="2" t="s">
        <v>206</v>
      </c>
      <c r="BW670" s="2" t="s">
        <v>206</v>
      </c>
      <c r="BX670" s="2" t="s">
        <v>214</v>
      </c>
      <c r="BY670" s="2" t="s">
        <v>215</v>
      </c>
      <c r="BZ670" s="2" t="s">
        <v>203</v>
      </c>
      <c r="CA670" s="2" t="s">
        <v>4267</v>
      </c>
      <c r="CB670" s="2" t="s">
        <v>3801</v>
      </c>
      <c r="CC670" s="2" t="s">
        <v>218</v>
      </c>
      <c r="CD670" s="2" t="s">
        <v>206</v>
      </c>
      <c r="CE670" s="4">
        <v>574</v>
      </c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/>
      <c r="FE670" s="4"/>
      <c r="FF670" s="4"/>
      <c r="FG670" s="4"/>
      <c r="FH670" s="4"/>
      <c r="FI670" s="4"/>
      <c r="FJ670" s="4"/>
      <c r="FK670" s="4"/>
      <c r="FL670" s="4"/>
      <c r="FM670" s="4"/>
      <c r="FN670" s="4"/>
      <c r="FO670" s="4"/>
      <c r="FP670" s="4"/>
      <c r="FQ670" s="4"/>
      <c r="FR670" s="4"/>
      <c r="FS670" s="4"/>
      <c r="FT670" s="4"/>
      <c r="FU670" s="4"/>
      <c r="FV670" s="4"/>
      <c r="FW670" s="4"/>
      <c r="FX670" s="4"/>
      <c r="FY670" s="4"/>
      <c r="FZ670" s="4"/>
      <c r="GA670" s="4"/>
      <c r="GB670" s="4"/>
      <c r="GC670" s="4"/>
      <c r="GD670" s="4"/>
      <c r="GE670" s="4"/>
      <c r="GF670" s="4"/>
    </row>
    <row r="671">
      <c r="A671" s="2" t="s">
        <v>4268</v>
      </c>
      <c r="B671" s="2" t="s">
        <v>528</v>
      </c>
      <c r="C671" s="2" t="s">
        <v>828</v>
      </c>
      <c r="D671" s="2" t="s">
        <v>1612</v>
      </c>
      <c r="E671" s="2" t="s">
        <v>4269</v>
      </c>
      <c r="F671" s="2" t="s">
        <v>4270</v>
      </c>
      <c r="G671" s="2" t="s">
        <v>4271</v>
      </c>
      <c r="H671" s="2" t="s">
        <v>4272</v>
      </c>
      <c r="I671" s="2" t="s">
        <v>4273</v>
      </c>
      <c r="J671" s="2" t="s">
        <v>593</v>
      </c>
      <c r="K671" s="2" t="s">
        <v>605</v>
      </c>
      <c r="L671" s="3">
        <v>32</v>
      </c>
      <c r="M671" s="3">
        <v>33.6</v>
      </c>
      <c r="N671" s="3">
        <v>79.99</v>
      </c>
      <c r="O671" s="2" t="s">
        <v>203</v>
      </c>
      <c r="P671" s="2" t="s">
        <v>204</v>
      </c>
      <c r="Q671" s="2" t="s">
        <v>205</v>
      </c>
      <c r="R671" s="2" t="s">
        <v>206</v>
      </c>
      <c r="S671" s="2" t="s">
        <v>4274</v>
      </c>
      <c r="T671" s="2" t="s">
        <v>292</v>
      </c>
      <c r="U671" s="2" t="s">
        <v>556</v>
      </c>
      <c r="V671" s="2" t="s">
        <v>209</v>
      </c>
      <c r="W671" s="2" t="s">
        <v>453</v>
      </c>
      <c r="X671" s="2" t="s">
        <v>206</v>
      </c>
      <c r="Y671" s="2" t="s">
        <v>4275</v>
      </c>
      <c r="Z671" s="4">
        <v>506</v>
      </c>
      <c r="AA671" s="4">
        <f>=ROUNDDOWN(33.7333333333333,0)</f>
      </c>
      <c r="AB671" s="5">
        <v>15</v>
      </c>
      <c r="AC671" s="2" t="s">
        <v>206</v>
      </c>
      <c r="AD671" s="4"/>
      <c r="AE671" s="4"/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206</v>
      </c>
      <c r="AM671" s="4"/>
      <c r="AN671" s="4"/>
      <c r="AO671" s="7"/>
      <c r="AP671" s="4"/>
      <c r="AQ671" s="8"/>
      <c r="AR671" s="4"/>
      <c r="AS671" s="8"/>
      <c r="AT671" s="7"/>
      <c r="AU671" s="7"/>
      <c r="AV671" s="4" t="s">
        <v>206</v>
      </c>
      <c r="AW671" s="8" t="s">
        <v>206</v>
      </c>
      <c r="AX671" s="4" t="s">
        <v>206</v>
      </c>
      <c r="AY671" s="8" t="s">
        <v>206</v>
      </c>
      <c r="AZ671" s="7" t="s">
        <v>206</v>
      </c>
      <c r="BA671" s="7" t="s">
        <v>206</v>
      </c>
      <c r="BB671" s="7"/>
      <c r="BC671" s="4" t="s">
        <v>206</v>
      </c>
      <c r="BD671" s="8" t="s">
        <v>206</v>
      </c>
      <c r="BE671" s="4" t="s">
        <v>206</v>
      </c>
      <c r="BF671" s="8" t="s">
        <v>206</v>
      </c>
      <c r="BG671" s="7" t="s">
        <v>206</v>
      </c>
      <c r="BH671" s="7" t="s">
        <v>206</v>
      </c>
      <c r="BI671" s="7"/>
      <c r="BJ671" s="4">
        <v>75</v>
      </c>
      <c r="BK671" s="8">
        <v>2551.68</v>
      </c>
      <c r="BL671" s="2" t="s">
        <v>424</v>
      </c>
      <c r="BM671" s="7"/>
      <c r="BN671" s="7"/>
      <c r="BO671" s="4"/>
      <c r="BP671" s="8"/>
      <c r="BQ671" s="4"/>
      <c r="BR671" s="8"/>
      <c r="BS671" s="7"/>
      <c r="BT671" s="7"/>
      <c r="BU671" s="2" t="s">
        <v>4276</v>
      </c>
      <c r="BV671" s="2" t="s">
        <v>206</v>
      </c>
      <c r="BW671" s="2" t="s">
        <v>206</v>
      </c>
      <c r="BX671" s="2" t="s">
        <v>214</v>
      </c>
      <c r="BY671" s="2" t="s">
        <v>215</v>
      </c>
      <c r="BZ671" s="2" t="s">
        <v>203</v>
      </c>
      <c r="CA671" s="2" t="s">
        <v>4277</v>
      </c>
      <c r="CB671" s="2" t="s">
        <v>1427</v>
      </c>
      <c r="CC671" s="2" t="s">
        <v>218</v>
      </c>
      <c r="CD671" s="2" t="s">
        <v>206</v>
      </c>
      <c r="CE671" s="4">
        <v>506</v>
      </c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  <c r="FD671" s="4"/>
      <c r="FE671" s="4"/>
      <c r="FF671" s="4"/>
      <c r="FG671" s="4"/>
      <c r="FH671" s="4"/>
      <c r="FI671" s="4"/>
      <c r="FJ671" s="4"/>
      <c r="FK671" s="4"/>
      <c r="FL671" s="4"/>
      <c r="FM671" s="4"/>
      <c r="FN671" s="4"/>
      <c r="FO671" s="4"/>
      <c r="FP671" s="4"/>
      <c r="FQ671" s="4"/>
      <c r="FR671" s="4"/>
      <c r="FS671" s="4"/>
      <c r="FT671" s="4"/>
      <c r="FU671" s="4"/>
      <c r="FV671" s="4"/>
      <c r="FW671" s="4"/>
      <c r="FX671" s="4"/>
      <c r="FY671" s="4"/>
      <c r="FZ671" s="4"/>
      <c r="GA671" s="4"/>
      <c r="GB671" s="4"/>
      <c r="GC671" s="4"/>
      <c r="GD671" s="4"/>
      <c r="GE671" s="4"/>
      <c r="GF671" s="4"/>
    </row>
    <row r="672">
      <c r="A672" s="2" t="s">
        <v>4278</v>
      </c>
      <c r="B672" s="2" t="s">
        <v>528</v>
      </c>
      <c r="C672" s="2" t="s">
        <v>828</v>
      </c>
      <c r="D672" s="2" t="s">
        <v>1612</v>
      </c>
      <c r="E672" s="2" t="s">
        <v>4269</v>
      </c>
      <c r="F672" s="2" t="s">
        <v>4270</v>
      </c>
      <c r="G672" s="2" t="s">
        <v>4271</v>
      </c>
      <c r="H672" s="2" t="s">
        <v>4272</v>
      </c>
      <c r="I672" s="2" t="s">
        <v>4273</v>
      </c>
      <c r="J672" s="2" t="s">
        <v>582</v>
      </c>
      <c r="K672" s="2" t="s">
        <v>605</v>
      </c>
      <c r="L672" s="3">
        <v>37.8</v>
      </c>
      <c r="M672" s="3">
        <v>39.69</v>
      </c>
      <c r="N672" s="3">
        <v>89.99</v>
      </c>
      <c r="O672" s="2" t="s">
        <v>203</v>
      </c>
      <c r="P672" s="2" t="s">
        <v>204</v>
      </c>
      <c r="Q672" s="2" t="s">
        <v>205</v>
      </c>
      <c r="R672" s="2" t="s">
        <v>206</v>
      </c>
      <c r="S672" s="2" t="s">
        <v>4274</v>
      </c>
      <c r="T672" s="2" t="s">
        <v>292</v>
      </c>
      <c r="U672" s="2" t="s">
        <v>556</v>
      </c>
      <c r="V672" s="2" t="s">
        <v>209</v>
      </c>
      <c r="W672" s="2" t="s">
        <v>453</v>
      </c>
      <c r="X672" s="2" t="s">
        <v>206</v>
      </c>
      <c r="Y672" s="2" t="s">
        <v>4275</v>
      </c>
      <c r="Z672" s="4">
        <v>715</v>
      </c>
      <c r="AA672" s="4">
        <f>=ROUNDDOWN(32.5,0)</f>
      </c>
      <c r="AB672" s="5">
        <v>22</v>
      </c>
      <c r="AC672" s="2" t="s">
        <v>206</v>
      </c>
      <c r="AD672" s="4"/>
      <c r="AE672" s="4"/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206</v>
      </c>
      <c r="AM672" s="4"/>
      <c r="AN672" s="4"/>
      <c r="AO672" s="7"/>
      <c r="AP672" s="4"/>
      <c r="AQ672" s="8"/>
      <c r="AR672" s="4"/>
      <c r="AS672" s="8"/>
      <c r="AT672" s="7"/>
      <c r="AU672" s="7"/>
      <c r="AV672" s="4" t="s">
        <v>206</v>
      </c>
      <c r="AW672" s="8" t="s">
        <v>206</v>
      </c>
      <c r="AX672" s="4" t="s">
        <v>206</v>
      </c>
      <c r="AY672" s="8" t="s">
        <v>206</v>
      </c>
      <c r="AZ672" s="7" t="s">
        <v>206</v>
      </c>
      <c r="BA672" s="7" t="s">
        <v>206</v>
      </c>
      <c r="BB672" s="7"/>
      <c r="BC672" s="4" t="s">
        <v>206</v>
      </c>
      <c r="BD672" s="8" t="s">
        <v>206</v>
      </c>
      <c r="BE672" s="4" t="s">
        <v>206</v>
      </c>
      <c r="BF672" s="8" t="s">
        <v>206</v>
      </c>
      <c r="BG672" s="7" t="s">
        <v>206</v>
      </c>
      <c r="BH672" s="7" t="s">
        <v>206</v>
      </c>
      <c r="BI672" s="7"/>
      <c r="BJ672" s="4">
        <v>108</v>
      </c>
      <c r="BK672" s="8">
        <v>4267.77</v>
      </c>
      <c r="BL672" s="2" t="s">
        <v>4279</v>
      </c>
      <c r="BM672" s="7"/>
      <c r="BN672" s="7"/>
      <c r="BO672" s="4"/>
      <c r="BP672" s="8"/>
      <c r="BQ672" s="4"/>
      <c r="BR672" s="8"/>
      <c r="BS672" s="7"/>
      <c r="BT672" s="7"/>
      <c r="BU672" s="2" t="s">
        <v>4280</v>
      </c>
      <c r="BV672" s="2" t="s">
        <v>206</v>
      </c>
      <c r="BW672" s="2" t="s">
        <v>206</v>
      </c>
      <c r="BX672" s="2" t="s">
        <v>214</v>
      </c>
      <c r="BY672" s="2" t="s">
        <v>215</v>
      </c>
      <c r="BZ672" s="2" t="s">
        <v>203</v>
      </c>
      <c r="CA672" s="2" t="s">
        <v>4277</v>
      </c>
      <c r="CB672" s="2" t="s">
        <v>4281</v>
      </c>
      <c r="CC672" s="2" t="s">
        <v>218</v>
      </c>
      <c r="CD672" s="2" t="s">
        <v>206</v>
      </c>
      <c r="CE672" s="4">
        <v>715</v>
      </c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  <c r="FD672" s="4"/>
      <c r="FE672" s="4"/>
      <c r="FF672" s="4"/>
      <c r="FG672" s="4"/>
      <c r="FH672" s="4"/>
      <c r="FI672" s="4"/>
      <c r="FJ672" s="4"/>
      <c r="FK672" s="4"/>
      <c r="FL672" s="4"/>
      <c r="FM672" s="4"/>
      <c r="FN672" s="4"/>
      <c r="FO672" s="4"/>
      <c r="FP672" s="4"/>
      <c r="FQ672" s="4"/>
      <c r="FR672" s="4"/>
      <c r="FS672" s="4"/>
      <c r="FT672" s="4"/>
      <c r="FU672" s="4"/>
      <c r="FV672" s="4"/>
      <c r="FW672" s="4"/>
      <c r="FX672" s="4"/>
      <c r="FY672" s="4"/>
      <c r="FZ672" s="4"/>
      <c r="GA672" s="4"/>
      <c r="GB672" s="4"/>
      <c r="GC672" s="4"/>
      <c r="GD672" s="4"/>
      <c r="GE672" s="4"/>
      <c r="GF672" s="4"/>
    </row>
    <row r="673">
      <c r="A673" s="2" t="s">
        <v>4282</v>
      </c>
      <c r="B673" s="2" t="s">
        <v>429</v>
      </c>
      <c r="C673" s="2" t="s">
        <v>287</v>
      </c>
      <c r="D673" s="2" t="s">
        <v>909</v>
      </c>
      <c r="E673" s="2" t="s">
        <v>431</v>
      </c>
      <c r="F673" s="2" t="s">
        <v>4283</v>
      </c>
      <c r="G673" s="2" t="s">
        <v>206</v>
      </c>
      <c r="H673" s="2" t="s">
        <v>206</v>
      </c>
      <c r="I673" s="2" t="s">
        <v>4284</v>
      </c>
      <c r="J673" s="2" t="s">
        <v>434</v>
      </c>
      <c r="K673" s="2" t="s">
        <v>262</v>
      </c>
      <c r="L673" s="3">
        <v>24.5</v>
      </c>
      <c r="M673" s="3">
        <v>25.72</v>
      </c>
      <c r="N673" s="3">
        <v>50.99</v>
      </c>
      <c r="O673" s="2" t="s">
        <v>203</v>
      </c>
      <c r="P673" s="2" t="s">
        <v>204</v>
      </c>
      <c r="Q673" s="2" t="s">
        <v>205</v>
      </c>
      <c r="R673" s="2" t="s">
        <v>206</v>
      </c>
      <c r="S673" s="2" t="s">
        <v>4285</v>
      </c>
      <c r="T673" s="2" t="s">
        <v>206</v>
      </c>
      <c r="U673" s="2" t="s">
        <v>235</v>
      </c>
      <c r="V673" s="2" t="s">
        <v>901</v>
      </c>
      <c r="W673" s="2" t="s">
        <v>901</v>
      </c>
      <c r="X673" s="2" t="s">
        <v>206</v>
      </c>
      <c r="Y673" s="2" t="s">
        <v>1377</v>
      </c>
      <c r="Z673" s="4">
        <v>142</v>
      </c>
      <c r="AA673" s="4">
        <f>=ROUNDDOWN(25.8181818181818,0)</f>
      </c>
      <c r="AB673" s="5">
        <v>5.5</v>
      </c>
      <c r="AC673" s="2" t="s">
        <v>206</v>
      </c>
      <c r="AD673" s="4"/>
      <c r="AE673" s="4"/>
      <c r="AF673" s="6">
        <v>63</v>
      </c>
      <c r="AG673" s="6"/>
      <c r="AH673" s="7">
        <v>1</v>
      </c>
      <c r="AI673" s="4"/>
      <c r="AJ673" s="4">
        <f>=ROUNDDOWN({0},0)</f>
      </c>
      <c r="AK673" s="5"/>
      <c r="AL673" s="2" t="s">
        <v>206</v>
      </c>
      <c r="AM673" s="4"/>
      <c r="AN673" s="4"/>
      <c r="AO673" s="7"/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/>
      <c r="BD673" s="8"/>
      <c r="BE673" s="4"/>
      <c r="BF673" s="8"/>
      <c r="BG673" s="7"/>
      <c r="BH673" s="7"/>
      <c r="BI673" s="7"/>
      <c r="BJ673" s="4">
        <v>27</v>
      </c>
      <c r="BK673" s="8">
        <v>785.28</v>
      </c>
      <c r="BL673" s="2" t="s">
        <v>4286</v>
      </c>
      <c r="BM673" s="7"/>
      <c r="BN673" s="7"/>
      <c r="BO673" s="4"/>
      <c r="BP673" s="8"/>
      <c r="BQ673" s="4"/>
      <c r="BR673" s="8"/>
      <c r="BS673" s="7"/>
      <c r="BT673" s="7"/>
      <c r="BU673" s="2" t="s">
        <v>4287</v>
      </c>
      <c r="BV673" s="2" t="s">
        <v>206</v>
      </c>
      <c r="BW673" s="2" t="s">
        <v>206</v>
      </c>
      <c r="BX673" s="2" t="s">
        <v>214</v>
      </c>
      <c r="BY673" s="2" t="s">
        <v>215</v>
      </c>
      <c r="BZ673" s="2" t="s">
        <v>203</v>
      </c>
      <c r="CA673" s="2" t="s">
        <v>4288</v>
      </c>
      <c r="CB673" s="2" t="s">
        <v>2384</v>
      </c>
      <c r="CC673" s="2" t="s">
        <v>218</v>
      </c>
      <c r="CD673" s="2" t="s">
        <v>206</v>
      </c>
      <c r="CE673" s="4"/>
      <c r="CF673" s="4">
        <v>142</v>
      </c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/>
      <c r="FA673" s="4"/>
      <c r="FB673" s="4"/>
      <c r="FC673" s="4"/>
      <c r="FD673" s="4"/>
      <c r="FE673" s="4"/>
      <c r="FF673" s="4"/>
      <c r="FG673" s="4"/>
      <c r="FH673" s="4"/>
      <c r="FI673" s="4"/>
      <c r="FJ673" s="4"/>
      <c r="FK673" s="4"/>
      <c r="FL673" s="4"/>
      <c r="FM673" s="4"/>
      <c r="FN673" s="4"/>
      <c r="FO673" s="4"/>
      <c r="FP673" s="4"/>
      <c r="FQ673" s="4"/>
      <c r="FR673" s="4"/>
      <c r="FS673" s="4"/>
      <c r="FT673" s="4"/>
      <c r="FU673" s="4"/>
      <c r="FV673" s="4"/>
      <c r="FW673" s="4"/>
      <c r="FX673" s="4"/>
      <c r="FY673" s="4"/>
      <c r="FZ673" s="4"/>
      <c r="GA673" s="4"/>
      <c r="GB673" s="4"/>
      <c r="GC673" s="4"/>
      <c r="GD673" s="4"/>
      <c r="GE673" s="4"/>
      <c r="GF673" s="4"/>
    </row>
    <row r="674">
      <c r="A674" s="2" t="s">
        <v>4289</v>
      </c>
      <c r="B674" s="2" t="s">
        <v>800</v>
      </c>
      <c r="C674" s="2" t="s">
        <v>287</v>
      </c>
      <c r="D674" s="2" t="s">
        <v>801</v>
      </c>
      <c r="E674" s="2" t="s">
        <v>1262</v>
      </c>
      <c r="F674" s="2" t="s">
        <v>4290</v>
      </c>
      <c r="G674" s="2" t="s">
        <v>4290</v>
      </c>
      <c r="H674" s="2" t="s">
        <v>4290</v>
      </c>
      <c r="I674" s="2" t="s">
        <v>4291</v>
      </c>
      <c r="J674" s="2" t="s">
        <v>4292</v>
      </c>
      <c r="K674" s="2" t="s">
        <v>583</v>
      </c>
      <c r="L674" s="3">
        <v>11.64</v>
      </c>
      <c r="M674" s="3">
        <v>12.22</v>
      </c>
      <c r="N674" s="3">
        <v>25.99</v>
      </c>
      <c r="O674" s="2" t="s">
        <v>203</v>
      </c>
      <c r="P674" s="2" t="s">
        <v>204</v>
      </c>
      <c r="Q674" s="2" t="s">
        <v>205</v>
      </c>
      <c r="R674" s="2" t="s">
        <v>206</v>
      </c>
      <c r="S674" s="2" t="s">
        <v>4293</v>
      </c>
      <c r="T674" s="2" t="s">
        <v>1523</v>
      </c>
      <c r="U674" s="2" t="s">
        <v>206</v>
      </c>
      <c r="V674" s="2" t="s">
        <v>809</v>
      </c>
      <c r="W674" s="2" t="s">
        <v>210</v>
      </c>
      <c r="X674" s="2" t="s">
        <v>539</v>
      </c>
      <c r="Y674" s="2" t="s">
        <v>211</v>
      </c>
      <c r="Z674" s="4">
        <v>967</v>
      </c>
      <c r="AA674" s="4">
        <f>=ROUNDDOWN(42.0434782608696,0)</f>
      </c>
      <c r="AB674" s="5">
        <v>23</v>
      </c>
      <c r="AC674" s="2" t="s">
        <v>143</v>
      </c>
      <c r="AD674" s="4">
        <v>300</v>
      </c>
      <c r="AE674" s="4">
        <v>600</v>
      </c>
      <c r="AF674" s="6">
        <v>64</v>
      </c>
      <c r="AG674" s="6"/>
      <c r="AH674" s="7">
        <v>1</v>
      </c>
      <c r="AI674" s="4"/>
      <c r="AJ674" s="4">
        <f>=ROUNDDOWN({0},0)</f>
      </c>
      <c r="AK674" s="5"/>
      <c r="AL674" s="2" t="s">
        <v>206</v>
      </c>
      <c r="AM674" s="4"/>
      <c r="AN674" s="4"/>
      <c r="AO674" s="7"/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206</v>
      </c>
      <c r="BD674" s="8" t="s">
        <v>206</v>
      </c>
      <c r="BE674" s="4" t="s">
        <v>206</v>
      </c>
      <c r="BF674" s="8" t="s">
        <v>206</v>
      </c>
      <c r="BG674" s="7" t="s">
        <v>206</v>
      </c>
      <c r="BH674" s="7" t="s">
        <v>206</v>
      </c>
      <c r="BI674" s="7"/>
      <c r="BJ674" s="4">
        <v>73</v>
      </c>
      <c r="BK674" s="8">
        <v>837.23</v>
      </c>
      <c r="BL674" s="2" t="s">
        <v>4294</v>
      </c>
      <c r="BM674" s="7"/>
      <c r="BN674" s="7"/>
      <c r="BO674" s="4"/>
      <c r="BP674" s="8"/>
      <c r="BQ674" s="4"/>
      <c r="BR674" s="8"/>
      <c r="BS674" s="7"/>
      <c r="BT674" s="7"/>
      <c r="BU674" s="2" t="s">
        <v>4295</v>
      </c>
      <c r="BV674" s="2" t="s">
        <v>206</v>
      </c>
      <c r="BW674" s="2" t="s">
        <v>206</v>
      </c>
      <c r="BX674" s="2" t="s">
        <v>214</v>
      </c>
      <c r="BY674" s="2" t="s">
        <v>215</v>
      </c>
      <c r="BZ674" s="2" t="s">
        <v>203</v>
      </c>
      <c r="CA674" s="2" t="s">
        <v>216</v>
      </c>
      <c r="CB674" s="2" t="s">
        <v>4296</v>
      </c>
      <c r="CC674" s="2" t="s">
        <v>218</v>
      </c>
      <c r="CD674" s="2" t="s">
        <v>206</v>
      </c>
      <c r="CE674" s="4">
        <v>967</v>
      </c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>
        <v>300</v>
      </c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/>
      <c r="EW674" s="4"/>
      <c r="EX674" s="4"/>
      <c r="EY674" s="4"/>
      <c r="EZ674" s="4"/>
      <c r="FA674" s="4"/>
      <c r="FB674" s="4"/>
      <c r="FC674" s="4"/>
      <c r="FD674" s="4"/>
      <c r="FE674" s="4">
        <v>300</v>
      </c>
      <c r="FF674" s="4"/>
      <c r="FG674" s="4"/>
      <c r="FH674" s="4"/>
      <c r="FI674" s="4"/>
      <c r="FJ674" s="4"/>
      <c r="FK674" s="4"/>
      <c r="FL674" s="4"/>
      <c r="FM674" s="4"/>
      <c r="FN674" s="4"/>
      <c r="FO674" s="4"/>
      <c r="FP674" s="4"/>
      <c r="FQ674" s="4"/>
      <c r="FR674" s="4"/>
      <c r="FS674" s="4"/>
      <c r="FT674" s="4"/>
      <c r="FU674" s="4"/>
      <c r="FV674" s="4"/>
      <c r="FW674" s="4"/>
      <c r="FX674" s="4"/>
      <c r="FY674" s="4"/>
      <c r="FZ674" s="4"/>
      <c r="GA674" s="4"/>
      <c r="GB674" s="4"/>
      <c r="GC674" s="4"/>
      <c r="GD674" s="4"/>
      <c r="GE674" s="4"/>
      <c r="GF674" s="4"/>
    </row>
    <row r="675">
      <c r="A675" s="2" t="s">
        <v>4297</v>
      </c>
      <c r="B675" s="2" t="s">
        <v>800</v>
      </c>
      <c r="C675" s="2" t="s">
        <v>287</v>
      </c>
      <c r="D675" s="2" t="s">
        <v>801</v>
      </c>
      <c r="E675" s="2" t="s">
        <v>1262</v>
      </c>
      <c r="F675" s="2" t="s">
        <v>4290</v>
      </c>
      <c r="G675" s="2" t="s">
        <v>4290</v>
      </c>
      <c r="H675" s="2" t="s">
        <v>4290</v>
      </c>
      <c r="I675" s="2" t="s">
        <v>4291</v>
      </c>
      <c r="J675" s="2" t="s">
        <v>4292</v>
      </c>
      <c r="K675" s="2" t="s">
        <v>483</v>
      </c>
      <c r="L675" s="3">
        <v>11.64</v>
      </c>
      <c r="M675" s="3">
        <v>12.22</v>
      </c>
      <c r="N675" s="3">
        <v>25.99</v>
      </c>
      <c r="O675" s="2" t="s">
        <v>203</v>
      </c>
      <c r="P675" s="2" t="s">
        <v>204</v>
      </c>
      <c r="Q675" s="2" t="s">
        <v>205</v>
      </c>
      <c r="R675" s="2" t="s">
        <v>206</v>
      </c>
      <c r="S675" s="2" t="s">
        <v>4298</v>
      </c>
      <c r="T675" s="2" t="s">
        <v>1523</v>
      </c>
      <c r="U675" s="2" t="s">
        <v>206</v>
      </c>
      <c r="V675" s="2" t="s">
        <v>809</v>
      </c>
      <c r="W675" s="2" t="s">
        <v>210</v>
      </c>
      <c r="X675" s="2" t="s">
        <v>539</v>
      </c>
      <c r="Y675" s="2" t="s">
        <v>211</v>
      </c>
      <c r="Z675" s="4">
        <v>368</v>
      </c>
      <c r="AA675" s="4">
        <f>=ROUNDDOWN(30.6666666666667,0)</f>
      </c>
      <c r="AB675" s="5">
        <v>12</v>
      </c>
      <c r="AC675" s="2" t="s">
        <v>143</v>
      </c>
      <c r="AD675" s="4">
        <v>200</v>
      </c>
      <c r="AE675" s="4">
        <v>400</v>
      </c>
      <c r="AF675" s="6">
        <v>64</v>
      </c>
      <c r="AG675" s="6"/>
      <c r="AH675" s="7">
        <v>1</v>
      </c>
      <c r="AI675" s="4"/>
      <c r="AJ675" s="4">
        <f>=ROUNDDOWN({0},0)</f>
      </c>
      <c r="AK675" s="5"/>
      <c r="AL675" s="2" t="s">
        <v>206</v>
      </c>
      <c r="AM675" s="4"/>
      <c r="AN675" s="4"/>
      <c r="AO675" s="7"/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 t="s">
        <v>206</v>
      </c>
      <c r="BD675" s="8" t="s">
        <v>206</v>
      </c>
      <c r="BE675" s="4" t="s">
        <v>206</v>
      </c>
      <c r="BF675" s="8" t="s">
        <v>206</v>
      </c>
      <c r="BG675" s="7" t="s">
        <v>206</v>
      </c>
      <c r="BH675" s="7" t="s">
        <v>206</v>
      </c>
      <c r="BI675" s="7"/>
      <c r="BJ675" s="4">
        <v>65</v>
      </c>
      <c r="BK675" s="8">
        <v>731.74</v>
      </c>
      <c r="BL675" s="2" t="s">
        <v>4299</v>
      </c>
      <c r="BM675" s="7"/>
      <c r="BN675" s="7"/>
      <c r="BO675" s="4"/>
      <c r="BP675" s="8"/>
      <c r="BQ675" s="4"/>
      <c r="BR675" s="8"/>
      <c r="BS675" s="7"/>
      <c r="BT675" s="7"/>
      <c r="BU675" s="2" t="s">
        <v>4300</v>
      </c>
      <c r="BV675" s="2" t="s">
        <v>206</v>
      </c>
      <c r="BW675" s="2" t="s">
        <v>206</v>
      </c>
      <c r="BX675" s="2" t="s">
        <v>214</v>
      </c>
      <c r="BY675" s="2" t="s">
        <v>215</v>
      </c>
      <c r="BZ675" s="2" t="s">
        <v>203</v>
      </c>
      <c r="CA675" s="2" t="s">
        <v>938</v>
      </c>
      <c r="CB675" s="2" t="s">
        <v>2384</v>
      </c>
      <c r="CC675" s="2" t="s">
        <v>218</v>
      </c>
      <c r="CD675" s="2" t="s">
        <v>206</v>
      </c>
      <c r="CE675" s="4">
        <v>368</v>
      </c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>
        <v>200</v>
      </c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/>
      <c r="FA675" s="4"/>
      <c r="FB675" s="4"/>
      <c r="FC675" s="4"/>
      <c r="FD675" s="4"/>
      <c r="FE675" s="4">
        <v>200</v>
      </c>
      <c r="FF675" s="4"/>
      <c r="FG675" s="4"/>
      <c r="FH675" s="4"/>
      <c r="FI675" s="4"/>
      <c r="FJ675" s="4"/>
      <c r="FK675" s="4"/>
      <c r="FL675" s="4"/>
      <c r="FM675" s="4"/>
      <c r="FN675" s="4"/>
      <c r="FO675" s="4"/>
      <c r="FP675" s="4"/>
      <c r="FQ675" s="4"/>
      <c r="FR675" s="4"/>
      <c r="FS675" s="4"/>
      <c r="FT675" s="4"/>
      <c r="FU675" s="4"/>
      <c r="FV675" s="4"/>
      <c r="FW675" s="4"/>
      <c r="FX675" s="4"/>
      <c r="FY675" s="4"/>
      <c r="FZ675" s="4"/>
      <c r="GA675" s="4"/>
      <c r="GB675" s="4"/>
      <c r="GC675" s="4"/>
      <c r="GD675" s="4"/>
      <c r="GE675" s="4"/>
      <c r="GF675" s="4"/>
    </row>
    <row r="676">
      <c r="A676" s="2" t="s">
        <v>4301</v>
      </c>
      <c r="B676" s="2" t="s">
        <v>800</v>
      </c>
      <c r="C676" s="2" t="s">
        <v>287</v>
      </c>
      <c r="D676" s="2" t="s">
        <v>801</v>
      </c>
      <c r="E676" s="2" t="s">
        <v>1262</v>
      </c>
      <c r="F676" s="2" t="s">
        <v>4290</v>
      </c>
      <c r="G676" s="2" t="s">
        <v>4290</v>
      </c>
      <c r="H676" s="2" t="s">
        <v>4290</v>
      </c>
      <c r="I676" s="2" t="s">
        <v>4291</v>
      </c>
      <c r="J676" s="2" t="s">
        <v>4292</v>
      </c>
      <c r="K676" s="2" t="s">
        <v>605</v>
      </c>
      <c r="L676" s="3">
        <v>11.64</v>
      </c>
      <c r="M676" s="3">
        <v>12.22</v>
      </c>
      <c r="N676" s="3">
        <v>25.99</v>
      </c>
      <c r="O676" s="2" t="s">
        <v>203</v>
      </c>
      <c r="P676" s="2" t="s">
        <v>204</v>
      </c>
      <c r="Q676" s="2" t="s">
        <v>205</v>
      </c>
      <c r="R676" s="2" t="s">
        <v>206</v>
      </c>
      <c r="S676" s="2" t="s">
        <v>4302</v>
      </c>
      <c r="T676" s="2" t="s">
        <v>1523</v>
      </c>
      <c r="U676" s="2" t="s">
        <v>206</v>
      </c>
      <c r="V676" s="2" t="s">
        <v>809</v>
      </c>
      <c r="W676" s="2" t="s">
        <v>210</v>
      </c>
      <c r="X676" s="2" t="s">
        <v>539</v>
      </c>
      <c r="Y676" s="2" t="s">
        <v>211</v>
      </c>
      <c r="Z676" s="4">
        <v>201</v>
      </c>
      <c r="AA676" s="4">
        <f>=ROUNDDOWN(11.8235294117647,0)</f>
      </c>
      <c r="AB676" s="5">
        <v>17</v>
      </c>
      <c r="AC676" s="2" t="s">
        <v>4303</v>
      </c>
      <c r="AD676" s="4">
        <v>200</v>
      </c>
      <c r="AE676" s="4">
        <v>400</v>
      </c>
      <c r="AF676" s="6">
        <v>64</v>
      </c>
      <c r="AG676" s="6"/>
      <c r="AH676" s="7">
        <v>1</v>
      </c>
      <c r="AI676" s="4"/>
      <c r="AJ676" s="4">
        <f>=ROUNDDOWN({0},0)</f>
      </c>
      <c r="AK676" s="5"/>
      <c r="AL676" s="2" t="s">
        <v>206</v>
      </c>
      <c r="AM676" s="4"/>
      <c r="AN676" s="4"/>
      <c r="AO676" s="7"/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206</v>
      </c>
      <c r="BD676" s="8" t="s">
        <v>206</v>
      </c>
      <c r="BE676" s="4" t="s">
        <v>206</v>
      </c>
      <c r="BF676" s="8" t="s">
        <v>206</v>
      </c>
      <c r="BG676" s="7" t="s">
        <v>206</v>
      </c>
      <c r="BH676" s="7" t="s">
        <v>206</v>
      </c>
      <c r="BI676" s="7"/>
      <c r="BJ676" s="4">
        <v>96</v>
      </c>
      <c r="BK676" s="8">
        <v>1120.63</v>
      </c>
      <c r="BL676" s="2" t="s">
        <v>4304</v>
      </c>
      <c r="BM676" s="7"/>
      <c r="BN676" s="7"/>
      <c r="BO676" s="4"/>
      <c r="BP676" s="8"/>
      <c r="BQ676" s="4"/>
      <c r="BR676" s="8"/>
      <c r="BS676" s="7"/>
      <c r="BT676" s="7"/>
      <c r="BU676" s="2" t="s">
        <v>4305</v>
      </c>
      <c r="BV676" s="2" t="s">
        <v>206</v>
      </c>
      <c r="BW676" s="2" t="s">
        <v>206</v>
      </c>
      <c r="BX676" s="2" t="s">
        <v>214</v>
      </c>
      <c r="BY676" s="2" t="s">
        <v>215</v>
      </c>
      <c r="BZ676" s="2" t="s">
        <v>203</v>
      </c>
      <c r="CA676" s="2" t="s">
        <v>216</v>
      </c>
      <c r="CB676" s="2" t="s">
        <v>4306</v>
      </c>
      <c r="CC676" s="2" t="s">
        <v>218</v>
      </c>
      <c r="CD676" s="2" t="s">
        <v>206</v>
      </c>
      <c r="CE676" s="4">
        <v>201</v>
      </c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>
        <v>200</v>
      </c>
      <c r="EU676" s="4"/>
      <c r="EV676" s="4"/>
      <c r="EW676" s="4"/>
      <c r="EX676" s="4"/>
      <c r="EY676" s="4"/>
      <c r="EZ676" s="4"/>
      <c r="FA676" s="4"/>
      <c r="FB676" s="4"/>
      <c r="FC676" s="4"/>
      <c r="FD676" s="4"/>
      <c r="FE676" s="4">
        <v>200</v>
      </c>
      <c r="FF676" s="4"/>
      <c r="FG676" s="4"/>
      <c r="FH676" s="4"/>
      <c r="FI676" s="4"/>
      <c r="FJ676" s="4"/>
      <c r="FK676" s="4"/>
      <c r="FL676" s="4"/>
      <c r="FM676" s="4"/>
      <c r="FN676" s="4"/>
      <c r="FO676" s="4"/>
      <c r="FP676" s="4"/>
      <c r="FQ676" s="4"/>
      <c r="FR676" s="4"/>
      <c r="FS676" s="4"/>
      <c r="FT676" s="4"/>
      <c r="FU676" s="4"/>
      <c r="FV676" s="4"/>
      <c r="FW676" s="4"/>
      <c r="FX676" s="4"/>
      <c r="FY676" s="4"/>
      <c r="FZ676" s="4"/>
      <c r="GA676" s="4"/>
      <c r="GB676" s="4"/>
      <c r="GC676" s="4"/>
      <c r="GD676" s="4"/>
      <c r="GE676" s="4"/>
      <c r="GF676" s="4"/>
    </row>
    <row r="677">
      <c r="A677" s="2" t="s">
        <v>4307</v>
      </c>
      <c r="B677" s="2" t="s">
        <v>546</v>
      </c>
      <c r="C677" s="2" t="s">
        <v>1145</v>
      </c>
      <c r="D677" s="2" t="s">
        <v>529</v>
      </c>
      <c r="E677" s="2" t="s">
        <v>816</v>
      </c>
      <c r="F677" s="2" t="s">
        <v>4308</v>
      </c>
      <c r="G677" s="2" t="s">
        <v>4309</v>
      </c>
      <c r="H677" s="2" t="s">
        <v>979</v>
      </c>
      <c r="I677" s="2" t="s">
        <v>4310</v>
      </c>
      <c r="J677" s="2" t="s">
        <v>821</v>
      </c>
      <c r="K677" s="2" t="s">
        <v>1390</v>
      </c>
      <c r="L677" s="3">
        <v>23.8</v>
      </c>
      <c r="M677" s="3">
        <v>24.99</v>
      </c>
      <c r="N677" s="3">
        <v>49.99</v>
      </c>
      <c r="O677" s="2" t="s">
        <v>203</v>
      </c>
      <c r="P677" s="2" t="s">
        <v>204</v>
      </c>
      <c r="Q677" s="2" t="s">
        <v>205</v>
      </c>
      <c r="R677" s="2" t="s">
        <v>206</v>
      </c>
      <c r="S677" s="2" t="s">
        <v>4311</v>
      </c>
      <c r="T677" s="2" t="s">
        <v>292</v>
      </c>
      <c r="U677" s="2" t="s">
        <v>235</v>
      </c>
      <c r="V677" s="2" t="s">
        <v>1127</v>
      </c>
      <c r="W677" s="2" t="s">
        <v>786</v>
      </c>
      <c r="X677" s="2" t="s">
        <v>206</v>
      </c>
      <c r="Y677" s="2" t="s">
        <v>1314</v>
      </c>
      <c r="Z677" s="4"/>
      <c r="AA677" s="4">
        <f>=ROUNDDOWN({0},0)</f>
      </c>
      <c r="AB677" s="5">
        <v>9</v>
      </c>
      <c r="AC677" s="2" t="s">
        <v>127</v>
      </c>
      <c r="AD677" s="4">
        <v>250</v>
      </c>
      <c r="AE677" s="4">
        <v>250</v>
      </c>
      <c r="AF677" s="6">
        <v>64</v>
      </c>
      <c r="AG677" s="6"/>
      <c r="AH677" s="7">
        <v>0</v>
      </c>
      <c r="AI677" s="4"/>
      <c r="AJ677" s="4">
        <f>=ROUNDDOWN({0},0)</f>
      </c>
      <c r="AK677" s="5"/>
      <c r="AL677" s="2" t="s">
        <v>206</v>
      </c>
      <c r="AM677" s="4"/>
      <c r="AN677" s="4"/>
      <c r="AO677" s="7"/>
      <c r="AP677" s="4"/>
      <c r="AQ677" s="8"/>
      <c r="AR677" s="4"/>
      <c r="AS677" s="8"/>
      <c r="AT677" s="7"/>
      <c r="AU677" s="7"/>
      <c r="AV677" s="4" t="s">
        <v>206</v>
      </c>
      <c r="AW677" s="8" t="s">
        <v>206</v>
      </c>
      <c r="AX677" s="4" t="s">
        <v>206</v>
      </c>
      <c r="AY677" s="8" t="s">
        <v>206</v>
      </c>
      <c r="AZ677" s="7" t="s">
        <v>206</v>
      </c>
      <c r="BA677" s="7" t="s">
        <v>206</v>
      </c>
      <c r="BB677" s="7" t="s">
        <v>206</v>
      </c>
      <c r="BC677" s="4" t="s">
        <v>206</v>
      </c>
      <c r="BD677" s="8" t="s">
        <v>206</v>
      </c>
      <c r="BE677" s="4" t="s">
        <v>206</v>
      </c>
      <c r="BF677" s="8" t="s">
        <v>206</v>
      </c>
      <c r="BG677" s="7" t="s">
        <v>206</v>
      </c>
      <c r="BH677" s="7" t="s">
        <v>206</v>
      </c>
      <c r="BI677" s="7"/>
      <c r="BJ677" s="4"/>
      <c r="BK677" s="8"/>
      <c r="BL677" s="2" t="s">
        <v>206</v>
      </c>
      <c r="BM677" s="7"/>
      <c r="BN677" s="7"/>
      <c r="BO677" s="4"/>
      <c r="BP677" s="8"/>
      <c r="BQ677" s="4"/>
      <c r="BR677" s="8"/>
      <c r="BS677" s="7"/>
      <c r="BT677" s="7"/>
      <c r="BU677" s="2" t="s">
        <v>4312</v>
      </c>
      <c r="BV677" s="2" t="s">
        <v>206</v>
      </c>
      <c r="BW677" s="2" t="s">
        <v>206</v>
      </c>
      <c r="BX677" s="2" t="s">
        <v>214</v>
      </c>
      <c r="BY677" s="2" t="s">
        <v>215</v>
      </c>
      <c r="BZ677" s="2" t="s">
        <v>203</v>
      </c>
      <c r="CA677" s="2" t="s">
        <v>1673</v>
      </c>
      <c r="CB677" s="2" t="s">
        <v>4313</v>
      </c>
      <c r="CC677" s="2" t="s">
        <v>218</v>
      </c>
      <c r="CD677" s="2" t="s">
        <v>206</v>
      </c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>
        <v>250</v>
      </c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/>
      <c r="EM677" s="4"/>
      <c r="EN677" s="4"/>
      <c r="EO677" s="4"/>
      <c r="EP677" s="4"/>
      <c r="EQ677" s="4"/>
      <c r="ER677" s="4"/>
      <c r="ES677" s="4"/>
      <c r="ET677" s="4"/>
      <c r="EU677" s="4"/>
      <c r="EV677" s="4"/>
      <c r="EW677" s="4"/>
      <c r="EX677" s="4"/>
      <c r="EY677" s="4"/>
      <c r="EZ677" s="4"/>
      <c r="FA677" s="4"/>
      <c r="FB677" s="4"/>
      <c r="FC677" s="4"/>
      <c r="FD677" s="4"/>
      <c r="FE677" s="4"/>
      <c r="FF677" s="4"/>
      <c r="FG677" s="4"/>
      <c r="FH677" s="4"/>
      <c r="FI677" s="4"/>
      <c r="FJ677" s="4"/>
      <c r="FK677" s="4"/>
      <c r="FL677" s="4"/>
      <c r="FM677" s="4"/>
      <c r="FN677" s="4"/>
      <c r="FO677" s="4"/>
      <c r="FP677" s="4"/>
      <c r="FQ677" s="4"/>
      <c r="FR677" s="4"/>
      <c r="FS677" s="4"/>
      <c r="FT677" s="4"/>
      <c r="FU677" s="4"/>
      <c r="FV677" s="4"/>
      <c r="FW677" s="4"/>
      <c r="FX677" s="4"/>
      <c r="FY677" s="4"/>
      <c r="FZ677" s="4"/>
      <c r="GA677" s="4"/>
      <c r="GB677" s="4"/>
      <c r="GC677" s="4"/>
      <c r="GD677" s="4"/>
      <c r="GE677" s="4"/>
      <c r="GF677" s="4"/>
    </row>
    <row r="678">
      <c r="A678" s="2" t="s">
        <v>4314</v>
      </c>
      <c r="B678" s="2" t="s">
        <v>546</v>
      </c>
      <c r="C678" s="2" t="s">
        <v>1145</v>
      </c>
      <c r="D678" s="2" t="s">
        <v>548</v>
      </c>
      <c r="E678" s="2" t="s">
        <v>579</v>
      </c>
      <c r="F678" s="2" t="s">
        <v>4308</v>
      </c>
      <c r="G678" s="2" t="s">
        <v>4309</v>
      </c>
      <c r="H678" s="2" t="s">
        <v>979</v>
      </c>
      <c r="I678" s="2" t="s">
        <v>4315</v>
      </c>
      <c r="J678" s="2" t="s">
        <v>821</v>
      </c>
      <c r="K678" s="2" t="s">
        <v>1390</v>
      </c>
      <c r="L678" s="3">
        <v>14.28</v>
      </c>
      <c r="M678" s="3">
        <v>14.99</v>
      </c>
      <c r="N678" s="3">
        <v>29.99</v>
      </c>
      <c r="O678" s="2" t="s">
        <v>203</v>
      </c>
      <c r="P678" s="2" t="s">
        <v>204</v>
      </c>
      <c r="Q678" s="2" t="s">
        <v>205</v>
      </c>
      <c r="R678" s="2" t="s">
        <v>206</v>
      </c>
      <c r="S678" s="2" t="s">
        <v>4311</v>
      </c>
      <c r="T678" s="2" t="s">
        <v>292</v>
      </c>
      <c r="U678" s="2" t="s">
        <v>900</v>
      </c>
      <c r="V678" s="2" t="s">
        <v>1127</v>
      </c>
      <c r="W678" s="2" t="s">
        <v>786</v>
      </c>
      <c r="X678" s="2" t="s">
        <v>206</v>
      </c>
      <c r="Y678" s="2" t="s">
        <v>1676</v>
      </c>
      <c r="Z678" s="4"/>
      <c r="AA678" s="4">
        <f>=ROUNDDOWN({0},0)</f>
      </c>
      <c r="AB678" s="5">
        <v>3</v>
      </c>
      <c r="AC678" s="2" t="s">
        <v>127</v>
      </c>
      <c r="AD678" s="4">
        <v>70</v>
      </c>
      <c r="AE678" s="4">
        <v>70</v>
      </c>
      <c r="AF678" s="6">
        <v>64</v>
      </c>
      <c r="AG678" s="6"/>
      <c r="AH678" s="7">
        <v>0.6129</v>
      </c>
      <c r="AI678" s="4"/>
      <c r="AJ678" s="4">
        <f>=ROUNDDOWN({0},0)</f>
      </c>
      <c r="AK678" s="5"/>
      <c r="AL678" s="2" t="s">
        <v>206</v>
      </c>
      <c r="AM678" s="4"/>
      <c r="AN678" s="4"/>
      <c r="AO678" s="7"/>
      <c r="AP678" s="4"/>
      <c r="AQ678" s="8"/>
      <c r="AR678" s="4"/>
      <c r="AS678" s="8"/>
      <c r="AT678" s="7"/>
      <c r="AU678" s="7"/>
      <c r="AV678" s="4" t="s">
        <v>206</v>
      </c>
      <c r="AW678" s="8" t="s">
        <v>206</v>
      </c>
      <c r="AX678" s="4" t="s">
        <v>206</v>
      </c>
      <c r="AY678" s="8" t="s">
        <v>206</v>
      </c>
      <c r="AZ678" s="7" t="s">
        <v>206</v>
      </c>
      <c r="BA678" s="7" t="s">
        <v>206</v>
      </c>
      <c r="BB678" s="7" t="s">
        <v>206</v>
      </c>
      <c r="BC678" s="4" t="s">
        <v>206</v>
      </c>
      <c r="BD678" s="8" t="s">
        <v>206</v>
      </c>
      <c r="BE678" s="4" t="s">
        <v>206</v>
      </c>
      <c r="BF678" s="8" t="s">
        <v>206</v>
      </c>
      <c r="BG678" s="7" t="s">
        <v>206</v>
      </c>
      <c r="BH678" s="7" t="s">
        <v>206</v>
      </c>
      <c r="BI678" s="7"/>
      <c r="BJ678" s="4">
        <v>12</v>
      </c>
      <c r="BK678" s="8">
        <v>184.38</v>
      </c>
      <c r="BL678" s="2" t="s">
        <v>2614</v>
      </c>
      <c r="BM678" s="7"/>
      <c r="BN678" s="7"/>
      <c r="BO678" s="4"/>
      <c r="BP678" s="8"/>
      <c r="BQ678" s="4"/>
      <c r="BR678" s="8"/>
      <c r="BS678" s="7"/>
      <c r="BT678" s="7"/>
      <c r="BU678" s="2" t="s">
        <v>4316</v>
      </c>
      <c r="BV678" s="2" t="s">
        <v>206</v>
      </c>
      <c r="BW678" s="2" t="s">
        <v>206</v>
      </c>
      <c r="BX678" s="2" t="s">
        <v>214</v>
      </c>
      <c r="BY678" s="2" t="s">
        <v>215</v>
      </c>
      <c r="BZ678" s="2" t="s">
        <v>203</v>
      </c>
      <c r="CA678" s="2" t="s">
        <v>1673</v>
      </c>
      <c r="CB678" s="2" t="s">
        <v>3133</v>
      </c>
      <c r="CC678" s="2" t="s">
        <v>218</v>
      </c>
      <c r="CD678" s="2" t="s">
        <v>206</v>
      </c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>
        <v>70</v>
      </c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  <c r="EH678" s="4"/>
      <c r="EI678" s="4"/>
      <c r="EJ678" s="4"/>
      <c r="EK678" s="4"/>
      <c r="EL678" s="4"/>
      <c r="EM678" s="4"/>
      <c r="EN678" s="4"/>
      <c r="EO678" s="4"/>
      <c r="EP678" s="4"/>
      <c r="EQ678" s="4"/>
      <c r="ER678" s="4"/>
      <c r="ES678" s="4"/>
      <c r="ET678" s="4"/>
      <c r="EU678" s="4"/>
      <c r="EV678" s="4"/>
      <c r="EW678" s="4"/>
      <c r="EX678" s="4"/>
      <c r="EY678" s="4"/>
      <c r="EZ678" s="4"/>
      <c r="FA678" s="4"/>
      <c r="FB678" s="4"/>
      <c r="FC678" s="4"/>
      <c r="FD678" s="4"/>
      <c r="FE678" s="4"/>
      <c r="FF678" s="4"/>
      <c r="FG678" s="4"/>
      <c r="FH678" s="4"/>
      <c r="FI678" s="4"/>
      <c r="FJ678" s="4"/>
      <c r="FK678" s="4"/>
      <c r="FL678" s="4"/>
      <c r="FM678" s="4"/>
      <c r="FN678" s="4"/>
      <c r="FO678" s="4"/>
      <c r="FP678" s="4"/>
      <c r="FQ678" s="4"/>
      <c r="FR678" s="4"/>
      <c r="FS678" s="4"/>
      <c r="FT678" s="4"/>
      <c r="FU678" s="4"/>
      <c r="FV678" s="4"/>
      <c r="FW678" s="4"/>
      <c r="FX678" s="4"/>
      <c r="FY678" s="4"/>
      <c r="FZ678" s="4"/>
      <c r="GA678" s="4"/>
      <c r="GB678" s="4"/>
      <c r="GC678" s="4"/>
      <c r="GD678" s="4"/>
      <c r="GE678" s="4"/>
      <c r="GF678" s="4"/>
    </row>
    <row r="679">
      <c r="A679" s="2" t="s">
        <v>4317</v>
      </c>
      <c r="B679" s="2" t="s">
        <v>225</v>
      </c>
      <c r="C679" s="2" t="s">
        <v>2240</v>
      </c>
      <c r="D679" s="2" t="s">
        <v>227</v>
      </c>
      <c r="E679" s="2" t="s">
        <v>228</v>
      </c>
      <c r="F679" s="2" t="s">
        <v>4318</v>
      </c>
      <c r="G679" s="2" t="s">
        <v>4318</v>
      </c>
      <c r="H679" s="2" t="s">
        <v>4318</v>
      </c>
      <c r="I679" s="2" t="s">
        <v>4319</v>
      </c>
      <c r="J679" s="2" t="s">
        <v>310</v>
      </c>
      <c r="K679" s="2" t="s">
        <v>4320</v>
      </c>
      <c r="L679" s="3">
        <v>28.68</v>
      </c>
      <c r="M679" s="3">
        <v>30.11</v>
      </c>
      <c r="N679" s="3">
        <v>62.99</v>
      </c>
      <c r="O679" s="2" t="s">
        <v>203</v>
      </c>
      <c r="P679" s="2" t="s">
        <v>204</v>
      </c>
      <c r="Q679" s="2" t="s">
        <v>205</v>
      </c>
      <c r="R679" s="2" t="s">
        <v>206</v>
      </c>
      <c r="S679" s="2" t="s">
        <v>4321</v>
      </c>
      <c r="T679" s="2" t="s">
        <v>1931</v>
      </c>
      <c r="U679" s="2" t="s">
        <v>235</v>
      </c>
      <c r="V679" s="2" t="s">
        <v>236</v>
      </c>
      <c r="W679" s="2" t="s">
        <v>210</v>
      </c>
      <c r="X679" s="2" t="s">
        <v>439</v>
      </c>
      <c r="Y679" s="2" t="s">
        <v>1992</v>
      </c>
      <c r="Z679" s="4">
        <v>60</v>
      </c>
      <c r="AA679" s="4">
        <f>=ROUNDDOWN(11.5384615384615,0)</f>
      </c>
      <c r="AB679" s="5">
        <v>5.2</v>
      </c>
      <c r="AC679" s="2" t="s">
        <v>4322</v>
      </c>
      <c r="AD679" s="4">
        <v>70</v>
      </c>
      <c r="AE679" s="4">
        <v>330</v>
      </c>
      <c r="AF679" s="6">
        <v>74</v>
      </c>
      <c r="AG679" s="6"/>
      <c r="AH679" s="7">
        <v>1</v>
      </c>
      <c r="AI679" s="4"/>
      <c r="AJ679" s="4">
        <f>=ROUNDDOWN({0},0)</f>
      </c>
      <c r="AK679" s="5"/>
      <c r="AL679" s="2" t="s">
        <v>206</v>
      </c>
      <c r="AM679" s="4"/>
      <c r="AN679" s="4"/>
      <c r="AO679" s="7"/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 t="s">
        <v>206</v>
      </c>
      <c r="BD679" s="8" t="s">
        <v>206</v>
      </c>
      <c r="BE679" s="4" t="s">
        <v>206</v>
      </c>
      <c r="BF679" s="8" t="s">
        <v>206</v>
      </c>
      <c r="BG679" s="7" t="s">
        <v>206</v>
      </c>
      <c r="BH679" s="7" t="s">
        <v>206</v>
      </c>
      <c r="BI679" s="7"/>
      <c r="BJ679" s="4">
        <v>42</v>
      </c>
      <c r="BK679" s="8">
        <v>1327.43</v>
      </c>
      <c r="BL679" s="2" t="s">
        <v>4323</v>
      </c>
      <c r="BM679" s="7"/>
      <c r="BN679" s="7"/>
      <c r="BO679" s="4"/>
      <c r="BP679" s="8"/>
      <c r="BQ679" s="4"/>
      <c r="BR679" s="8"/>
      <c r="BS679" s="7"/>
      <c r="BT679" s="7"/>
      <c r="BU679" s="2" t="s">
        <v>4324</v>
      </c>
      <c r="BV679" s="2" t="s">
        <v>206</v>
      </c>
      <c r="BW679" s="2" t="s">
        <v>206</v>
      </c>
      <c r="BX679" s="2" t="s">
        <v>214</v>
      </c>
      <c r="BY679" s="2" t="s">
        <v>215</v>
      </c>
      <c r="BZ679" s="2" t="s">
        <v>203</v>
      </c>
      <c r="CA679" s="2" t="s">
        <v>1589</v>
      </c>
      <c r="CB679" s="2" t="s">
        <v>258</v>
      </c>
      <c r="CC679" s="2" t="s">
        <v>218</v>
      </c>
      <c r="CD679" s="2" t="s">
        <v>206</v>
      </c>
      <c r="CE679" s="4">
        <v>60</v>
      </c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>
        <v>70</v>
      </c>
      <c r="DT679" s="4"/>
      <c r="DU679" s="4"/>
      <c r="DV679" s="4">
        <v>189</v>
      </c>
      <c r="DW679" s="4"/>
      <c r="DX679" s="4"/>
      <c r="DY679" s="4"/>
      <c r="DZ679" s="4"/>
      <c r="EA679" s="4"/>
      <c r="EB679" s="4"/>
      <c r="EC679" s="4"/>
      <c r="ED679" s="4"/>
      <c r="EE679" s="4"/>
      <c r="EF679" s="4">
        <v>71</v>
      </c>
      <c r="EG679" s="4"/>
      <c r="EH679" s="4"/>
      <c r="EI679" s="4"/>
      <c r="EJ679" s="4"/>
      <c r="EK679" s="4"/>
      <c r="EL679" s="4"/>
      <c r="EM679" s="4"/>
      <c r="EN679" s="4"/>
      <c r="EO679" s="4"/>
      <c r="EP679" s="4"/>
      <c r="EQ679" s="4"/>
      <c r="ER679" s="4"/>
      <c r="ES679" s="4"/>
      <c r="ET679" s="4"/>
      <c r="EU679" s="4"/>
      <c r="EV679" s="4"/>
      <c r="EW679" s="4"/>
      <c r="EX679" s="4"/>
      <c r="EY679" s="4"/>
      <c r="EZ679" s="4"/>
      <c r="FA679" s="4"/>
      <c r="FB679" s="4"/>
      <c r="FC679" s="4"/>
      <c r="FD679" s="4"/>
      <c r="FE679" s="4"/>
      <c r="FF679" s="4"/>
      <c r="FG679" s="4"/>
      <c r="FH679" s="4"/>
      <c r="FI679" s="4"/>
      <c r="FJ679" s="4"/>
      <c r="FK679" s="4"/>
      <c r="FL679" s="4"/>
      <c r="FM679" s="4"/>
      <c r="FN679" s="4"/>
      <c r="FO679" s="4"/>
      <c r="FP679" s="4"/>
      <c r="FQ679" s="4"/>
      <c r="FR679" s="4"/>
      <c r="FS679" s="4"/>
      <c r="FT679" s="4"/>
      <c r="FU679" s="4"/>
      <c r="FV679" s="4"/>
      <c r="FW679" s="4"/>
      <c r="FX679" s="4"/>
      <c r="FY679" s="4"/>
      <c r="FZ679" s="4"/>
      <c r="GA679" s="4"/>
      <c r="GB679" s="4"/>
      <c r="GC679" s="4"/>
      <c r="GD679" s="4"/>
      <c r="GE679" s="4"/>
      <c r="GF679" s="4"/>
    </row>
    <row r="680">
      <c r="A680" s="2" t="s">
        <v>4325</v>
      </c>
      <c r="B680" s="2" t="s">
        <v>225</v>
      </c>
      <c r="C680" s="2" t="s">
        <v>2240</v>
      </c>
      <c r="D680" s="2" t="s">
        <v>227</v>
      </c>
      <c r="E680" s="2" t="s">
        <v>228</v>
      </c>
      <c r="F680" s="2" t="s">
        <v>4318</v>
      </c>
      <c r="G680" s="2" t="s">
        <v>4318</v>
      </c>
      <c r="H680" s="2" t="s">
        <v>4318</v>
      </c>
      <c r="I680" s="2" t="s">
        <v>4319</v>
      </c>
      <c r="J680" s="2" t="s">
        <v>282</v>
      </c>
      <c r="K680" s="2" t="s">
        <v>4326</v>
      </c>
      <c r="L680" s="3">
        <v>25.85</v>
      </c>
      <c r="M680" s="3">
        <v>27.14</v>
      </c>
      <c r="N680" s="3">
        <v>55.99</v>
      </c>
      <c r="O680" s="2" t="s">
        <v>203</v>
      </c>
      <c r="P680" s="2" t="s">
        <v>773</v>
      </c>
      <c r="Q680" s="2" t="s">
        <v>205</v>
      </c>
      <c r="R680" s="2" t="s">
        <v>206</v>
      </c>
      <c r="S680" s="2" t="s">
        <v>4327</v>
      </c>
      <c r="T680" s="2" t="s">
        <v>1931</v>
      </c>
      <c r="U680" s="2" t="s">
        <v>235</v>
      </c>
      <c r="V680" s="2" t="s">
        <v>958</v>
      </c>
      <c r="W680" s="2" t="s">
        <v>210</v>
      </c>
      <c r="X680" s="2" t="s">
        <v>439</v>
      </c>
      <c r="Y680" s="2" t="s">
        <v>2705</v>
      </c>
      <c r="Z680" s="4">
        <v>516</v>
      </c>
      <c r="AA680" s="4">
        <f>=ROUNDDOWN(23.4545454545455,0)</f>
      </c>
      <c r="AB680" s="5">
        <v>22</v>
      </c>
      <c r="AC680" s="2" t="s">
        <v>1200</v>
      </c>
      <c r="AD680" s="4">
        <v>436</v>
      </c>
      <c r="AE680" s="4">
        <v>574</v>
      </c>
      <c r="AF680" s="6">
        <v>65</v>
      </c>
      <c r="AG680" s="6"/>
      <c r="AH680" s="7">
        <v>1</v>
      </c>
      <c r="AI680" s="4"/>
      <c r="AJ680" s="4">
        <f>=ROUNDDOWN({0},0)</f>
      </c>
      <c r="AK680" s="5"/>
      <c r="AL680" s="2" t="s">
        <v>206</v>
      </c>
      <c r="AM680" s="4"/>
      <c r="AN680" s="4"/>
      <c r="AO680" s="7"/>
      <c r="AP680" s="4"/>
      <c r="AQ680" s="8"/>
      <c r="AR680" s="4"/>
      <c r="AS680" s="8"/>
      <c r="AT680" s="7"/>
      <c r="AU680" s="7"/>
      <c r="AV680" s="4" t="s">
        <v>206</v>
      </c>
      <c r="AW680" s="8" t="s">
        <v>206</v>
      </c>
      <c r="AX680" s="4" t="s">
        <v>206</v>
      </c>
      <c r="AY680" s="8" t="s">
        <v>206</v>
      </c>
      <c r="AZ680" s="7" t="s">
        <v>206</v>
      </c>
      <c r="BA680" s="7" t="s">
        <v>206</v>
      </c>
      <c r="BB680" s="7"/>
      <c r="BC680" s="4" t="s">
        <v>206</v>
      </c>
      <c r="BD680" s="8" t="s">
        <v>206</v>
      </c>
      <c r="BE680" s="4" t="s">
        <v>206</v>
      </c>
      <c r="BF680" s="8" t="s">
        <v>206</v>
      </c>
      <c r="BG680" s="7" t="s">
        <v>206</v>
      </c>
      <c r="BH680" s="7" t="s">
        <v>206</v>
      </c>
      <c r="BI680" s="7"/>
      <c r="BJ680" s="4">
        <v>73</v>
      </c>
      <c r="BK680" s="8">
        <v>2044.23</v>
      </c>
      <c r="BL680" s="2" t="s">
        <v>4328</v>
      </c>
      <c r="BM680" s="7"/>
      <c r="BN680" s="7"/>
      <c r="BO680" s="4"/>
      <c r="BP680" s="8"/>
      <c r="BQ680" s="4"/>
      <c r="BR680" s="8"/>
      <c r="BS680" s="7"/>
      <c r="BT680" s="7"/>
      <c r="BU680" s="2" t="s">
        <v>4329</v>
      </c>
      <c r="BV680" s="2" t="s">
        <v>206</v>
      </c>
      <c r="BW680" s="2" t="s">
        <v>206</v>
      </c>
      <c r="BX680" s="2" t="s">
        <v>214</v>
      </c>
      <c r="BY680" s="2" t="s">
        <v>215</v>
      </c>
      <c r="BZ680" s="2" t="s">
        <v>203</v>
      </c>
      <c r="CA680" s="2" t="s">
        <v>2705</v>
      </c>
      <c r="CB680" s="2" t="s">
        <v>4330</v>
      </c>
      <c r="CC680" s="2" t="s">
        <v>218</v>
      </c>
      <c r="CD680" s="2" t="s">
        <v>206</v>
      </c>
      <c r="CE680" s="4">
        <v>516</v>
      </c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>
        <v>436</v>
      </c>
      <c r="DR680" s="4"/>
      <c r="DS680" s="4">
        <v>138</v>
      </c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  <c r="EH680" s="4"/>
      <c r="EI680" s="4"/>
      <c r="EJ680" s="4"/>
      <c r="EK680" s="4"/>
      <c r="EL680" s="4"/>
      <c r="EM680" s="4"/>
      <c r="EN680" s="4"/>
      <c r="EO680" s="4"/>
      <c r="EP680" s="4"/>
      <c r="EQ680" s="4"/>
      <c r="ER680" s="4"/>
      <c r="ES680" s="4"/>
      <c r="ET680" s="4"/>
      <c r="EU680" s="4"/>
      <c r="EV680" s="4"/>
      <c r="EW680" s="4"/>
      <c r="EX680" s="4"/>
      <c r="EY680" s="4"/>
      <c r="EZ680" s="4"/>
      <c r="FA680" s="4"/>
      <c r="FB680" s="4"/>
      <c r="FC680" s="4"/>
      <c r="FD680" s="4"/>
      <c r="FE680" s="4"/>
      <c r="FF680" s="4"/>
      <c r="FG680" s="4"/>
      <c r="FH680" s="4"/>
      <c r="FI680" s="4"/>
      <c r="FJ680" s="4"/>
      <c r="FK680" s="4"/>
      <c r="FL680" s="4"/>
      <c r="FM680" s="4"/>
      <c r="FN680" s="4"/>
      <c r="FO680" s="4"/>
      <c r="FP680" s="4"/>
      <c r="FQ680" s="4"/>
      <c r="FR680" s="4"/>
      <c r="FS680" s="4"/>
      <c r="FT680" s="4"/>
      <c r="FU680" s="4"/>
      <c r="FV680" s="4"/>
      <c r="FW680" s="4"/>
      <c r="FX680" s="4"/>
      <c r="FY680" s="4"/>
      <c r="FZ680" s="4"/>
      <c r="GA680" s="4"/>
      <c r="GB680" s="4"/>
      <c r="GC680" s="4"/>
      <c r="GD680" s="4"/>
      <c r="GE680" s="4"/>
      <c r="GF680" s="4"/>
    </row>
    <row r="681">
      <c r="A681" s="2" t="s">
        <v>4331</v>
      </c>
      <c r="B681" s="2" t="s">
        <v>225</v>
      </c>
      <c r="C681" s="2" t="s">
        <v>2240</v>
      </c>
      <c r="D681" s="2" t="s">
        <v>227</v>
      </c>
      <c r="E681" s="2" t="s">
        <v>228</v>
      </c>
      <c r="F681" s="2" t="s">
        <v>4318</v>
      </c>
      <c r="G681" s="2" t="s">
        <v>4318</v>
      </c>
      <c r="H681" s="2" t="s">
        <v>4318</v>
      </c>
      <c r="I681" s="2" t="s">
        <v>4319</v>
      </c>
      <c r="J681" s="2" t="s">
        <v>231</v>
      </c>
      <c r="K681" s="2" t="s">
        <v>4326</v>
      </c>
      <c r="L681" s="3">
        <v>28.68</v>
      </c>
      <c r="M681" s="3">
        <v>30.11</v>
      </c>
      <c r="N681" s="3">
        <v>62.99</v>
      </c>
      <c r="O681" s="2" t="s">
        <v>203</v>
      </c>
      <c r="P681" s="2" t="s">
        <v>204</v>
      </c>
      <c r="Q681" s="2" t="s">
        <v>205</v>
      </c>
      <c r="R681" s="2" t="s">
        <v>206</v>
      </c>
      <c r="S681" s="2" t="s">
        <v>4327</v>
      </c>
      <c r="T681" s="2" t="s">
        <v>1931</v>
      </c>
      <c r="U681" s="2" t="s">
        <v>235</v>
      </c>
      <c r="V681" s="2" t="s">
        <v>958</v>
      </c>
      <c r="W681" s="2" t="s">
        <v>210</v>
      </c>
      <c r="X681" s="2" t="s">
        <v>439</v>
      </c>
      <c r="Y681" s="2" t="s">
        <v>2705</v>
      </c>
      <c r="Z681" s="4">
        <v>271</v>
      </c>
      <c r="AA681" s="4">
        <f>=ROUNDDOWN(20.8461538461538,0)</f>
      </c>
      <c r="AB681" s="5">
        <v>13</v>
      </c>
      <c r="AC681" s="2" t="s">
        <v>1200</v>
      </c>
      <c r="AD681" s="4">
        <v>199</v>
      </c>
      <c r="AE681" s="4">
        <v>279</v>
      </c>
      <c r="AF681" s="6">
        <v>65</v>
      </c>
      <c r="AG681" s="6"/>
      <c r="AH681" s="7">
        <v>1</v>
      </c>
      <c r="AI681" s="4"/>
      <c r="AJ681" s="4">
        <f>=ROUNDDOWN({0},0)</f>
      </c>
      <c r="AK681" s="5"/>
      <c r="AL681" s="2" t="s">
        <v>206</v>
      </c>
      <c r="AM681" s="4"/>
      <c r="AN681" s="4"/>
      <c r="AO681" s="7"/>
      <c r="AP681" s="4"/>
      <c r="AQ681" s="8"/>
      <c r="AR681" s="4"/>
      <c r="AS681" s="8"/>
      <c r="AT681" s="7"/>
      <c r="AU681" s="7"/>
      <c r="AV681" s="4" t="s">
        <v>206</v>
      </c>
      <c r="AW681" s="8" t="s">
        <v>206</v>
      </c>
      <c r="AX681" s="4" t="s">
        <v>206</v>
      </c>
      <c r="AY681" s="8" t="s">
        <v>206</v>
      </c>
      <c r="AZ681" s="7" t="s">
        <v>206</v>
      </c>
      <c r="BA681" s="7" t="s">
        <v>206</v>
      </c>
      <c r="BB681" s="7"/>
      <c r="BC681" s="4" t="s">
        <v>206</v>
      </c>
      <c r="BD681" s="8" t="s">
        <v>206</v>
      </c>
      <c r="BE681" s="4" t="s">
        <v>206</v>
      </c>
      <c r="BF681" s="8" t="s">
        <v>206</v>
      </c>
      <c r="BG681" s="7" t="s">
        <v>206</v>
      </c>
      <c r="BH681" s="7" t="s">
        <v>206</v>
      </c>
      <c r="BI681" s="7"/>
      <c r="BJ681" s="4">
        <v>59</v>
      </c>
      <c r="BK681" s="8">
        <v>1849.22</v>
      </c>
      <c r="BL681" s="2" t="s">
        <v>4332</v>
      </c>
      <c r="BM681" s="7"/>
      <c r="BN681" s="7"/>
      <c r="BO681" s="4"/>
      <c r="BP681" s="8"/>
      <c r="BQ681" s="4"/>
      <c r="BR681" s="8"/>
      <c r="BS681" s="7"/>
      <c r="BT681" s="7"/>
      <c r="BU681" s="2" t="s">
        <v>4333</v>
      </c>
      <c r="BV681" s="2" t="s">
        <v>206</v>
      </c>
      <c r="BW681" s="2" t="s">
        <v>206</v>
      </c>
      <c r="BX681" s="2" t="s">
        <v>214</v>
      </c>
      <c r="BY681" s="2" t="s">
        <v>215</v>
      </c>
      <c r="BZ681" s="2" t="s">
        <v>203</v>
      </c>
      <c r="CA681" s="2" t="s">
        <v>2705</v>
      </c>
      <c r="CB681" s="2" t="s">
        <v>4334</v>
      </c>
      <c r="CC681" s="2" t="s">
        <v>218</v>
      </c>
      <c r="CD681" s="2" t="s">
        <v>206</v>
      </c>
      <c r="CE681" s="4">
        <v>271</v>
      </c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>
        <v>199</v>
      </c>
      <c r="DR681" s="4"/>
      <c r="DS681" s="4">
        <v>80</v>
      </c>
      <c r="DT681" s="4"/>
      <c r="DU681" s="4"/>
      <c r="DV681" s="4"/>
      <c r="DW681" s="4"/>
      <c r="DX681" s="4"/>
      <c r="DY681" s="4"/>
      <c r="DZ681" s="4"/>
      <c r="EA681" s="4"/>
      <c r="EB681" s="4"/>
      <c r="EC681" s="4"/>
      <c r="ED681" s="4"/>
      <c r="EE681" s="4"/>
      <c r="EF681" s="4"/>
      <c r="EG681" s="4"/>
      <c r="EH681" s="4"/>
      <c r="EI681" s="4"/>
      <c r="EJ681" s="4"/>
      <c r="EK681" s="4"/>
      <c r="EL681" s="4"/>
      <c r="EM681" s="4"/>
      <c r="EN681" s="4"/>
      <c r="EO681" s="4"/>
      <c r="EP681" s="4"/>
      <c r="EQ681" s="4"/>
      <c r="ER681" s="4"/>
      <c r="ES681" s="4"/>
      <c r="ET681" s="4"/>
      <c r="EU681" s="4"/>
      <c r="EV681" s="4"/>
      <c r="EW681" s="4"/>
      <c r="EX681" s="4"/>
      <c r="EY681" s="4"/>
      <c r="EZ681" s="4"/>
      <c r="FA681" s="4"/>
      <c r="FB681" s="4"/>
      <c r="FC681" s="4"/>
      <c r="FD681" s="4"/>
      <c r="FE681" s="4"/>
      <c r="FF681" s="4"/>
      <c r="FG681" s="4"/>
      <c r="FH681" s="4"/>
      <c r="FI681" s="4"/>
      <c r="FJ681" s="4"/>
      <c r="FK681" s="4"/>
      <c r="FL681" s="4"/>
      <c r="FM681" s="4"/>
      <c r="FN681" s="4"/>
      <c r="FO681" s="4"/>
      <c r="FP681" s="4"/>
      <c r="FQ681" s="4"/>
      <c r="FR681" s="4"/>
      <c r="FS681" s="4"/>
      <c r="FT681" s="4"/>
      <c r="FU681" s="4"/>
      <c r="FV681" s="4"/>
      <c r="FW681" s="4"/>
      <c r="FX681" s="4"/>
      <c r="FY681" s="4"/>
      <c r="FZ681" s="4"/>
      <c r="GA681" s="4"/>
      <c r="GB681" s="4"/>
      <c r="GC681" s="4"/>
      <c r="GD681" s="4"/>
      <c r="GE681" s="4"/>
      <c r="GF681" s="4"/>
    </row>
    <row r="682">
      <c r="A682" s="2" t="s">
        <v>4335</v>
      </c>
      <c r="B682" s="2" t="s">
        <v>225</v>
      </c>
      <c r="C682" s="2" t="s">
        <v>2240</v>
      </c>
      <c r="D682" s="2" t="s">
        <v>227</v>
      </c>
      <c r="E682" s="2" t="s">
        <v>228</v>
      </c>
      <c r="F682" s="2" t="s">
        <v>4318</v>
      </c>
      <c r="G682" s="2" t="s">
        <v>4318</v>
      </c>
      <c r="H682" s="2" t="s">
        <v>4318</v>
      </c>
      <c r="I682" s="2" t="s">
        <v>4319</v>
      </c>
      <c r="J682" s="2" t="s">
        <v>310</v>
      </c>
      <c r="K682" s="2" t="s">
        <v>4336</v>
      </c>
      <c r="L682" s="3">
        <v>28.68</v>
      </c>
      <c r="M682" s="3">
        <v>30.11</v>
      </c>
      <c r="N682" s="3">
        <v>62.99</v>
      </c>
      <c r="O682" s="2" t="s">
        <v>203</v>
      </c>
      <c r="P682" s="2" t="s">
        <v>204</v>
      </c>
      <c r="Q682" s="2" t="s">
        <v>205</v>
      </c>
      <c r="R682" s="2" t="s">
        <v>206</v>
      </c>
      <c r="S682" s="2" t="s">
        <v>4337</v>
      </c>
      <c r="T682" s="2" t="s">
        <v>1931</v>
      </c>
      <c r="U682" s="2" t="s">
        <v>235</v>
      </c>
      <c r="V682" s="2" t="s">
        <v>209</v>
      </c>
      <c r="W682" s="2" t="s">
        <v>210</v>
      </c>
      <c r="X682" s="2" t="s">
        <v>439</v>
      </c>
      <c r="Y682" s="2" t="s">
        <v>2705</v>
      </c>
      <c r="Z682" s="4">
        <v>127</v>
      </c>
      <c r="AA682" s="4">
        <f>=ROUNDDOWN(21.1666666666667,0)</f>
      </c>
      <c r="AB682" s="5">
        <v>6</v>
      </c>
      <c r="AC682" s="2" t="s">
        <v>4322</v>
      </c>
      <c r="AD682" s="4">
        <v>103</v>
      </c>
      <c r="AE682" s="4">
        <v>103</v>
      </c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206</v>
      </c>
      <c r="AM682" s="4"/>
      <c r="AN682" s="4"/>
      <c r="AO682" s="7"/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 t="s">
        <v>206</v>
      </c>
      <c r="BD682" s="8" t="s">
        <v>206</v>
      </c>
      <c r="BE682" s="4" t="s">
        <v>206</v>
      </c>
      <c r="BF682" s="8" t="s">
        <v>206</v>
      </c>
      <c r="BG682" s="7" t="s">
        <v>206</v>
      </c>
      <c r="BH682" s="7" t="s">
        <v>206</v>
      </c>
      <c r="BI682" s="7"/>
      <c r="BJ682" s="4">
        <v>21</v>
      </c>
      <c r="BK682" s="8">
        <v>668.92</v>
      </c>
      <c r="BL682" s="2" t="s">
        <v>4338</v>
      </c>
      <c r="BM682" s="7"/>
      <c r="BN682" s="7"/>
      <c r="BO682" s="4"/>
      <c r="BP682" s="8"/>
      <c r="BQ682" s="4"/>
      <c r="BR682" s="8"/>
      <c r="BS682" s="7"/>
      <c r="BT682" s="7"/>
      <c r="BU682" s="2" t="s">
        <v>4339</v>
      </c>
      <c r="BV682" s="2" t="s">
        <v>206</v>
      </c>
      <c r="BW682" s="2" t="s">
        <v>206</v>
      </c>
      <c r="BX682" s="2" t="s">
        <v>214</v>
      </c>
      <c r="BY682" s="2" t="s">
        <v>215</v>
      </c>
      <c r="BZ682" s="2" t="s">
        <v>203</v>
      </c>
      <c r="CA682" s="2" t="s">
        <v>2705</v>
      </c>
      <c r="CB682" s="2" t="s">
        <v>4340</v>
      </c>
      <c r="CC682" s="2" t="s">
        <v>218</v>
      </c>
      <c r="CD682" s="2" t="s">
        <v>206</v>
      </c>
      <c r="CE682" s="4">
        <v>127</v>
      </c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>
        <v>103</v>
      </c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  <c r="EH682" s="4"/>
      <c r="EI682" s="4"/>
      <c r="EJ682" s="4"/>
      <c r="EK682" s="4"/>
      <c r="EL682" s="4"/>
      <c r="EM682" s="4"/>
      <c r="EN682" s="4"/>
      <c r="EO682" s="4"/>
      <c r="EP682" s="4"/>
      <c r="EQ682" s="4"/>
      <c r="ER682" s="4"/>
      <c r="ES682" s="4"/>
      <c r="ET682" s="4"/>
      <c r="EU682" s="4"/>
      <c r="EV682" s="4"/>
      <c r="EW682" s="4"/>
      <c r="EX682" s="4"/>
      <c r="EY682" s="4"/>
      <c r="EZ682" s="4"/>
      <c r="FA682" s="4"/>
      <c r="FB682" s="4"/>
      <c r="FC682" s="4"/>
      <c r="FD682" s="4"/>
      <c r="FE682" s="4"/>
      <c r="FF682" s="4"/>
      <c r="FG682" s="4"/>
      <c r="FH682" s="4"/>
      <c r="FI682" s="4"/>
      <c r="FJ682" s="4"/>
      <c r="FK682" s="4"/>
      <c r="FL682" s="4"/>
      <c r="FM682" s="4"/>
      <c r="FN682" s="4"/>
      <c r="FO682" s="4"/>
      <c r="FP682" s="4"/>
      <c r="FQ682" s="4"/>
      <c r="FR682" s="4"/>
      <c r="FS682" s="4"/>
      <c r="FT682" s="4"/>
      <c r="FU682" s="4"/>
      <c r="FV682" s="4"/>
      <c r="FW682" s="4"/>
      <c r="FX682" s="4"/>
      <c r="FY682" s="4"/>
      <c r="FZ682" s="4"/>
      <c r="GA682" s="4"/>
      <c r="GB682" s="4"/>
      <c r="GC682" s="4"/>
      <c r="GD682" s="4"/>
      <c r="GE682" s="4"/>
      <c r="GF682" s="4"/>
    </row>
    <row r="683">
      <c r="A683" s="2" t="s">
        <v>4341</v>
      </c>
      <c r="B683" s="2" t="s">
        <v>225</v>
      </c>
      <c r="C683" s="2" t="s">
        <v>2240</v>
      </c>
      <c r="D683" s="2" t="s">
        <v>227</v>
      </c>
      <c r="E683" s="2" t="s">
        <v>228</v>
      </c>
      <c r="F683" s="2" t="s">
        <v>4318</v>
      </c>
      <c r="G683" s="2" t="s">
        <v>4318</v>
      </c>
      <c r="H683" s="2" t="s">
        <v>4318</v>
      </c>
      <c r="I683" s="2" t="s">
        <v>4319</v>
      </c>
      <c r="J683" s="2" t="s">
        <v>231</v>
      </c>
      <c r="K683" s="2" t="s">
        <v>4342</v>
      </c>
      <c r="L683" s="3">
        <v>28.68</v>
      </c>
      <c r="M683" s="3">
        <v>30.11</v>
      </c>
      <c r="N683" s="3">
        <v>62.99</v>
      </c>
      <c r="O683" s="2" t="s">
        <v>203</v>
      </c>
      <c r="P683" s="2" t="s">
        <v>204</v>
      </c>
      <c r="Q683" s="2" t="s">
        <v>205</v>
      </c>
      <c r="R683" s="2" t="s">
        <v>206</v>
      </c>
      <c r="S683" s="2" t="s">
        <v>4343</v>
      </c>
      <c r="T683" s="2" t="s">
        <v>1931</v>
      </c>
      <c r="U683" s="2" t="s">
        <v>235</v>
      </c>
      <c r="V683" s="2" t="s">
        <v>209</v>
      </c>
      <c r="W683" s="2" t="s">
        <v>210</v>
      </c>
      <c r="X683" s="2" t="s">
        <v>439</v>
      </c>
      <c r="Y683" s="2" t="s">
        <v>2705</v>
      </c>
      <c r="Z683" s="4">
        <v>221</v>
      </c>
      <c r="AA683" s="4">
        <f>=ROUNDDOWN(17,0)</f>
      </c>
      <c r="AB683" s="5">
        <v>13</v>
      </c>
      <c r="AC683" s="2" t="s">
        <v>4322</v>
      </c>
      <c r="AD683" s="4">
        <v>234</v>
      </c>
      <c r="AE683" s="4">
        <v>234</v>
      </c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206</v>
      </c>
      <c r="AM683" s="4"/>
      <c r="AN683" s="4"/>
      <c r="AO683" s="7"/>
      <c r="AP683" s="4"/>
      <c r="AQ683" s="8"/>
      <c r="AR683" s="4"/>
      <c r="AS683" s="8"/>
      <c r="AT683" s="7"/>
      <c r="AU683" s="7"/>
      <c r="AV683" s="4" t="s">
        <v>206</v>
      </c>
      <c r="AW683" s="8" t="s">
        <v>206</v>
      </c>
      <c r="AX683" s="4" t="s">
        <v>206</v>
      </c>
      <c r="AY683" s="8" t="s">
        <v>206</v>
      </c>
      <c r="AZ683" s="7" t="s">
        <v>206</v>
      </c>
      <c r="BA683" s="7" t="s">
        <v>206</v>
      </c>
      <c r="BB683" s="7"/>
      <c r="BC683" s="4" t="s">
        <v>206</v>
      </c>
      <c r="BD683" s="8" t="s">
        <v>206</v>
      </c>
      <c r="BE683" s="4" t="s">
        <v>206</v>
      </c>
      <c r="BF683" s="8" t="s">
        <v>206</v>
      </c>
      <c r="BG683" s="7" t="s">
        <v>206</v>
      </c>
      <c r="BH683" s="7" t="s">
        <v>206</v>
      </c>
      <c r="BI683" s="7"/>
      <c r="BJ683" s="4">
        <v>44</v>
      </c>
      <c r="BK683" s="8">
        <v>1391.9</v>
      </c>
      <c r="BL683" s="2" t="s">
        <v>4344</v>
      </c>
      <c r="BM683" s="7"/>
      <c r="BN683" s="7"/>
      <c r="BO683" s="4"/>
      <c r="BP683" s="8"/>
      <c r="BQ683" s="4"/>
      <c r="BR683" s="8"/>
      <c r="BS683" s="7"/>
      <c r="BT683" s="7"/>
      <c r="BU683" s="2" t="s">
        <v>4345</v>
      </c>
      <c r="BV683" s="2" t="s">
        <v>206</v>
      </c>
      <c r="BW683" s="2" t="s">
        <v>206</v>
      </c>
      <c r="BX683" s="2" t="s">
        <v>214</v>
      </c>
      <c r="BY683" s="2" t="s">
        <v>215</v>
      </c>
      <c r="BZ683" s="2" t="s">
        <v>203</v>
      </c>
      <c r="CA683" s="2" t="s">
        <v>2705</v>
      </c>
      <c r="CB683" s="2" t="s">
        <v>2187</v>
      </c>
      <c r="CC683" s="2" t="s">
        <v>218</v>
      </c>
      <c r="CD683" s="2" t="s">
        <v>206</v>
      </c>
      <c r="CE683" s="4">
        <v>221</v>
      </c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>
        <v>234</v>
      </c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  <c r="EH683" s="4"/>
      <c r="EI683" s="4"/>
      <c r="EJ683" s="4"/>
      <c r="EK683" s="4"/>
      <c r="EL683" s="4"/>
      <c r="EM683" s="4"/>
      <c r="EN683" s="4"/>
      <c r="EO683" s="4"/>
      <c r="EP683" s="4"/>
      <c r="EQ683" s="4"/>
      <c r="ER683" s="4"/>
      <c r="ES683" s="4"/>
      <c r="ET683" s="4"/>
      <c r="EU683" s="4"/>
      <c r="EV683" s="4"/>
      <c r="EW683" s="4"/>
      <c r="EX683" s="4"/>
      <c r="EY683" s="4"/>
      <c r="EZ683" s="4"/>
      <c r="FA683" s="4"/>
      <c r="FB683" s="4"/>
      <c r="FC683" s="4"/>
      <c r="FD683" s="4"/>
      <c r="FE683" s="4"/>
      <c r="FF683" s="4"/>
      <c r="FG683" s="4"/>
      <c r="FH683" s="4"/>
      <c r="FI683" s="4"/>
      <c r="FJ683" s="4"/>
      <c r="FK683" s="4"/>
      <c r="FL683" s="4"/>
      <c r="FM683" s="4"/>
      <c r="FN683" s="4"/>
      <c r="FO683" s="4"/>
      <c r="FP683" s="4"/>
      <c r="FQ683" s="4"/>
      <c r="FR683" s="4"/>
      <c r="FS683" s="4"/>
      <c r="FT683" s="4"/>
      <c r="FU683" s="4"/>
      <c r="FV683" s="4"/>
      <c r="FW683" s="4"/>
      <c r="FX683" s="4"/>
      <c r="FY683" s="4"/>
      <c r="FZ683" s="4"/>
      <c r="GA683" s="4"/>
      <c r="GB683" s="4"/>
      <c r="GC683" s="4"/>
      <c r="GD683" s="4"/>
      <c r="GE683" s="4"/>
      <c r="GF683" s="4"/>
    </row>
    <row r="684">
      <c r="A684" s="2" t="s">
        <v>4346</v>
      </c>
      <c r="B684" s="2" t="s">
        <v>225</v>
      </c>
      <c r="C684" s="2" t="s">
        <v>2240</v>
      </c>
      <c r="D684" s="2" t="s">
        <v>227</v>
      </c>
      <c r="E684" s="2" t="s">
        <v>228</v>
      </c>
      <c r="F684" s="2" t="s">
        <v>4318</v>
      </c>
      <c r="G684" s="2" t="s">
        <v>4318</v>
      </c>
      <c r="H684" s="2" t="s">
        <v>4318</v>
      </c>
      <c r="I684" s="2" t="s">
        <v>4319</v>
      </c>
      <c r="J684" s="2" t="s">
        <v>310</v>
      </c>
      <c r="K684" s="2" t="s">
        <v>4342</v>
      </c>
      <c r="L684" s="3">
        <v>28.68</v>
      </c>
      <c r="M684" s="3">
        <v>30.11</v>
      </c>
      <c r="N684" s="3">
        <v>62.99</v>
      </c>
      <c r="O684" s="2" t="s">
        <v>203</v>
      </c>
      <c r="P684" s="2" t="s">
        <v>204</v>
      </c>
      <c r="Q684" s="2" t="s">
        <v>205</v>
      </c>
      <c r="R684" s="2" t="s">
        <v>206</v>
      </c>
      <c r="S684" s="2" t="s">
        <v>4343</v>
      </c>
      <c r="T684" s="2" t="s">
        <v>1931</v>
      </c>
      <c r="U684" s="2" t="s">
        <v>235</v>
      </c>
      <c r="V684" s="2" t="s">
        <v>209</v>
      </c>
      <c r="W684" s="2" t="s">
        <v>210</v>
      </c>
      <c r="X684" s="2" t="s">
        <v>439</v>
      </c>
      <c r="Y684" s="2" t="s">
        <v>2705</v>
      </c>
      <c r="Z684" s="4">
        <v>97</v>
      </c>
      <c r="AA684" s="4">
        <f>=ROUNDDOWN(24.25,0)</f>
      </c>
      <c r="AB684" s="5">
        <v>4</v>
      </c>
      <c r="AC684" s="2" t="s">
        <v>4322</v>
      </c>
      <c r="AD684" s="4">
        <v>80</v>
      </c>
      <c r="AE684" s="4">
        <v>80</v>
      </c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206</v>
      </c>
      <c r="AM684" s="4"/>
      <c r="AN684" s="4"/>
      <c r="AO684" s="7"/>
      <c r="AP684" s="4"/>
      <c r="AQ684" s="8"/>
      <c r="AR684" s="4"/>
      <c r="AS684" s="8"/>
      <c r="AT684" s="7"/>
      <c r="AU684" s="7"/>
      <c r="AV684" s="4" t="s">
        <v>206</v>
      </c>
      <c r="AW684" s="8" t="s">
        <v>206</v>
      </c>
      <c r="AX684" s="4" t="s">
        <v>206</v>
      </c>
      <c r="AY684" s="8" t="s">
        <v>206</v>
      </c>
      <c r="AZ684" s="7" t="s">
        <v>206</v>
      </c>
      <c r="BA684" s="7" t="s">
        <v>206</v>
      </c>
      <c r="BB684" s="7"/>
      <c r="BC684" s="4" t="s">
        <v>206</v>
      </c>
      <c r="BD684" s="8" t="s">
        <v>206</v>
      </c>
      <c r="BE684" s="4" t="s">
        <v>206</v>
      </c>
      <c r="BF684" s="8" t="s">
        <v>206</v>
      </c>
      <c r="BG684" s="7" t="s">
        <v>206</v>
      </c>
      <c r="BH684" s="7" t="s">
        <v>206</v>
      </c>
      <c r="BI684" s="7"/>
      <c r="BJ684" s="4">
        <v>11</v>
      </c>
      <c r="BK684" s="8">
        <v>352.07</v>
      </c>
      <c r="BL684" s="2" t="s">
        <v>4347</v>
      </c>
      <c r="BM684" s="7"/>
      <c r="BN684" s="7"/>
      <c r="BO684" s="4"/>
      <c r="BP684" s="8"/>
      <c r="BQ684" s="4"/>
      <c r="BR684" s="8"/>
      <c r="BS684" s="7"/>
      <c r="BT684" s="7"/>
      <c r="BU684" s="2" t="s">
        <v>4348</v>
      </c>
      <c r="BV684" s="2" t="s">
        <v>206</v>
      </c>
      <c r="BW684" s="2" t="s">
        <v>206</v>
      </c>
      <c r="BX684" s="2" t="s">
        <v>214</v>
      </c>
      <c r="BY684" s="2" t="s">
        <v>215</v>
      </c>
      <c r="BZ684" s="2" t="s">
        <v>203</v>
      </c>
      <c r="CA684" s="2" t="s">
        <v>2705</v>
      </c>
      <c r="CB684" s="2" t="s">
        <v>4349</v>
      </c>
      <c r="CC684" s="2" t="s">
        <v>218</v>
      </c>
      <c r="CD684" s="2" t="s">
        <v>206</v>
      </c>
      <c r="CE684" s="4">
        <v>97</v>
      </c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>
        <v>80</v>
      </c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  <c r="EH684" s="4"/>
      <c r="EI684" s="4"/>
      <c r="EJ684" s="4"/>
      <c r="EK684" s="4"/>
      <c r="EL684" s="4"/>
      <c r="EM684" s="4"/>
      <c r="EN684" s="4"/>
      <c r="EO684" s="4"/>
      <c r="EP684" s="4"/>
      <c r="EQ684" s="4"/>
      <c r="ER684" s="4"/>
      <c r="ES684" s="4"/>
      <c r="ET684" s="4"/>
      <c r="EU684" s="4"/>
      <c r="EV684" s="4"/>
      <c r="EW684" s="4"/>
      <c r="EX684" s="4"/>
      <c r="EY684" s="4"/>
      <c r="EZ684" s="4"/>
      <c r="FA684" s="4"/>
      <c r="FB684" s="4"/>
      <c r="FC684" s="4"/>
      <c r="FD684" s="4"/>
      <c r="FE684" s="4"/>
      <c r="FF684" s="4"/>
      <c r="FG684" s="4"/>
      <c r="FH684" s="4"/>
      <c r="FI684" s="4"/>
      <c r="FJ684" s="4"/>
      <c r="FK684" s="4"/>
      <c r="FL684" s="4"/>
      <c r="FM684" s="4"/>
      <c r="FN684" s="4"/>
      <c r="FO684" s="4"/>
      <c r="FP684" s="4"/>
      <c r="FQ684" s="4"/>
      <c r="FR684" s="4"/>
      <c r="FS684" s="4"/>
      <c r="FT684" s="4"/>
      <c r="FU684" s="4"/>
      <c r="FV684" s="4"/>
      <c r="FW684" s="4"/>
      <c r="FX684" s="4"/>
      <c r="FY684" s="4"/>
      <c r="FZ684" s="4"/>
      <c r="GA684" s="4"/>
      <c r="GB684" s="4"/>
      <c r="GC684" s="4"/>
      <c r="GD684" s="4"/>
      <c r="GE684" s="4"/>
      <c r="GF684" s="4"/>
    </row>
    <row r="685">
      <c r="A685" s="2" t="s">
        <v>4350</v>
      </c>
      <c r="B685" s="2" t="s">
        <v>225</v>
      </c>
      <c r="C685" s="2" t="s">
        <v>2240</v>
      </c>
      <c r="D685" s="2" t="s">
        <v>227</v>
      </c>
      <c r="E685" s="2" t="s">
        <v>228</v>
      </c>
      <c r="F685" s="2" t="s">
        <v>4318</v>
      </c>
      <c r="G685" s="2" t="s">
        <v>4318</v>
      </c>
      <c r="H685" s="2" t="s">
        <v>4318</v>
      </c>
      <c r="I685" s="2" t="s">
        <v>4319</v>
      </c>
      <c r="J685" s="2" t="s">
        <v>220</v>
      </c>
      <c r="K685" s="2" t="s">
        <v>4351</v>
      </c>
      <c r="L685" s="3">
        <v>22</v>
      </c>
      <c r="M685" s="3">
        <v>23.1</v>
      </c>
      <c r="N685" s="3">
        <v>47.99</v>
      </c>
      <c r="O685" s="2" t="s">
        <v>203</v>
      </c>
      <c r="P685" s="2" t="s">
        <v>204</v>
      </c>
      <c r="Q685" s="2" t="s">
        <v>205</v>
      </c>
      <c r="R685" s="2" t="s">
        <v>206</v>
      </c>
      <c r="S685" s="2" t="s">
        <v>4352</v>
      </c>
      <c r="T685" s="2" t="s">
        <v>1931</v>
      </c>
      <c r="U685" s="2" t="s">
        <v>235</v>
      </c>
      <c r="V685" s="2" t="s">
        <v>245</v>
      </c>
      <c r="W685" s="2" t="s">
        <v>210</v>
      </c>
      <c r="X685" s="2" t="s">
        <v>439</v>
      </c>
      <c r="Y685" s="2" t="s">
        <v>2011</v>
      </c>
      <c r="Z685" s="4">
        <v>23</v>
      </c>
      <c r="AA685" s="4">
        <f>=ROUNDDOWN(1.91666666666667,0)</f>
      </c>
      <c r="AB685" s="5">
        <v>12</v>
      </c>
      <c r="AC685" s="2" t="s">
        <v>4322</v>
      </c>
      <c r="AD685" s="4">
        <v>120</v>
      </c>
      <c r="AE685" s="4">
        <v>514</v>
      </c>
      <c r="AF685" s="6">
        <v>74</v>
      </c>
      <c r="AG685" s="6"/>
      <c r="AH685" s="7">
        <v>1</v>
      </c>
      <c r="AI685" s="4"/>
      <c r="AJ685" s="4">
        <f>=ROUNDDOWN({0},0)</f>
      </c>
      <c r="AK685" s="5"/>
      <c r="AL685" s="2" t="s">
        <v>206</v>
      </c>
      <c r="AM685" s="4"/>
      <c r="AN685" s="4"/>
      <c r="AO685" s="7"/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 t="s">
        <v>206</v>
      </c>
      <c r="BD685" s="8" t="s">
        <v>206</v>
      </c>
      <c r="BE685" s="4" t="s">
        <v>206</v>
      </c>
      <c r="BF685" s="8" t="s">
        <v>206</v>
      </c>
      <c r="BG685" s="7" t="s">
        <v>206</v>
      </c>
      <c r="BH685" s="7" t="s">
        <v>206</v>
      </c>
      <c r="BI685" s="7"/>
      <c r="BJ685" s="4">
        <v>37</v>
      </c>
      <c r="BK685" s="8">
        <v>951.08</v>
      </c>
      <c r="BL685" s="2" t="s">
        <v>1924</v>
      </c>
      <c r="BM685" s="7"/>
      <c r="BN685" s="7"/>
      <c r="BO685" s="4"/>
      <c r="BP685" s="8"/>
      <c r="BQ685" s="4"/>
      <c r="BR685" s="8"/>
      <c r="BS685" s="7"/>
      <c r="BT685" s="7"/>
      <c r="BU685" s="2" t="s">
        <v>4353</v>
      </c>
      <c r="BV685" s="2" t="s">
        <v>206</v>
      </c>
      <c r="BW685" s="2" t="s">
        <v>206</v>
      </c>
      <c r="BX685" s="2" t="s">
        <v>214</v>
      </c>
      <c r="BY685" s="2" t="s">
        <v>215</v>
      </c>
      <c r="BZ685" s="2" t="s">
        <v>203</v>
      </c>
      <c r="CA685" s="2" t="s">
        <v>1589</v>
      </c>
      <c r="CB685" s="2" t="s">
        <v>1866</v>
      </c>
      <c r="CC685" s="2" t="s">
        <v>218</v>
      </c>
      <c r="CD685" s="2" t="s">
        <v>206</v>
      </c>
      <c r="CE685" s="4">
        <v>23</v>
      </c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  <c r="DQ685" s="4"/>
      <c r="DR685" s="4"/>
      <c r="DS685" s="4">
        <v>120</v>
      </c>
      <c r="DT685" s="4"/>
      <c r="DU685" s="4"/>
      <c r="DV685" s="4">
        <v>280</v>
      </c>
      <c r="DW685" s="4"/>
      <c r="DX685" s="4"/>
      <c r="DY685" s="4"/>
      <c r="DZ685" s="4"/>
      <c r="EA685" s="4"/>
      <c r="EB685" s="4"/>
      <c r="EC685" s="4"/>
      <c r="ED685" s="4"/>
      <c r="EE685" s="4"/>
      <c r="EF685" s="4">
        <v>114</v>
      </c>
      <c r="EG685" s="4"/>
      <c r="EH685" s="4"/>
      <c r="EI685" s="4"/>
      <c r="EJ685" s="4"/>
      <c r="EK685" s="4"/>
      <c r="EL685" s="4"/>
      <c r="EM685" s="4"/>
      <c r="EN685" s="4"/>
      <c r="EO685" s="4"/>
      <c r="EP685" s="4"/>
      <c r="EQ685" s="4"/>
      <c r="ER685" s="4"/>
      <c r="ES685" s="4"/>
      <c r="ET685" s="4"/>
      <c r="EU685" s="4"/>
      <c r="EV685" s="4"/>
      <c r="EW685" s="4"/>
      <c r="EX685" s="4"/>
      <c r="EY685" s="4"/>
      <c r="EZ685" s="4"/>
      <c r="FA685" s="4"/>
      <c r="FB685" s="4"/>
      <c r="FC685" s="4"/>
      <c r="FD685" s="4"/>
      <c r="FE685" s="4"/>
      <c r="FF685" s="4"/>
      <c r="FG685" s="4"/>
      <c r="FH685" s="4"/>
      <c r="FI685" s="4"/>
      <c r="FJ685" s="4"/>
      <c r="FK685" s="4"/>
      <c r="FL685" s="4"/>
      <c r="FM685" s="4"/>
      <c r="FN685" s="4"/>
      <c r="FO685" s="4"/>
      <c r="FP685" s="4"/>
      <c r="FQ685" s="4"/>
      <c r="FR685" s="4"/>
      <c r="FS685" s="4"/>
      <c r="FT685" s="4"/>
      <c r="FU685" s="4"/>
      <c r="FV685" s="4"/>
      <c r="FW685" s="4"/>
      <c r="FX685" s="4"/>
      <c r="FY685" s="4"/>
      <c r="FZ685" s="4"/>
      <c r="GA685" s="4"/>
      <c r="GB685" s="4"/>
      <c r="GC685" s="4"/>
      <c r="GD685" s="4"/>
      <c r="GE685" s="4"/>
      <c r="GF685" s="4"/>
    </row>
    <row r="686">
      <c r="A686" s="2" t="s">
        <v>4354</v>
      </c>
      <c r="B686" s="2" t="s">
        <v>461</v>
      </c>
      <c r="C686" s="2" t="s">
        <v>287</v>
      </c>
      <c r="D686" s="2" t="s">
        <v>975</v>
      </c>
      <c r="E686" s="2" t="s">
        <v>976</v>
      </c>
      <c r="F686" s="2" t="s">
        <v>4355</v>
      </c>
      <c r="G686" s="2" t="s">
        <v>1147</v>
      </c>
      <c r="H686" s="2" t="s">
        <v>4356</v>
      </c>
      <c r="I686" s="2" t="s">
        <v>4357</v>
      </c>
      <c r="J686" s="2" t="s">
        <v>434</v>
      </c>
      <c r="K686" s="2" t="s">
        <v>4358</v>
      </c>
      <c r="L686" s="3">
        <v>199.5</v>
      </c>
      <c r="M686" s="3">
        <v>209.48</v>
      </c>
      <c r="N686" s="3">
        <v>419</v>
      </c>
      <c r="O686" s="2" t="s">
        <v>203</v>
      </c>
      <c r="P686" s="2" t="s">
        <v>204</v>
      </c>
      <c r="Q686" s="2" t="s">
        <v>205</v>
      </c>
      <c r="R686" s="2" t="s">
        <v>206</v>
      </c>
      <c r="S686" s="2" t="s">
        <v>4359</v>
      </c>
      <c r="T686" s="2" t="s">
        <v>206</v>
      </c>
      <c r="U686" s="2" t="s">
        <v>206</v>
      </c>
      <c r="V686" s="2" t="s">
        <v>209</v>
      </c>
      <c r="W686" s="2" t="s">
        <v>586</v>
      </c>
      <c r="X686" s="2" t="s">
        <v>206</v>
      </c>
      <c r="Y686" s="2" t="s">
        <v>211</v>
      </c>
      <c r="Z686" s="4">
        <v>134</v>
      </c>
      <c r="AA686" s="4">
        <f>=ROUNDDOWN(22.3333333333333,0)</f>
      </c>
      <c r="AB686" s="5">
        <v>6</v>
      </c>
      <c r="AC686" s="2" t="s">
        <v>3316</v>
      </c>
      <c r="AD686" s="4">
        <v>126</v>
      </c>
      <c r="AE686" s="4">
        <v>126</v>
      </c>
      <c r="AF686" s="6">
        <v>66</v>
      </c>
      <c r="AG686" s="6"/>
      <c r="AH686" s="7">
        <v>1</v>
      </c>
      <c r="AI686" s="4"/>
      <c r="AJ686" s="4">
        <f>=ROUNDDOWN({0},0)</f>
      </c>
      <c r="AK686" s="5"/>
      <c r="AL686" s="2" t="s">
        <v>206</v>
      </c>
      <c r="AM686" s="4"/>
      <c r="AN686" s="4"/>
      <c r="AO686" s="7"/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 t="s">
        <v>206</v>
      </c>
      <c r="BD686" s="8" t="s">
        <v>206</v>
      </c>
      <c r="BE686" s="4" t="s">
        <v>206</v>
      </c>
      <c r="BF686" s="8" t="s">
        <v>206</v>
      </c>
      <c r="BG686" s="7" t="s">
        <v>206</v>
      </c>
      <c r="BH686" s="7" t="s">
        <v>206</v>
      </c>
      <c r="BI686" s="7"/>
      <c r="BJ686" s="4">
        <v>29</v>
      </c>
      <c r="BK686" s="8">
        <v>4716.62</v>
      </c>
      <c r="BL686" s="2" t="s">
        <v>4360</v>
      </c>
      <c r="BM686" s="7"/>
      <c r="BN686" s="7"/>
      <c r="BO686" s="4"/>
      <c r="BP686" s="8"/>
      <c r="BQ686" s="4"/>
      <c r="BR686" s="8"/>
      <c r="BS686" s="7"/>
      <c r="BT686" s="7"/>
      <c r="BU686" s="2" t="s">
        <v>4361</v>
      </c>
      <c r="BV686" s="2" t="s">
        <v>206</v>
      </c>
      <c r="BW686" s="2" t="s">
        <v>206</v>
      </c>
      <c r="BX686" s="2" t="s">
        <v>214</v>
      </c>
      <c r="BY686" s="2" t="s">
        <v>215</v>
      </c>
      <c r="BZ686" s="2" t="s">
        <v>203</v>
      </c>
      <c r="CA686" s="2" t="s">
        <v>216</v>
      </c>
      <c r="CB686" s="2" t="s">
        <v>4362</v>
      </c>
      <c r="CC686" s="2" t="s">
        <v>218</v>
      </c>
      <c r="CD686" s="2" t="s">
        <v>206</v>
      </c>
      <c r="CE686" s="4"/>
      <c r="CF686" s="4">
        <v>134</v>
      </c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/>
      <c r="DZ686" s="4"/>
      <c r="EA686" s="4"/>
      <c r="EB686" s="4"/>
      <c r="EC686" s="4"/>
      <c r="ED686" s="4"/>
      <c r="EE686" s="4"/>
      <c r="EF686" s="4"/>
      <c r="EG686" s="4"/>
      <c r="EH686" s="4"/>
      <c r="EI686" s="4"/>
      <c r="EJ686" s="4"/>
      <c r="EK686" s="4"/>
      <c r="EL686" s="4"/>
      <c r="EM686" s="4"/>
      <c r="EN686" s="4"/>
      <c r="EO686" s="4"/>
      <c r="EP686" s="4"/>
      <c r="EQ686" s="4">
        <v>126</v>
      </c>
      <c r="ER686" s="4"/>
      <c r="ES686" s="4"/>
      <c r="ET686" s="4"/>
      <c r="EU686" s="4"/>
      <c r="EV686" s="4"/>
      <c r="EW686" s="4"/>
      <c r="EX686" s="4"/>
      <c r="EY686" s="4"/>
      <c r="EZ686" s="4"/>
      <c r="FA686" s="4"/>
      <c r="FB686" s="4"/>
      <c r="FC686" s="4"/>
      <c r="FD686" s="4"/>
      <c r="FE686" s="4"/>
      <c r="FF686" s="4"/>
      <c r="FG686" s="4"/>
      <c r="FH686" s="4"/>
      <c r="FI686" s="4"/>
      <c r="FJ686" s="4"/>
      <c r="FK686" s="4"/>
      <c r="FL686" s="4"/>
      <c r="FM686" s="4"/>
      <c r="FN686" s="4"/>
      <c r="FO686" s="4"/>
      <c r="FP686" s="4"/>
      <c r="FQ686" s="4"/>
      <c r="FR686" s="4"/>
      <c r="FS686" s="4"/>
      <c r="FT686" s="4"/>
      <c r="FU686" s="4"/>
      <c r="FV686" s="4"/>
      <c r="FW686" s="4"/>
      <c r="FX686" s="4"/>
      <c r="FY686" s="4"/>
      <c r="FZ686" s="4"/>
      <c r="GA686" s="4"/>
      <c r="GB686" s="4"/>
      <c r="GC686" s="4"/>
      <c r="GD686" s="4"/>
      <c r="GE686" s="4"/>
      <c r="GF686" s="4"/>
    </row>
    <row r="687">
      <c r="A687" s="2" t="s">
        <v>4363</v>
      </c>
      <c r="B687" s="2" t="s">
        <v>461</v>
      </c>
      <c r="C687" s="2" t="s">
        <v>287</v>
      </c>
      <c r="D687" s="2" t="s">
        <v>975</v>
      </c>
      <c r="E687" s="2" t="s">
        <v>976</v>
      </c>
      <c r="F687" s="2" t="s">
        <v>4355</v>
      </c>
      <c r="G687" s="2" t="s">
        <v>1147</v>
      </c>
      <c r="H687" s="2" t="s">
        <v>4356</v>
      </c>
      <c r="I687" s="2" t="s">
        <v>4357</v>
      </c>
      <c r="J687" s="2" t="s">
        <v>434</v>
      </c>
      <c r="K687" s="2" t="s">
        <v>709</v>
      </c>
      <c r="L687" s="3">
        <v>199.5</v>
      </c>
      <c r="M687" s="3">
        <v>209.48</v>
      </c>
      <c r="N687" s="3">
        <v>419</v>
      </c>
      <c r="O687" s="2" t="s">
        <v>203</v>
      </c>
      <c r="P687" s="2" t="s">
        <v>467</v>
      </c>
      <c r="Q687" s="2" t="s">
        <v>205</v>
      </c>
      <c r="R687" s="2" t="s">
        <v>206</v>
      </c>
      <c r="S687" s="2" t="s">
        <v>4364</v>
      </c>
      <c r="T687" s="2" t="s">
        <v>206</v>
      </c>
      <c r="U687" s="2" t="s">
        <v>206</v>
      </c>
      <c r="V687" s="2" t="s">
        <v>209</v>
      </c>
      <c r="W687" s="2" t="s">
        <v>586</v>
      </c>
      <c r="X687" s="2" t="s">
        <v>206</v>
      </c>
      <c r="Y687" s="2" t="s">
        <v>211</v>
      </c>
      <c r="Z687" s="4">
        <v>106</v>
      </c>
      <c r="AA687" s="4">
        <f>=ROUNDDOWN(106,0)</f>
      </c>
      <c r="AB687" s="5">
        <v>1</v>
      </c>
      <c r="AC687" s="2" t="s">
        <v>206</v>
      </c>
      <c r="AD687" s="4"/>
      <c r="AE687" s="4"/>
      <c r="AF687" s="6">
        <v>66</v>
      </c>
      <c r="AG687" s="6">
        <v>49</v>
      </c>
      <c r="AH687" s="7">
        <v>1</v>
      </c>
      <c r="AI687" s="4"/>
      <c r="AJ687" s="4">
        <f>=ROUNDDOWN({0},0)</f>
      </c>
      <c r="AK687" s="5"/>
      <c r="AL687" s="2" t="s">
        <v>206</v>
      </c>
      <c r="AM687" s="4"/>
      <c r="AN687" s="4"/>
      <c r="AO687" s="7"/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 t="s">
        <v>206</v>
      </c>
      <c r="BD687" s="8" t="s">
        <v>206</v>
      </c>
      <c r="BE687" s="4" t="s">
        <v>206</v>
      </c>
      <c r="BF687" s="8" t="s">
        <v>206</v>
      </c>
      <c r="BG687" s="7" t="s">
        <v>206</v>
      </c>
      <c r="BH687" s="7" t="s">
        <v>206</v>
      </c>
      <c r="BI687" s="7"/>
      <c r="BJ687" s="4">
        <v>2</v>
      </c>
      <c r="BK687" s="8">
        <v>292.36</v>
      </c>
      <c r="BL687" s="2" t="s">
        <v>4365</v>
      </c>
      <c r="BM687" s="7"/>
      <c r="BN687" s="7"/>
      <c r="BO687" s="4"/>
      <c r="BP687" s="8"/>
      <c r="BQ687" s="4"/>
      <c r="BR687" s="8"/>
      <c r="BS687" s="7"/>
      <c r="BT687" s="7"/>
      <c r="BU687" s="2" t="s">
        <v>4366</v>
      </c>
      <c r="BV687" s="2" t="s">
        <v>206</v>
      </c>
      <c r="BW687" s="2" t="s">
        <v>206</v>
      </c>
      <c r="BX687" s="2" t="s">
        <v>214</v>
      </c>
      <c r="BY687" s="2" t="s">
        <v>215</v>
      </c>
      <c r="BZ687" s="2" t="s">
        <v>203</v>
      </c>
      <c r="CA687" s="2" t="s">
        <v>216</v>
      </c>
      <c r="CB687" s="2" t="s">
        <v>3974</v>
      </c>
      <c r="CC687" s="2" t="s">
        <v>218</v>
      </c>
      <c r="CD687" s="2" t="s">
        <v>206</v>
      </c>
      <c r="CE687" s="4"/>
      <c r="CF687" s="4">
        <v>106</v>
      </c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/>
      <c r="DZ687" s="4"/>
      <c r="EA687" s="4"/>
      <c r="EB687" s="4"/>
      <c r="EC687" s="4"/>
      <c r="ED687" s="4"/>
      <c r="EE687" s="4"/>
      <c r="EF687" s="4"/>
      <c r="EG687" s="4"/>
      <c r="EH687" s="4"/>
      <c r="EI687" s="4"/>
      <c r="EJ687" s="4"/>
      <c r="EK687" s="4"/>
      <c r="EL687" s="4"/>
      <c r="EM687" s="4"/>
      <c r="EN687" s="4"/>
      <c r="EO687" s="4"/>
      <c r="EP687" s="4"/>
      <c r="EQ687" s="4"/>
      <c r="ER687" s="4"/>
      <c r="ES687" s="4"/>
      <c r="ET687" s="4"/>
      <c r="EU687" s="4"/>
      <c r="EV687" s="4"/>
      <c r="EW687" s="4"/>
      <c r="EX687" s="4"/>
      <c r="EY687" s="4"/>
      <c r="EZ687" s="4"/>
      <c r="FA687" s="4"/>
      <c r="FB687" s="4"/>
      <c r="FC687" s="4"/>
      <c r="FD687" s="4"/>
      <c r="FE687" s="4"/>
      <c r="FF687" s="4"/>
      <c r="FG687" s="4"/>
      <c r="FH687" s="4"/>
      <c r="FI687" s="4"/>
      <c r="FJ687" s="4"/>
      <c r="FK687" s="4"/>
      <c r="FL687" s="4"/>
      <c r="FM687" s="4"/>
      <c r="FN687" s="4"/>
      <c r="FO687" s="4"/>
      <c r="FP687" s="4"/>
      <c r="FQ687" s="4"/>
      <c r="FR687" s="4"/>
      <c r="FS687" s="4"/>
      <c r="FT687" s="4"/>
      <c r="FU687" s="4"/>
      <c r="FV687" s="4"/>
      <c r="FW687" s="4"/>
      <c r="FX687" s="4"/>
      <c r="FY687" s="4"/>
      <c r="FZ687" s="4"/>
      <c r="GA687" s="4"/>
      <c r="GB687" s="4"/>
      <c r="GC687" s="4"/>
      <c r="GD687" s="4"/>
      <c r="GE687" s="4"/>
      <c r="GF687" s="4"/>
    </row>
    <row r="688">
      <c r="A688" s="2" t="s">
        <v>4367</v>
      </c>
      <c r="B688" s="2" t="s">
        <v>461</v>
      </c>
      <c r="C688" s="2" t="s">
        <v>287</v>
      </c>
      <c r="D688" s="2" t="s">
        <v>975</v>
      </c>
      <c r="E688" s="2" t="s">
        <v>976</v>
      </c>
      <c r="F688" s="2" t="s">
        <v>4355</v>
      </c>
      <c r="G688" s="2" t="s">
        <v>1147</v>
      </c>
      <c r="H688" s="2" t="s">
        <v>4356</v>
      </c>
      <c r="I688" s="2" t="s">
        <v>4357</v>
      </c>
      <c r="J688" s="2" t="s">
        <v>434</v>
      </c>
      <c r="K688" s="2" t="s">
        <v>392</v>
      </c>
      <c r="L688" s="3">
        <v>199.5</v>
      </c>
      <c r="M688" s="3">
        <v>209.48</v>
      </c>
      <c r="N688" s="3">
        <v>419</v>
      </c>
      <c r="O688" s="2" t="s">
        <v>203</v>
      </c>
      <c r="P688" s="2" t="s">
        <v>204</v>
      </c>
      <c r="Q688" s="2" t="s">
        <v>205</v>
      </c>
      <c r="R688" s="2" t="s">
        <v>206</v>
      </c>
      <c r="S688" s="2" t="s">
        <v>4368</v>
      </c>
      <c r="T688" s="2" t="s">
        <v>206</v>
      </c>
      <c r="U688" s="2" t="s">
        <v>206</v>
      </c>
      <c r="V688" s="2" t="s">
        <v>209</v>
      </c>
      <c r="W688" s="2" t="s">
        <v>586</v>
      </c>
      <c r="X688" s="2" t="s">
        <v>206</v>
      </c>
      <c r="Y688" s="2" t="s">
        <v>211</v>
      </c>
      <c r="Z688" s="4">
        <v>134</v>
      </c>
      <c r="AA688" s="4">
        <f>=ROUNDDOWN(67,0)</f>
      </c>
      <c r="AB688" s="5">
        <v>2</v>
      </c>
      <c r="AC688" s="2" t="s">
        <v>206</v>
      </c>
      <c r="AD688" s="4"/>
      <c r="AE688" s="4"/>
      <c r="AF688" s="6">
        <v>66</v>
      </c>
      <c r="AG688" s="6">
        <v>49</v>
      </c>
      <c r="AH688" s="7">
        <v>1</v>
      </c>
      <c r="AI688" s="4"/>
      <c r="AJ688" s="4">
        <f>=ROUNDDOWN({0},0)</f>
      </c>
      <c r="AK688" s="5"/>
      <c r="AL688" s="2" t="s">
        <v>206</v>
      </c>
      <c r="AM688" s="4"/>
      <c r="AN688" s="4"/>
      <c r="AO688" s="7"/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 t="s">
        <v>206</v>
      </c>
      <c r="BD688" s="8" t="s">
        <v>206</v>
      </c>
      <c r="BE688" s="4" t="s">
        <v>206</v>
      </c>
      <c r="BF688" s="8" t="s">
        <v>206</v>
      </c>
      <c r="BG688" s="7" t="s">
        <v>206</v>
      </c>
      <c r="BH688" s="7" t="s">
        <v>206</v>
      </c>
      <c r="BI688" s="7"/>
      <c r="BJ688" s="4">
        <v>3</v>
      </c>
      <c r="BK688" s="8">
        <v>541.43</v>
      </c>
      <c r="BL688" s="2" t="s">
        <v>4369</v>
      </c>
      <c r="BM688" s="7"/>
      <c r="BN688" s="7"/>
      <c r="BO688" s="4"/>
      <c r="BP688" s="8"/>
      <c r="BQ688" s="4"/>
      <c r="BR688" s="8"/>
      <c r="BS688" s="7"/>
      <c r="BT688" s="7"/>
      <c r="BU688" s="2" t="s">
        <v>4370</v>
      </c>
      <c r="BV688" s="2" t="s">
        <v>206</v>
      </c>
      <c r="BW688" s="2" t="s">
        <v>206</v>
      </c>
      <c r="BX688" s="2" t="s">
        <v>214</v>
      </c>
      <c r="BY688" s="2" t="s">
        <v>215</v>
      </c>
      <c r="BZ688" s="2" t="s">
        <v>203</v>
      </c>
      <c r="CA688" s="2" t="s">
        <v>216</v>
      </c>
      <c r="CB688" s="2" t="s">
        <v>4371</v>
      </c>
      <c r="CC688" s="2" t="s">
        <v>218</v>
      </c>
      <c r="CD688" s="2" t="s">
        <v>206</v>
      </c>
      <c r="CE688" s="4"/>
      <c r="CF688" s="4">
        <v>134</v>
      </c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  <c r="EH688" s="4"/>
      <c r="EI688" s="4"/>
      <c r="EJ688" s="4"/>
      <c r="EK688" s="4"/>
      <c r="EL688" s="4"/>
      <c r="EM688" s="4"/>
      <c r="EN688" s="4"/>
      <c r="EO688" s="4"/>
      <c r="EP688" s="4"/>
      <c r="EQ688" s="4"/>
      <c r="ER688" s="4"/>
      <c r="ES688" s="4"/>
      <c r="ET688" s="4"/>
      <c r="EU688" s="4"/>
      <c r="EV688" s="4"/>
      <c r="EW688" s="4"/>
      <c r="EX688" s="4"/>
      <c r="EY688" s="4"/>
      <c r="EZ688" s="4"/>
      <c r="FA688" s="4"/>
      <c r="FB688" s="4"/>
      <c r="FC688" s="4"/>
      <c r="FD688" s="4"/>
      <c r="FE688" s="4"/>
      <c r="FF688" s="4"/>
      <c r="FG688" s="4"/>
      <c r="FH688" s="4"/>
      <c r="FI688" s="4"/>
      <c r="FJ688" s="4"/>
      <c r="FK688" s="4"/>
      <c r="FL688" s="4"/>
      <c r="FM688" s="4"/>
      <c r="FN688" s="4"/>
      <c r="FO688" s="4"/>
      <c r="FP688" s="4"/>
      <c r="FQ688" s="4"/>
      <c r="FR688" s="4"/>
      <c r="FS688" s="4"/>
      <c r="FT688" s="4"/>
      <c r="FU688" s="4"/>
      <c r="FV688" s="4"/>
      <c r="FW688" s="4"/>
      <c r="FX688" s="4"/>
      <c r="FY688" s="4"/>
      <c r="FZ688" s="4"/>
      <c r="GA688" s="4"/>
      <c r="GB688" s="4"/>
      <c r="GC688" s="4"/>
      <c r="GD688" s="4"/>
      <c r="GE688" s="4"/>
      <c r="GF688" s="4"/>
    </row>
    <row r="689">
      <c r="A689" s="2" t="s">
        <v>4372</v>
      </c>
      <c r="B689" s="2" t="s">
        <v>507</v>
      </c>
      <c r="C689" s="2" t="s">
        <v>462</v>
      </c>
      <c r="D689" s="2" t="s">
        <v>1475</v>
      </c>
      <c r="E689" s="2" t="s">
        <v>1476</v>
      </c>
      <c r="F689" s="2" t="s">
        <v>4373</v>
      </c>
      <c r="G689" s="2" t="s">
        <v>4373</v>
      </c>
      <c r="H689" s="2" t="s">
        <v>4373</v>
      </c>
      <c r="I689" s="2" t="s">
        <v>4374</v>
      </c>
      <c r="J689" s="2" t="s">
        <v>434</v>
      </c>
      <c r="K689" s="2" t="s">
        <v>1126</v>
      </c>
      <c r="L689" s="3">
        <v>267.67</v>
      </c>
      <c r="M689" s="3">
        <v>281.05</v>
      </c>
      <c r="N689" s="3">
        <v>609.99</v>
      </c>
      <c r="O689" s="2" t="s">
        <v>203</v>
      </c>
      <c r="P689" s="2" t="s">
        <v>467</v>
      </c>
      <c r="Q689" s="2" t="s">
        <v>205</v>
      </c>
      <c r="R689" s="2" t="s">
        <v>206</v>
      </c>
      <c r="S689" s="2" t="s">
        <v>4375</v>
      </c>
      <c r="T689" s="2" t="s">
        <v>206</v>
      </c>
      <c r="U689" s="2" t="s">
        <v>206</v>
      </c>
      <c r="V689" s="2" t="s">
        <v>438</v>
      </c>
      <c r="W689" s="2" t="s">
        <v>1210</v>
      </c>
      <c r="X689" s="2" t="s">
        <v>206</v>
      </c>
      <c r="Y689" s="2" t="s">
        <v>4376</v>
      </c>
      <c r="Z689" s="4">
        <v>76</v>
      </c>
      <c r="AA689" s="4">
        <f>=ROUNDDOWN(58.4615384615385,0)</f>
      </c>
      <c r="AB689" s="5">
        <v>1.3</v>
      </c>
      <c r="AC689" s="2" t="s">
        <v>206</v>
      </c>
      <c r="AD689" s="4"/>
      <c r="AE689" s="4"/>
      <c r="AF689" s="6">
        <v>63</v>
      </c>
      <c r="AG689" s="6"/>
      <c r="AH689" s="7">
        <v>1</v>
      </c>
      <c r="AI689" s="4"/>
      <c r="AJ689" s="4">
        <f>=ROUNDDOWN({0},0)</f>
      </c>
      <c r="AK689" s="5"/>
      <c r="AL689" s="2" t="s">
        <v>206</v>
      </c>
      <c r="AM689" s="4"/>
      <c r="AN689" s="4"/>
      <c r="AO689" s="7">
        <v>1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>
        <v>6</v>
      </c>
      <c r="BK689" s="8">
        <v>1532.21</v>
      </c>
      <c r="BL689" s="2" t="s">
        <v>4377</v>
      </c>
      <c r="BM689" s="7"/>
      <c r="BN689" s="7"/>
      <c r="BO689" s="4"/>
      <c r="BP689" s="8"/>
      <c r="BQ689" s="4"/>
      <c r="BR689" s="8"/>
      <c r="BS689" s="7"/>
      <c r="BT689" s="7"/>
      <c r="BU689" s="2" t="s">
        <v>4378</v>
      </c>
      <c r="BV689" s="2" t="s">
        <v>206</v>
      </c>
      <c r="BW689" s="2" t="s">
        <v>206</v>
      </c>
      <c r="BX689" s="2" t="s">
        <v>426</v>
      </c>
      <c r="BY689" s="2" t="s">
        <v>215</v>
      </c>
      <c r="BZ689" s="2" t="s">
        <v>203</v>
      </c>
      <c r="CA689" s="2" t="s">
        <v>4379</v>
      </c>
      <c r="CB689" s="2" t="s">
        <v>4380</v>
      </c>
      <c r="CC689" s="2" t="s">
        <v>218</v>
      </c>
      <c r="CD689" s="2" t="s">
        <v>206</v>
      </c>
      <c r="CE689" s="4"/>
      <c r="CF689" s="4">
        <v>74</v>
      </c>
      <c r="CG689" s="4"/>
      <c r="CH689" s="4">
        <v>2</v>
      </c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  <c r="EH689" s="4"/>
      <c r="EI689" s="4"/>
      <c r="EJ689" s="4"/>
      <c r="EK689" s="4"/>
      <c r="EL689" s="4"/>
      <c r="EM689" s="4"/>
      <c r="EN689" s="4"/>
      <c r="EO689" s="4"/>
      <c r="EP689" s="4"/>
      <c r="EQ689" s="4"/>
      <c r="ER689" s="4"/>
      <c r="ES689" s="4"/>
      <c r="ET689" s="4"/>
      <c r="EU689" s="4"/>
      <c r="EV689" s="4"/>
      <c r="EW689" s="4"/>
      <c r="EX689" s="4"/>
      <c r="EY689" s="4"/>
      <c r="EZ689" s="4"/>
      <c r="FA689" s="4"/>
      <c r="FB689" s="4"/>
      <c r="FC689" s="4"/>
      <c r="FD689" s="4"/>
      <c r="FE689" s="4"/>
      <c r="FF689" s="4"/>
      <c r="FG689" s="4"/>
      <c r="FH689" s="4"/>
      <c r="FI689" s="4"/>
      <c r="FJ689" s="4"/>
      <c r="FK689" s="4"/>
      <c r="FL689" s="4"/>
      <c r="FM689" s="4"/>
      <c r="FN689" s="4"/>
      <c r="FO689" s="4"/>
      <c r="FP689" s="4"/>
      <c r="FQ689" s="4"/>
      <c r="FR689" s="4"/>
      <c r="FS689" s="4"/>
      <c r="FT689" s="4"/>
      <c r="FU689" s="4"/>
      <c r="FV689" s="4"/>
      <c r="FW689" s="4"/>
      <c r="FX689" s="4"/>
      <c r="FY689" s="4"/>
      <c r="FZ689" s="4"/>
      <c r="GA689" s="4"/>
      <c r="GB689" s="4"/>
      <c r="GC689" s="4"/>
      <c r="GD689" s="4"/>
      <c r="GE689" s="4"/>
      <c r="GF689" s="4"/>
    </row>
    <row r="690">
      <c r="A690" s="2" t="s">
        <v>4381</v>
      </c>
      <c r="B690" s="2" t="s">
        <v>528</v>
      </c>
      <c r="C690" s="2" t="s">
        <v>287</v>
      </c>
      <c r="D690" s="2" t="s">
        <v>529</v>
      </c>
      <c r="E690" s="2" t="s">
        <v>816</v>
      </c>
      <c r="F690" s="2" t="s">
        <v>4382</v>
      </c>
      <c r="G690" s="2" t="s">
        <v>4383</v>
      </c>
      <c r="H690" s="2" t="s">
        <v>4384</v>
      </c>
      <c r="I690" s="2" t="s">
        <v>4385</v>
      </c>
      <c r="J690" s="2" t="s">
        <v>310</v>
      </c>
      <c r="K690" s="2" t="s">
        <v>262</v>
      </c>
      <c r="L690" s="3">
        <v>81.21</v>
      </c>
      <c r="M690" s="3">
        <v>85.27</v>
      </c>
      <c r="N690" s="3">
        <v>169.99</v>
      </c>
      <c r="O690" s="2" t="s">
        <v>203</v>
      </c>
      <c r="P690" s="2" t="s">
        <v>204</v>
      </c>
      <c r="Q690" s="2" t="s">
        <v>205</v>
      </c>
      <c r="R690" s="2" t="s">
        <v>206</v>
      </c>
      <c r="S690" s="2" t="s">
        <v>4386</v>
      </c>
      <c r="T690" s="2" t="s">
        <v>206</v>
      </c>
      <c r="U690" s="2" t="s">
        <v>537</v>
      </c>
      <c r="V690" s="2" t="s">
        <v>622</v>
      </c>
      <c r="W690" s="2" t="s">
        <v>539</v>
      </c>
      <c r="X690" s="2" t="s">
        <v>4387</v>
      </c>
      <c r="Y690" s="2" t="s">
        <v>211</v>
      </c>
      <c r="Z690" s="4">
        <v>172</v>
      </c>
      <c r="AA690" s="4">
        <f>=ROUNDDOWN(34.4,0)</f>
      </c>
      <c r="AB690" s="5">
        <v>5</v>
      </c>
      <c r="AC690" s="2" t="s">
        <v>120</v>
      </c>
      <c r="AD690" s="4">
        <v>100</v>
      </c>
      <c r="AE690" s="4">
        <v>180</v>
      </c>
      <c r="AF690" s="6">
        <v>65</v>
      </c>
      <c r="AG690" s="6">
        <v>48</v>
      </c>
      <c r="AH690" s="7">
        <v>1</v>
      </c>
      <c r="AI690" s="4"/>
      <c r="AJ690" s="4">
        <f>=ROUNDDOWN({0},0)</f>
      </c>
      <c r="AK690" s="5"/>
      <c r="AL690" s="2" t="s">
        <v>206</v>
      </c>
      <c r="AM690" s="4"/>
      <c r="AN690" s="4"/>
      <c r="AO690" s="7"/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/>
      <c r="BD690" s="8"/>
      <c r="BE690" s="4"/>
      <c r="BF690" s="8"/>
      <c r="BG690" s="7"/>
      <c r="BH690" s="7"/>
      <c r="BI690" s="7"/>
      <c r="BJ690" s="4">
        <v>8</v>
      </c>
      <c r="BK690" s="8">
        <v>570.82</v>
      </c>
      <c r="BL690" s="2" t="s">
        <v>1924</v>
      </c>
      <c r="BM690" s="7"/>
      <c r="BN690" s="7"/>
      <c r="BO690" s="4"/>
      <c r="BP690" s="8"/>
      <c r="BQ690" s="4"/>
      <c r="BR690" s="8"/>
      <c r="BS690" s="7"/>
      <c r="BT690" s="7"/>
      <c r="BU690" s="2" t="s">
        <v>4388</v>
      </c>
      <c r="BV690" s="2" t="s">
        <v>206</v>
      </c>
      <c r="BW690" s="2" t="s">
        <v>206</v>
      </c>
      <c r="BX690" s="2" t="s">
        <v>426</v>
      </c>
      <c r="BY690" s="2" t="s">
        <v>215</v>
      </c>
      <c r="BZ690" s="2" t="s">
        <v>203</v>
      </c>
      <c r="CA690" s="2" t="s">
        <v>216</v>
      </c>
      <c r="CB690" s="2" t="s">
        <v>767</v>
      </c>
      <c r="CC690" s="2" t="s">
        <v>218</v>
      </c>
      <c r="CD690" s="2" t="s">
        <v>206</v>
      </c>
      <c r="CE690" s="4">
        <v>166</v>
      </c>
      <c r="CF690" s="4"/>
      <c r="CG690" s="4"/>
      <c r="CH690" s="4">
        <v>6</v>
      </c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>
        <v>100</v>
      </c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  <c r="DW690" s="4"/>
      <c r="DX690" s="4">
        <v>80</v>
      </c>
      <c r="DY690" s="4"/>
      <c r="DZ690" s="4"/>
      <c r="EA690" s="4"/>
      <c r="EB690" s="4"/>
      <c r="EC690" s="4"/>
      <c r="ED690" s="4"/>
      <c r="EE690" s="4"/>
      <c r="EF690" s="4"/>
      <c r="EG690" s="4"/>
      <c r="EH690" s="4"/>
      <c r="EI690" s="4"/>
      <c r="EJ690" s="4"/>
      <c r="EK690" s="4"/>
      <c r="EL690" s="4"/>
      <c r="EM690" s="4"/>
      <c r="EN690" s="4"/>
      <c r="EO690" s="4"/>
      <c r="EP690" s="4"/>
      <c r="EQ690" s="4"/>
      <c r="ER690" s="4"/>
      <c r="ES690" s="4"/>
      <c r="ET690" s="4"/>
      <c r="EU690" s="4"/>
      <c r="EV690" s="4"/>
      <c r="EW690" s="4"/>
      <c r="EX690" s="4"/>
      <c r="EY690" s="4"/>
      <c r="EZ690" s="4"/>
      <c r="FA690" s="4"/>
      <c r="FB690" s="4"/>
      <c r="FC690" s="4"/>
      <c r="FD690" s="4"/>
      <c r="FE690" s="4"/>
      <c r="FF690" s="4"/>
      <c r="FG690" s="4"/>
      <c r="FH690" s="4"/>
      <c r="FI690" s="4"/>
      <c r="FJ690" s="4"/>
      <c r="FK690" s="4"/>
      <c r="FL690" s="4"/>
      <c r="FM690" s="4"/>
      <c r="FN690" s="4"/>
      <c r="FO690" s="4"/>
      <c r="FP690" s="4"/>
      <c r="FQ690" s="4"/>
      <c r="FR690" s="4"/>
      <c r="FS690" s="4"/>
      <c r="FT690" s="4"/>
      <c r="FU690" s="4"/>
      <c r="FV690" s="4"/>
      <c r="FW690" s="4"/>
      <c r="FX690" s="4"/>
      <c r="FY690" s="4"/>
      <c r="FZ690" s="4"/>
      <c r="GA690" s="4"/>
      <c r="GB690" s="4"/>
      <c r="GC690" s="4"/>
      <c r="GD690" s="4"/>
      <c r="GE690" s="4"/>
      <c r="GF690" s="4"/>
    </row>
    <row r="691">
      <c r="A691" s="2" t="s">
        <v>4389</v>
      </c>
      <c r="B691" s="2" t="s">
        <v>800</v>
      </c>
      <c r="C691" s="2" t="s">
        <v>287</v>
      </c>
      <c r="D691" s="2" t="s">
        <v>801</v>
      </c>
      <c r="E691" s="2" t="s">
        <v>802</v>
      </c>
      <c r="F691" s="2" t="s">
        <v>4390</v>
      </c>
      <c r="G691" s="2" t="s">
        <v>4391</v>
      </c>
      <c r="H691" s="2" t="s">
        <v>4391</v>
      </c>
      <c r="I691" s="2" t="s">
        <v>4392</v>
      </c>
      <c r="J691" s="2" t="s">
        <v>4292</v>
      </c>
      <c r="K691" s="2" t="s">
        <v>696</v>
      </c>
      <c r="L691" s="3">
        <v>15.18</v>
      </c>
      <c r="M691" s="3">
        <v>15.94</v>
      </c>
      <c r="N691" s="3">
        <v>32.99</v>
      </c>
      <c r="O691" s="2" t="s">
        <v>203</v>
      </c>
      <c r="P691" s="2" t="s">
        <v>204</v>
      </c>
      <c r="Q691" s="2" t="s">
        <v>205</v>
      </c>
      <c r="R691" s="2" t="s">
        <v>206</v>
      </c>
      <c r="S691" s="2" t="s">
        <v>4393</v>
      </c>
      <c r="T691" s="2" t="s">
        <v>1523</v>
      </c>
      <c r="U691" s="2" t="s">
        <v>206</v>
      </c>
      <c r="V691" s="2" t="s">
        <v>209</v>
      </c>
      <c r="W691" s="2" t="s">
        <v>210</v>
      </c>
      <c r="X691" s="2" t="s">
        <v>206</v>
      </c>
      <c r="Y691" s="2" t="s">
        <v>211</v>
      </c>
      <c r="Z691" s="4">
        <v>485</v>
      </c>
      <c r="AA691" s="4">
        <f>=ROUNDDOWN(12.125,0)</f>
      </c>
      <c r="AB691" s="5">
        <v>40</v>
      </c>
      <c r="AC691" s="2" t="s">
        <v>114</v>
      </c>
      <c r="AD691" s="4">
        <v>790</v>
      </c>
      <c r="AE691" s="4">
        <v>2170</v>
      </c>
      <c r="AF691" s="6">
        <v>65</v>
      </c>
      <c r="AG691" s="6"/>
      <c r="AH691" s="7">
        <v>1</v>
      </c>
      <c r="AI691" s="4"/>
      <c r="AJ691" s="4">
        <f>=ROUNDDOWN({0},0)</f>
      </c>
      <c r="AK691" s="5"/>
      <c r="AL691" s="2" t="s">
        <v>206</v>
      </c>
      <c r="AM691" s="4"/>
      <c r="AN691" s="4"/>
      <c r="AO691" s="7"/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 t="s">
        <v>206</v>
      </c>
      <c r="BD691" s="8" t="s">
        <v>206</v>
      </c>
      <c r="BE691" s="4" t="s">
        <v>206</v>
      </c>
      <c r="BF691" s="8" t="s">
        <v>206</v>
      </c>
      <c r="BG691" s="7" t="s">
        <v>206</v>
      </c>
      <c r="BH691" s="7" t="s">
        <v>206</v>
      </c>
      <c r="BI691" s="7"/>
      <c r="BJ691" s="4">
        <v>695</v>
      </c>
      <c r="BK691" s="8">
        <v>10041.92</v>
      </c>
      <c r="BL691" s="2" t="s">
        <v>4394</v>
      </c>
      <c r="BM691" s="7"/>
      <c r="BN691" s="7"/>
      <c r="BO691" s="4"/>
      <c r="BP691" s="8"/>
      <c r="BQ691" s="4"/>
      <c r="BR691" s="8"/>
      <c r="BS691" s="7"/>
      <c r="BT691" s="7"/>
      <c r="BU691" s="2" t="s">
        <v>4395</v>
      </c>
      <c r="BV691" s="2" t="s">
        <v>206</v>
      </c>
      <c r="BW691" s="2" t="s">
        <v>206</v>
      </c>
      <c r="BX691" s="2" t="s">
        <v>214</v>
      </c>
      <c r="BY691" s="2" t="s">
        <v>215</v>
      </c>
      <c r="BZ691" s="2" t="s">
        <v>203</v>
      </c>
      <c r="CA691" s="2" t="s">
        <v>4396</v>
      </c>
      <c r="CB691" s="2" t="s">
        <v>4397</v>
      </c>
      <c r="CC691" s="2" t="s">
        <v>218</v>
      </c>
      <c r="CD691" s="2" t="s">
        <v>206</v>
      </c>
      <c r="CE691" s="4"/>
      <c r="CF691" s="4">
        <v>485</v>
      </c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>
        <v>790</v>
      </c>
      <c r="DC691" s="4">
        <v>790</v>
      </c>
      <c r="DD691" s="4"/>
      <c r="DE691" s="4"/>
      <c r="DF691" s="4"/>
      <c r="DG691" s="4">
        <v>310</v>
      </c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  <c r="DW691" s="4"/>
      <c r="DX691" s="4">
        <v>280</v>
      </c>
      <c r="DY691" s="4"/>
      <c r="DZ691" s="4"/>
      <c r="EA691" s="4"/>
      <c r="EB691" s="4"/>
      <c r="EC691" s="4"/>
      <c r="ED691" s="4"/>
      <c r="EE691" s="4"/>
      <c r="EF691" s="4"/>
      <c r="EG691" s="4"/>
      <c r="EH691" s="4"/>
      <c r="EI691" s="4"/>
      <c r="EJ691" s="4"/>
      <c r="EK691" s="4"/>
      <c r="EL691" s="4"/>
      <c r="EM691" s="4"/>
      <c r="EN691" s="4"/>
      <c r="EO691" s="4"/>
      <c r="EP691" s="4"/>
      <c r="EQ691" s="4"/>
      <c r="ER691" s="4"/>
      <c r="ES691" s="4"/>
      <c r="ET691" s="4"/>
      <c r="EU691" s="4"/>
      <c r="EV691" s="4"/>
      <c r="EW691" s="4"/>
      <c r="EX691" s="4"/>
      <c r="EY691" s="4"/>
      <c r="EZ691" s="4"/>
      <c r="FA691" s="4"/>
      <c r="FB691" s="4"/>
      <c r="FC691" s="4"/>
      <c r="FD691" s="4"/>
      <c r="FE691" s="4"/>
      <c r="FF691" s="4"/>
      <c r="FG691" s="4"/>
      <c r="FH691" s="4"/>
      <c r="FI691" s="4"/>
      <c r="FJ691" s="4"/>
      <c r="FK691" s="4"/>
      <c r="FL691" s="4"/>
      <c r="FM691" s="4"/>
      <c r="FN691" s="4"/>
      <c r="FO691" s="4"/>
      <c r="FP691" s="4"/>
      <c r="FQ691" s="4"/>
      <c r="FR691" s="4"/>
      <c r="FS691" s="4"/>
      <c r="FT691" s="4"/>
      <c r="FU691" s="4"/>
      <c r="FV691" s="4"/>
      <c r="FW691" s="4"/>
      <c r="FX691" s="4"/>
      <c r="FY691" s="4"/>
      <c r="FZ691" s="4"/>
      <c r="GA691" s="4"/>
      <c r="GB691" s="4"/>
      <c r="GC691" s="4"/>
      <c r="GD691" s="4"/>
      <c r="GE691" s="4"/>
      <c r="GF691" s="4"/>
    </row>
    <row r="692">
      <c r="A692" s="2" t="s">
        <v>4398</v>
      </c>
      <c r="B692" s="2" t="s">
        <v>800</v>
      </c>
      <c r="C692" s="2" t="s">
        <v>287</v>
      </c>
      <c r="D692" s="2" t="s">
        <v>801</v>
      </c>
      <c r="E692" s="2" t="s">
        <v>802</v>
      </c>
      <c r="F692" s="2" t="s">
        <v>4390</v>
      </c>
      <c r="G692" s="2" t="s">
        <v>4391</v>
      </c>
      <c r="H692" s="2" t="s">
        <v>4391</v>
      </c>
      <c r="I692" s="2" t="s">
        <v>4392</v>
      </c>
      <c r="J692" s="2" t="s">
        <v>4292</v>
      </c>
      <c r="K692" s="2" t="s">
        <v>336</v>
      </c>
      <c r="L692" s="3">
        <v>15.18</v>
      </c>
      <c r="M692" s="3">
        <v>15.94</v>
      </c>
      <c r="N692" s="3">
        <v>32.99</v>
      </c>
      <c r="O692" s="2" t="s">
        <v>203</v>
      </c>
      <c r="P692" s="2" t="s">
        <v>204</v>
      </c>
      <c r="Q692" s="2" t="s">
        <v>205</v>
      </c>
      <c r="R692" s="2" t="s">
        <v>206</v>
      </c>
      <c r="S692" s="2" t="s">
        <v>4399</v>
      </c>
      <c r="T692" s="2" t="s">
        <v>1523</v>
      </c>
      <c r="U692" s="2" t="s">
        <v>206</v>
      </c>
      <c r="V692" s="2" t="s">
        <v>209</v>
      </c>
      <c r="W692" s="2" t="s">
        <v>210</v>
      </c>
      <c r="X692" s="2" t="s">
        <v>206</v>
      </c>
      <c r="Y692" s="2" t="s">
        <v>211</v>
      </c>
      <c r="Z692" s="4">
        <v>2219</v>
      </c>
      <c r="AA692" s="4">
        <f>=ROUNDDOWN(29.5866666666667,0)</f>
      </c>
      <c r="AB692" s="5">
        <v>75</v>
      </c>
      <c r="AC692" s="2" t="s">
        <v>1620</v>
      </c>
      <c r="AD692" s="4">
        <v>90</v>
      </c>
      <c r="AE692" s="4">
        <v>4900</v>
      </c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206</v>
      </c>
      <c r="AM692" s="4"/>
      <c r="AN692" s="4"/>
      <c r="AO692" s="7"/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 t="s">
        <v>206</v>
      </c>
      <c r="BD692" s="8" t="s">
        <v>206</v>
      </c>
      <c r="BE692" s="4" t="s">
        <v>206</v>
      </c>
      <c r="BF692" s="8" t="s">
        <v>206</v>
      </c>
      <c r="BG692" s="7" t="s">
        <v>206</v>
      </c>
      <c r="BH692" s="7" t="s">
        <v>206</v>
      </c>
      <c r="BI692" s="7"/>
      <c r="BJ692" s="4">
        <v>659</v>
      </c>
      <c r="BK692" s="8">
        <v>9427.69</v>
      </c>
      <c r="BL692" s="2" t="s">
        <v>4400</v>
      </c>
      <c r="BM692" s="7"/>
      <c r="BN692" s="7"/>
      <c r="BO692" s="4"/>
      <c r="BP692" s="8"/>
      <c r="BQ692" s="4"/>
      <c r="BR692" s="8"/>
      <c r="BS692" s="7"/>
      <c r="BT692" s="7"/>
      <c r="BU692" s="2" t="s">
        <v>4401</v>
      </c>
      <c r="BV692" s="2" t="s">
        <v>206</v>
      </c>
      <c r="BW692" s="2" t="s">
        <v>206</v>
      </c>
      <c r="BX692" s="2" t="s">
        <v>214</v>
      </c>
      <c r="BY692" s="2" t="s">
        <v>215</v>
      </c>
      <c r="BZ692" s="2" t="s">
        <v>203</v>
      </c>
      <c r="CA692" s="2" t="s">
        <v>4396</v>
      </c>
      <c r="CB692" s="2" t="s">
        <v>4402</v>
      </c>
      <c r="CC692" s="2" t="s">
        <v>218</v>
      </c>
      <c r="CD692" s="2" t="s">
        <v>206</v>
      </c>
      <c r="CE692" s="4">
        <v>596</v>
      </c>
      <c r="CF692" s="4">
        <v>1623</v>
      </c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>
        <v>90</v>
      </c>
      <c r="CY692" s="4"/>
      <c r="CZ692" s="4"/>
      <c r="DA692" s="4"/>
      <c r="DB692" s="4">
        <v>1750</v>
      </c>
      <c r="DC692" s="4">
        <v>1750</v>
      </c>
      <c r="DD692" s="4"/>
      <c r="DE692" s="4"/>
      <c r="DF692" s="4"/>
      <c r="DG692" s="4">
        <v>680</v>
      </c>
      <c r="DH692" s="4"/>
      <c r="DI692" s="4"/>
      <c r="DJ692" s="4"/>
      <c r="DK692" s="4"/>
      <c r="DL692" s="4"/>
      <c r="DM692" s="4"/>
      <c r="DN692" s="4"/>
      <c r="DO692" s="4"/>
      <c r="DP692" s="4"/>
      <c r="DQ692" s="4"/>
      <c r="DR692" s="4"/>
      <c r="DS692" s="4"/>
      <c r="DT692" s="4"/>
      <c r="DU692" s="4"/>
      <c r="DV692" s="4"/>
      <c r="DW692" s="4"/>
      <c r="DX692" s="4">
        <v>630</v>
      </c>
      <c r="DY692" s="4"/>
      <c r="DZ692" s="4"/>
      <c r="EA692" s="4"/>
      <c r="EB692" s="4"/>
      <c r="EC692" s="4"/>
      <c r="ED692" s="4"/>
      <c r="EE692" s="4"/>
      <c r="EF692" s="4"/>
      <c r="EG692" s="4"/>
      <c r="EH692" s="4"/>
      <c r="EI692" s="4"/>
      <c r="EJ692" s="4"/>
      <c r="EK692" s="4"/>
      <c r="EL692" s="4"/>
      <c r="EM692" s="4"/>
      <c r="EN692" s="4"/>
      <c r="EO692" s="4"/>
      <c r="EP692" s="4"/>
      <c r="EQ692" s="4"/>
      <c r="ER692" s="4"/>
      <c r="ES692" s="4"/>
      <c r="ET692" s="4"/>
      <c r="EU692" s="4"/>
      <c r="EV692" s="4"/>
      <c r="EW692" s="4"/>
      <c r="EX692" s="4"/>
      <c r="EY692" s="4"/>
      <c r="EZ692" s="4"/>
      <c r="FA692" s="4"/>
      <c r="FB692" s="4"/>
      <c r="FC692" s="4"/>
      <c r="FD692" s="4"/>
      <c r="FE692" s="4"/>
      <c r="FF692" s="4"/>
      <c r="FG692" s="4"/>
      <c r="FH692" s="4"/>
      <c r="FI692" s="4"/>
      <c r="FJ692" s="4"/>
      <c r="FK692" s="4"/>
      <c r="FL692" s="4"/>
      <c r="FM692" s="4"/>
      <c r="FN692" s="4"/>
      <c r="FO692" s="4"/>
      <c r="FP692" s="4"/>
      <c r="FQ692" s="4"/>
      <c r="FR692" s="4"/>
      <c r="FS692" s="4"/>
      <c r="FT692" s="4"/>
      <c r="FU692" s="4"/>
      <c r="FV692" s="4"/>
      <c r="FW692" s="4"/>
      <c r="FX692" s="4"/>
      <c r="FY692" s="4"/>
      <c r="FZ692" s="4"/>
      <c r="GA692" s="4"/>
      <c r="GB692" s="4"/>
      <c r="GC692" s="4"/>
      <c r="GD692" s="4"/>
      <c r="GE692" s="4"/>
      <c r="GF692" s="4"/>
    </row>
    <row r="693">
      <c r="A693" s="2" t="s">
        <v>4403</v>
      </c>
      <c r="B693" s="2" t="s">
        <v>800</v>
      </c>
      <c r="C693" s="2" t="s">
        <v>287</v>
      </c>
      <c r="D693" s="2" t="s">
        <v>801</v>
      </c>
      <c r="E693" s="2" t="s">
        <v>802</v>
      </c>
      <c r="F693" s="2" t="s">
        <v>4390</v>
      </c>
      <c r="G693" s="2" t="s">
        <v>4391</v>
      </c>
      <c r="H693" s="2" t="s">
        <v>4391</v>
      </c>
      <c r="I693" s="2" t="s">
        <v>4392</v>
      </c>
      <c r="J693" s="2" t="s">
        <v>4292</v>
      </c>
      <c r="K693" s="2" t="s">
        <v>605</v>
      </c>
      <c r="L693" s="3">
        <v>15.18</v>
      </c>
      <c r="M693" s="3">
        <v>15.94</v>
      </c>
      <c r="N693" s="3">
        <v>32.99</v>
      </c>
      <c r="O693" s="2" t="s">
        <v>203</v>
      </c>
      <c r="P693" s="2" t="s">
        <v>204</v>
      </c>
      <c r="Q693" s="2" t="s">
        <v>205</v>
      </c>
      <c r="R693" s="2" t="s">
        <v>206</v>
      </c>
      <c r="S693" s="2" t="s">
        <v>4404</v>
      </c>
      <c r="T693" s="2" t="s">
        <v>1523</v>
      </c>
      <c r="U693" s="2" t="s">
        <v>206</v>
      </c>
      <c r="V693" s="2" t="s">
        <v>209</v>
      </c>
      <c r="W693" s="2" t="s">
        <v>210</v>
      </c>
      <c r="X693" s="2" t="s">
        <v>206</v>
      </c>
      <c r="Y693" s="2" t="s">
        <v>211</v>
      </c>
      <c r="Z693" s="4">
        <v>1081</v>
      </c>
      <c r="AA693" s="4">
        <f>=ROUNDDOWN(25.7380952380952,0)</f>
      </c>
      <c r="AB693" s="5">
        <v>42</v>
      </c>
      <c r="AC693" s="2" t="s">
        <v>114</v>
      </c>
      <c r="AD693" s="4">
        <v>990</v>
      </c>
      <c r="AE693" s="4">
        <v>2720</v>
      </c>
      <c r="AF693" s="6">
        <v>65</v>
      </c>
      <c r="AG693" s="6"/>
      <c r="AH693" s="7">
        <v>1</v>
      </c>
      <c r="AI693" s="4"/>
      <c r="AJ693" s="4">
        <f>=ROUNDDOWN({0},0)</f>
      </c>
      <c r="AK693" s="5"/>
      <c r="AL693" s="2" t="s">
        <v>206</v>
      </c>
      <c r="AM693" s="4"/>
      <c r="AN693" s="4"/>
      <c r="AO693" s="7"/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 t="s">
        <v>206</v>
      </c>
      <c r="BD693" s="8" t="s">
        <v>206</v>
      </c>
      <c r="BE693" s="4" t="s">
        <v>206</v>
      </c>
      <c r="BF693" s="8" t="s">
        <v>206</v>
      </c>
      <c r="BG693" s="7" t="s">
        <v>206</v>
      </c>
      <c r="BH693" s="7" t="s">
        <v>206</v>
      </c>
      <c r="BI693" s="7"/>
      <c r="BJ693" s="4">
        <v>530</v>
      </c>
      <c r="BK693" s="8">
        <v>7577.93</v>
      </c>
      <c r="BL693" s="2" t="s">
        <v>4405</v>
      </c>
      <c r="BM693" s="7"/>
      <c r="BN693" s="7"/>
      <c r="BO693" s="4"/>
      <c r="BP693" s="8"/>
      <c r="BQ693" s="4"/>
      <c r="BR693" s="8"/>
      <c r="BS693" s="7"/>
      <c r="BT693" s="7"/>
      <c r="BU693" s="2" t="s">
        <v>4406</v>
      </c>
      <c r="BV693" s="2" t="s">
        <v>206</v>
      </c>
      <c r="BW693" s="2" t="s">
        <v>206</v>
      </c>
      <c r="BX693" s="2" t="s">
        <v>214</v>
      </c>
      <c r="BY693" s="2" t="s">
        <v>215</v>
      </c>
      <c r="BZ693" s="2" t="s">
        <v>203</v>
      </c>
      <c r="CA693" s="2" t="s">
        <v>4396</v>
      </c>
      <c r="CB693" s="2" t="s">
        <v>427</v>
      </c>
      <c r="CC693" s="2" t="s">
        <v>218</v>
      </c>
      <c r="CD693" s="2" t="s">
        <v>206</v>
      </c>
      <c r="CE693" s="4">
        <v>1081</v>
      </c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>
        <v>990</v>
      </c>
      <c r="DC693" s="4">
        <v>990</v>
      </c>
      <c r="DD693" s="4"/>
      <c r="DE693" s="4"/>
      <c r="DF693" s="4"/>
      <c r="DG693" s="4">
        <v>380</v>
      </c>
      <c r="DH693" s="4"/>
      <c r="DI693" s="4"/>
      <c r="DJ693" s="4"/>
      <c r="DK693" s="4"/>
      <c r="DL693" s="4"/>
      <c r="DM693" s="4"/>
      <c r="DN693" s="4"/>
      <c r="DO693" s="4"/>
      <c r="DP693" s="4"/>
      <c r="DQ693" s="4"/>
      <c r="DR693" s="4"/>
      <c r="DS693" s="4"/>
      <c r="DT693" s="4"/>
      <c r="DU693" s="4"/>
      <c r="DV693" s="4"/>
      <c r="DW693" s="4"/>
      <c r="DX693" s="4">
        <v>360</v>
      </c>
      <c r="DY693" s="4"/>
      <c r="DZ693" s="4"/>
      <c r="EA693" s="4"/>
      <c r="EB693" s="4"/>
      <c r="EC693" s="4"/>
      <c r="ED693" s="4"/>
      <c r="EE693" s="4"/>
      <c r="EF693" s="4"/>
      <c r="EG693" s="4"/>
      <c r="EH693" s="4"/>
      <c r="EI693" s="4"/>
      <c r="EJ693" s="4"/>
      <c r="EK693" s="4"/>
      <c r="EL693" s="4"/>
      <c r="EM693" s="4"/>
      <c r="EN693" s="4"/>
      <c r="EO693" s="4"/>
      <c r="EP693" s="4"/>
      <c r="EQ693" s="4"/>
      <c r="ER693" s="4"/>
      <c r="ES693" s="4"/>
      <c r="ET693" s="4"/>
      <c r="EU693" s="4"/>
      <c r="EV693" s="4"/>
      <c r="EW693" s="4"/>
      <c r="EX693" s="4"/>
      <c r="EY693" s="4"/>
      <c r="EZ693" s="4"/>
      <c r="FA693" s="4"/>
      <c r="FB693" s="4"/>
      <c r="FC693" s="4"/>
      <c r="FD693" s="4"/>
      <c r="FE693" s="4"/>
      <c r="FF693" s="4"/>
      <c r="FG693" s="4"/>
      <c r="FH693" s="4"/>
      <c r="FI693" s="4"/>
      <c r="FJ693" s="4"/>
      <c r="FK693" s="4"/>
      <c r="FL693" s="4"/>
      <c r="FM693" s="4"/>
      <c r="FN693" s="4"/>
      <c r="FO693" s="4"/>
      <c r="FP693" s="4"/>
      <c r="FQ693" s="4"/>
      <c r="FR693" s="4"/>
      <c r="FS693" s="4"/>
      <c r="FT693" s="4"/>
      <c r="FU693" s="4"/>
      <c r="FV693" s="4"/>
      <c r="FW693" s="4"/>
      <c r="FX693" s="4"/>
      <c r="FY693" s="4"/>
      <c r="FZ693" s="4"/>
      <c r="GA693" s="4"/>
      <c r="GB693" s="4"/>
      <c r="GC693" s="4"/>
      <c r="GD693" s="4"/>
      <c r="GE693" s="4"/>
      <c r="GF693" s="4"/>
    </row>
    <row r="694">
      <c r="A694" s="2" t="s">
        <v>4407</v>
      </c>
      <c r="B694" s="2" t="s">
        <v>461</v>
      </c>
      <c r="C694" s="2" t="s">
        <v>287</v>
      </c>
      <c r="D694" s="2" t="s">
        <v>963</v>
      </c>
      <c r="E694" s="2" t="s">
        <v>964</v>
      </c>
      <c r="F694" s="2" t="s">
        <v>4390</v>
      </c>
      <c r="G694" s="2" t="s">
        <v>4408</v>
      </c>
      <c r="H694" s="2" t="s">
        <v>4409</v>
      </c>
      <c r="I694" s="2" t="s">
        <v>964</v>
      </c>
      <c r="J694" s="2" t="s">
        <v>434</v>
      </c>
      <c r="K694" s="2" t="s">
        <v>4410</v>
      </c>
      <c r="L694" s="3">
        <v>133</v>
      </c>
      <c r="M694" s="3">
        <v>139.65</v>
      </c>
      <c r="N694" s="3">
        <v>279</v>
      </c>
      <c r="O694" s="2" t="s">
        <v>203</v>
      </c>
      <c r="P694" s="2" t="s">
        <v>204</v>
      </c>
      <c r="Q694" s="2" t="s">
        <v>205</v>
      </c>
      <c r="R694" s="2" t="s">
        <v>206</v>
      </c>
      <c r="S694" s="2" t="s">
        <v>206</v>
      </c>
      <c r="T694" s="2" t="s">
        <v>206</v>
      </c>
      <c r="U694" s="2" t="s">
        <v>437</v>
      </c>
      <c r="V694" s="2" t="s">
        <v>209</v>
      </c>
      <c r="W694" s="2" t="s">
        <v>439</v>
      </c>
      <c r="X694" s="2" t="s">
        <v>586</v>
      </c>
      <c r="Y694" s="2" t="s">
        <v>4411</v>
      </c>
      <c r="Z694" s="4">
        <v>255</v>
      </c>
      <c r="AA694" s="4">
        <f>=ROUNDDOWN(36.4285714285714,0)</f>
      </c>
      <c r="AB694" s="5">
        <v>7</v>
      </c>
      <c r="AC694" s="2" t="s">
        <v>623</v>
      </c>
      <c r="AD694" s="4">
        <v>158</v>
      </c>
      <c r="AE694" s="4">
        <v>158</v>
      </c>
      <c r="AF694" s="6">
        <v>74</v>
      </c>
      <c r="AG694" s="6">
        <v>60</v>
      </c>
      <c r="AH694" s="7">
        <v>1</v>
      </c>
      <c r="AI694" s="4"/>
      <c r="AJ694" s="4">
        <f>=ROUNDDOWN({0},0)</f>
      </c>
      <c r="AK694" s="5"/>
      <c r="AL694" s="2" t="s">
        <v>206</v>
      </c>
      <c r="AM694" s="4"/>
      <c r="AN694" s="4"/>
      <c r="AO694" s="7"/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 t="s">
        <v>206</v>
      </c>
      <c r="BD694" s="8" t="s">
        <v>206</v>
      </c>
      <c r="BE694" s="4" t="s">
        <v>206</v>
      </c>
      <c r="BF694" s="8" t="s">
        <v>206</v>
      </c>
      <c r="BG694" s="7" t="s">
        <v>206</v>
      </c>
      <c r="BH694" s="7" t="s">
        <v>206</v>
      </c>
      <c r="BI694" s="7"/>
      <c r="BJ694" s="4">
        <v>20</v>
      </c>
      <c r="BK694" s="8">
        <v>2512.49</v>
      </c>
      <c r="BL694" s="2" t="s">
        <v>4412</v>
      </c>
      <c r="BM694" s="7"/>
      <c r="BN694" s="7"/>
      <c r="BO694" s="4"/>
      <c r="BP694" s="8"/>
      <c r="BQ694" s="4"/>
      <c r="BR694" s="8"/>
      <c r="BS694" s="7"/>
      <c r="BT694" s="7"/>
      <c r="BU694" s="2" t="s">
        <v>4413</v>
      </c>
      <c r="BV694" s="2" t="s">
        <v>206</v>
      </c>
      <c r="BW694" s="2" t="s">
        <v>206</v>
      </c>
      <c r="BX694" s="2" t="s">
        <v>426</v>
      </c>
      <c r="BY694" s="2" t="s">
        <v>215</v>
      </c>
      <c r="BZ694" s="2" t="s">
        <v>203</v>
      </c>
      <c r="CA694" s="2" t="s">
        <v>4414</v>
      </c>
      <c r="CB694" s="2" t="s">
        <v>4415</v>
      </c>
      <c r="CC694" s="2" t="s">
        <v>218</v>
      </c>
      <c r="CD694" s="2" t="s">
        <v>206</v>
      </c>
      <c r="CE694" s="4"/>
      <c r="CF694" s="4">
        <v>106</v>
      </c>
      <c r="CG694" s="4"/>
      <c r="CH694" s="4">
        <v>31</v>
      </c>
      <c r="CI694" s="4"/>
      <c r="CJ694" s="4"/>
      <c r="CK694" s="4"/>
      <c r="CL694" s="4"/>
      <c r="CM694" s="4"/>
      <c r="CN694" s="4"/>
      <c r="CO694" s="4">
        <v>118</v>
      </c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/>
      <c r="DQ694" s="4"/>
      <c r="DR694" s="4"/>
      <c r="DS694" s="4"/>
      <c r="DT694" s="4"/>
      <c r="DU694" s="4"/>
      <c r="DV694" s="4"/>
      <c r="DW694" s="4"/>
      <c r="DX694" s="4"/>
      <c r="DY694" s="4"/>
      <c r="DZ694" s="4"/>
      <c r="EA694" s="4"/>
      <c r="EB694" s="4"/>
      <c r="EC694" s="4"/>
      <c r="ED694" s="4"/>
      <c r="EE694" s="4"/>
      <c r="EF694" s="4"/>
      <c r="EG694" s="4"/>
      <c r="EH694" s="4"/>
      <c r="EI694" s="4"/>
      <c r="EJ694" s="4"/>
      <c r="EK694" s="4"/>
      <c r="EL694" s="4"/>
      <c r="EM694" s="4"/>
      <c r="EN694" s="4"/>
      <c r="EO694" s="4"/>
      <c r="EP694" s="4"/>
      <c r="EQ694" s="4"/>
      <c r="ER694" s="4"/>
      <c r="ES694" s="4"/>
      <c r="ET694" s="4"/>
      <c r="EU694" s="4"/>
      <c r="EV694" s="4"/>
      <c r="EW694" s="4"/>
      <c r="EX694" s="4"/>
      <c r="EY694" s="4"/>
      <c r="EZ694" s="4"/>
      <c r="FA694" s="4"/>
      <c r="FB694" s="4"/>
      <c r="FC694" s="4"/>
      <c r="FD694" s="4"/>
      <c r="FE694" s="4">
        <v>158</v>
      </c>
      <c r="FF694" s="4"/>
      <c r="FG694" s="4"/>
      <c r="FH694" s="4"/>
      <c r="FI694" s="4"/>
      <c r="FJ694" s="4"/>
      <c r="FK694" s="4"/>
      <c r="FL694" s="4"/>
      <c r="FM694" s="4"/>
      <c r="FN694" s="4"/>
      <c r="FO694" s="4"/>
      <c r="FP694" s="4"/>
      <c r="FQ694" s="4"/>
      <c r="FR694" s="4"/>
      <c r="FS694" s="4"/>
      <c r="FT694" s="4"/>
      <c r="FU694" s="4"/>
      <c r="FV694" s="4"/>
      <c r="FW694" s="4"/>
      <c r="FX694" s="4"/>
      <c r="FY694" s="4"/>
      <c r="FZ694" s="4"/>
      <c r="GA694" s="4"/>
      <c r="GB694" s="4"/>
      <c r="GC694" s="4"/>
      <c r="GD694" s="4"/>
      <c r="GE694" s="4"/>
      <c r="GF694" s="4"/>
    </row>
    <row r="695">
      <c r="A695" s="2" t="s">
        <v>4416</v>
      </c>
      <c r="B695" s="2" t="s">
        <v>800</v>
      </c>
      <c r="C695" s="2" t="s">
        <v>226</v>
      </c>
      <c r="D695" s="2" t="s">
        <v>529</v>
      </c>
      <c r="E695" s="2" t="s">
        <v>1134</v>
      </c>
      <c r="F695" s="2" t="s">
        <v>4417</v>
      </c>
      <c r="G695" s="2" t="s">
        <v>4418</v>
      </c>
      <c r="H695" s="2" t="s">
        <v>4418</v>
      </c>
      <c r="I695" s="2" t="s">
        <v>4419</v>
      </c>
      <c r="J695" s="2" t="s">
        <v>821</v>
      </c>
      <c r="K695" s="2" t="s">
        <v>2218</v>
      </c>
      <c r="L695" s="3">
        <v>19.6</v>
      </c>
      <c r="M695" s="3">
        <v>20.58</v>
      </c>
      <c r="N695" s="3">
        <v>39.99</v>
      </c>
      <c r="O695" s="2" t="s">
        <v>203</v>
      </c>
      <c r="P695" s="2" t="s">
        <v>773</v>
      </c>
      <c r="Q695" s="2" t="s">
        <v>205</v>
      </c>
      <c r="R695" s="2" t="s">
        <v>206</v>
      </c>
      <c r="S695" s="2" t="s">
        <v>4420</v>
      </c>
      <c r="T695" s="2" t="s">
        <v>292</v>
      </c>
      <c r="U695" s="2" t="s">
        <v>900</v>
      </c>
      <c r="V695" s="2" t="s">
        <v>698</v>
      </c>
      <c r="W695" s="2" t="s">
        <v>1152</v>
      </c>
      <c r="X695" s="2" t="s">
        <v>206</v>
      </c>
      <c r="Y695" s="2" t="s">
        <v>4421</v>
      </c>
      <c r="Z695" s="4">
        <v>514</v>
      </c>
      <c r="AA695" s="4">
        <f>=ROUNDDOWN(46.7272727272727,0)</f>
      </c>
      <c r="AB695" s="5">
        <v>11</v>
      </c>
      <c r="AC695" s="2" t="s">
        <v>441</v>
      </c>
      <c r="AD695" s="4">
        <v>250</v>
      </c>
      <c r="AE695" s="4">
        <v>250</v>
      </c>
      <c r="AF695" s="6">
        <v>65</v>
      </c>
      <c r="AG695" s="6"/>
      <c r="AH695" s="7">
        <v>1</v>
      </c>
      <c r="AI695" s="4"/>
      <c r="AJ695" s="4">
        <f>=ROUNDDOWN({0},0)</f>
      </c>
      <c r="AK695" s="5"/>
      <c r="AL695" s="2" t="s">
        <v>206</v>
      </c>
      <c r="AM695" s="4"/>
      <c r="AN695" s="4"/>
      <c r="AO695" s="7"/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 t="s">
        <v>206</v>
      </c>
      <c r="BD695" s="8" t="s">
        <v>206</v>
      </c>
      <c r="BE695" s="4" t="s">
        <v>206</v>
      </c>
      <c r="BF695" s="8" t="s">
        <v>206</v>
      </c>
      <c r="BG695" s="7" t="s">
        <v>206</v>
      </c>
      <c r="BH695" s="7" t="s">
        <v>206</v>
      </c>
      <c r="BI695" s="7"/>
      <c r="BJ695" s="4">
        <v>72</v>
      </c>
      <c r="BK695" s="8">
        <v>1332.15</v>
      </c>
      <c r="BL695" s="2" t="s">
        <v>4422</v>
      </c>
      <c r="BM695" s="7"/>
      <c r="BN695" s="7"/>
      <c r="BO695" s="4"/>
      <c r="BP695" s="8"/>
      <c r="BQ695" s="4"/>
      <c r="BR695" s="8"/>
      <c r="BS695" s="7"/>
      <c r="BT695" s="7"/>
      <c r="BU695" s="2" t="s">
        <v>4423</v>
      </c>
      <c r="BV695" s="2" t="s">
        <v>206</v>
      </c>
      <c r="BW695" s="2" t="s">
        <v>206</v>
      </c>
      <c r="BX695" s="2" t="s">
        <v>214</v>
      </c>
      <c r="BY695" s="2" t="s">
        <v>215</v>
      </c>
      <c r="BZ695" s="2" t="s">
        <v>203</v>
      </c>
      <c r="CA695" s="2" t="s">
        <v>2393</v>
      </c>
      <c r="CB695" s="2" t="s">
        <v>4147</v>
      </c>
      <c r="CC695" s="2" t="s">
        <v>218</v>
      </c>
      <c r="CD695" s="2" t="s">
        <v>206</v>
      </c>
      <c r="CE695" s="4">
        <v>386</v>
      </c>
      <c r="CF695" s="4"/>
      <c r="CG695" s="4"/>
      <c r="CH695" s="4">
        <v>128</v>
      </c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/>
      <c r="DQ695" s="4"/>
      <c r="DR695" s="4">
        <v>250</v>
      </c>
      <c r="DS695" s="4"/>
      <c r="DT695" s="4"/>
      <c r="DU695" s="4"/>
      <c r="DV695" s="4"/>
      <c r="DW695" s="4"/>
      <c r="DX695" s="4"/>
      <c r="DY695" s="4"/>
      <c r="DZ695" s="4"/>
      <c r="EA695" s="4"/>
      <c r="EB695" s="4"/>
      <c r="EC695" s="4"/>
      <c r="ED695" s="4"/>
      <c r="EE695" s="4"/>
      <c r="EF695" s="4"/>
      <c r="EG695" s="4"/>
      <c r="EH695" s="4"/>
      <c r="EI695" s="4"/>
      <c r="EJ695" s="4"/>
      <c r="EK695" s="4"/>
      <c r="EL695" s="4"/>
      <c r="EM695" s="4"/>
      <c r="EN695" s="4"/>
      <c r="EO695" s="4"/>
      <c r="EP695" s="4"/>
      <c r="EQ695" s="4"/>
      <c r="ER695" s="4"/>
      <c r="ES695" s="4"/>
      <c r="ET695" s="4"/>
      <c r="EU695" s="4"/>
      <c r="EV695" s="4"/>
      <c r="EW695" s="4"/>
      <c r="EX695" s="4"/>
      <c r="EY695" s="4"/>
      <c r="EZ695" s="4"/>
      <c r="FA695" s="4"/>
      <c r="FB695" s="4"/>
      <c r="FC695" s="4"/>
      <c r="FD695" s="4"/>
      <c r="FE695" s="4"/>
      <c r="FF695" s="4"/>
      <c r="FG695" s="4"/>
      <c r="FH695" s="4"/>
      <c r="FI695" s="4"/>
      <c r="FJ695" s="4"/>
      <c r="FK695" s="4"/>
      <c r="FL695" s="4"/>
      <c r="FM695" s="4"/>
      <c r="FN695" s="4"/>
      <c r="FO695" s="4"/>
      <c r="FP695" s="4"/>
      <c r="FQ695" s="4"/>
      <c r="FR695" s="4"/>
      <c r="FS695" s="4"/>
      <c r="FT695" s="4"/>
      <c r="FU695" s="4"/>
      <c r="FV695" s="4"/>
      <c r="FW695" s="4"/>
      <c r="FX695" s="4"/>
      <c r="FY695" s="4"/>
      <c r="FZ695" s="4"/>
      <c r="GA695" s="4"/>
      <c r="GB695" s="4"/>
      <c r="GC695" s="4"/>
      <c r="GD695" s="4"/>
      <c r="GE695" s="4"/>
      <c r="GF695" s="4"/>
    </row>
    <row r="696">
      <c r="A696" s="2" t="s">
        <v>4424</v>
      </c>
      <c r="B696" s="2" t="s">
        <v>800</v>
      </c>
      <c r="C696" s="2" t="s">
        <v>226</v>
      </c>
      <c r="D696" s="2" t="s">
        <v>529</v>
      </c>
      <c r="E696" s="2" t="s">
        <v>1134</v>
      </c>
      <c r="F696" s="2" t="s">
        <v>4417</v>
      </c>
      <c r="G696" s="2" t="s">
        <v>4418</v>
      </c>
      <c r="H696" s="2" t="s">
        <v>4418</v>
      </c>
      <c r="I696" s="2" t="s">
        <v>4419</v>
      </c>
      <c r="J696" s="2" t="s">
        <v>821</v>
      </c>
      <c r="K696" s="2" t="s">
        <v>696</v>
      </c>
      <c r="L696" s="3">
        <v>19.6</v>
      </c>
      <c r="M696" s="3">
        <v>20.58</v>
      </c>
      <c r="N696" s="3">
        <v>39.99</v>
      </c>
      <c r="O696" s="2" t="s">
        <v>203</v>
      </c>
      <c r="P696" s="2" t="s">
        <v>204</v>
      </c>
      <c r="Q696" s="2" t="s">
        <v>205</v>
      </c>
      <c r="R696" s="2" t="s">
        <v>206</v>
      </c>
      <c r="S696" s="2" t="s">
        <v>4425</v>
      </c>
      <c r="T696" s="2" t="s">
        <v>292</v>
      </c>
      <c r="U696" s="2" t="s">
        <v>900</v>
      </c>
      <c r="V696" s="2" t="s">
        <v>698</v>
      </c>
      <c r="W696" s="2" t="s">
        <v>1152</v>
      </c>
      <c r="X696" s="2" t="s">
        <v>206</v>
      </c>
      <c r="Y696" s="2" t="s">
        <v>1020</v>
      </c>
      <c r="Z696" s="4">
        <v>227</v>
      </c>
      <c r="AA696" s="4">
        <f>=ROUNDDOWN(22.7,0)</f>
      </c>
      <c r="AB696" s="5">
        <v>10</v>
      </c>
      <c r="AC696" s="2" t="s">
        <v>114</v>
      </c>
      <c r="AD696" s="4">
        <v>200</v>
      </c>
      <c r="AE696" s="4">
        <v>350</v>
      </c>
      <c r="AF696" s="6">
        <v>65</v>
      </c>
      <c r="AG696" s="6"/>
      <c r="AH696" s="7">
        <v>1</v>
      </c>
      <c r="AI696" s="4"/>
      <c r="AJ696" s="4">
        <f>=ROUNDDOWN({0},0)</f>
      </c>
      <c r="AK696" s="5"/>
      <c r="AL696" s="2" t="s">
        <v>206</v>
      </c>
      <c r="AM696" s="4"/>
      <c r="AN696" s="4"/>
      <c r="AO696" s="7"/>
      <c r="AP696" s="4"/>
      <c r="AQ696" s="8"/>
      <c r="AR696" s="4"/>
      <c r="AS696" s="8"/>
      <c r="AT696" s="7"/>
      <c r="AU696" s="7"/>
      <c r="AV696" s="4" t="s">
        <v>206</v>
      </c>
      <c r="AW696" s="8" t="s">
        <v>206</v>
      </c>
      <c r="AX696" s="4" t="s">
        <v>206</v>
      </c>
      <c r="AY696" s="8" t="s">
        <v>206</v>
      </c>
      <c r="AZ696" s="7" t="s">
        <v>206</v>
      </c>
      <c r="BA696" s="7" t="s">
        <v>206</v>
      </c>
      <c r="BB696" s="7"/>
      <c r="BC696" s="4" t="s">
        <v>206</v>
      </c>
      <c r="BD696" s="8" t="s">
        <v>206</v>
      </c>
      <c r="BE696" s="4" t="s">
        <v>206</v>
      </c>
      <c r="BF696" s="8" t="s">
        <v>206</v>
      </c>
      <c r="BG696" s="7" t="s">
        <v>206</v>
      </c>
      <c r="BH696" s="7" t="s">
        <v>206</v>
      </c>
      <c r="BI696" s="7"/>
      <c r="BJ696" s="4">
        <v>75</v>
      </c>
      <c r="BK696" s="8">
        <v>1375.66</v>
      </c>
      <c r="BL696" s="2" t="s">
        <v>1924</v>
      </c>
      <c r="BM696" s="7"/>
      <c r="BN696" s="7"/>
      <c r="BO696" s="4"/>
      <c r="BP696" s="8"/>
      <c r="BQ696" s="4"/>
      <c r="BR696" s="8"/>
      <c r="BS696" s="7"/>
      <c r="BT696" s="7"/>
      <c r="BU696" s="2" t="s">
        <v>4426</v>
      </c>
      <c r="BV696" s="2" t="s">
        <v>206</v>
      </c>
      <c r="BW696" s="2" t="s">
        <v>206</v>
      </c>
      <c r="BX696" s="2" t="s">
        <v>214</v>
      </c>
      <c r="BY696" s="2" t="s">
        <v>215</v>
      </c>
      <c r="BZ696" s="2" t="s">
        <v>203</v>
      </c>
      <c r="CA696" s="2" t="s">
        <v>2580</v>
      </c>
      <c r="CB696" s="2" t="s">
        <v>3529</v>
      </c>
      <c r="CC696" s="2" t="s">
        <v>218</v>
      </c>
      <c r="CD696" s="2" t="s">
        <v>206</v>
      </c>
      <c r="CE696" s="4">
        <v>227</v>
      </c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>
        <v>200</v>
      </c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  <c r="DQ696" s="4"/>
      <c r="DR696" s="4"/>
      <c r="DS696" s="4"/>
      <c r="DT696" s="4"/>
      <c r="DU696" s="4"/>
      <c r="DV696" s="4"/>
      <c r="DW696" s="4"/>
      <c r="DX696" s="4"/>
      <c r="DY696" s="4"/>
      <c r="DZ696" s="4"/>
      <c r="EA696" s="4"/>
      <c r="EB696" s="4"/>
      <c r="EC696" s="4"/>
      <c r="ED696" s="4"/>
      <c r="EE696" s="4"/>
      <c r="EF696" s="4"/>
      <c r="EG696" s="4"/>
      <c r="EH696" s="4"/>
      <c r="EI696" s="4"/>
      <c r="EJ696" s="4"/>
      <c r="EK696" s="4"/>
      <c r="EL696" s="4"/>
      <c r="EM696" s="4"/>
      <c r="EN696" s="4"/>
      <c r="EO696" s="4"/>
      <c r="EP696" s="4"/>
      <c r="EQ696" s="4"/>
      <c r="ER696" s="4"/>
      <c r="ES696" s="4"/>
      <c r="ET696" s="4"/>
      <c r="EU696" s="4"/>
      <c r="EV696" s="4"/>
      <c r="EW696" s="4"/>
      <c r="EX696" s="4"/>
      <c r="EY696" s="4"/>
      <c r="EZ696" s="4"/>
      <c r="FA696" s="4"/>
      <c r="FB696" s="4"/>
      <c r="FC696" s="4"/>
      <c r="FD696" s="4"/>
      <c r="FE696" s="4"/>
      <c r="FF696" s="4"/>
      <c r="FG696" s="4"/>
      <c r="FH696" s="4"/>
      <c r="FI696" s="4">
        <v>150</v>
      </c>
      <c r="FJ696" s="4"/>
      <c r="FK696" s="4"/>
      <c r="FL696" s="4"/>
      <c r="FM696" s="4"/>
      <c r="FN696" s="4"/>
      <c r="FO696" s="4"/>
      <c r="FP696" s="4"/>
      <c r="FQ696" s="4"/>
      <c r="FR696" s="4"/>
      <c r="FS696" s="4"/>
      <c r="FT696" s="4"/>
      <c r="FU696" s="4"/>
      <c r="FV696" s="4"/>
      <c r="FW696" s="4"/>
      <c r="FX696" s="4"/>
      <c r="FY696" s="4"/>
      <c r="FZ696" s="4"/>
      <c r="GA696" s="4"/>
      <c r="GB696" s="4"/>
      <c r="GC696" s="4"/>
      <c r="GD696" s="4"/>
      <c r="GE696" s="4"/>
      <c r="GF696" s="4"/>
    </row>
    <row r="697">
      <c r="A697" s="2" t="s">
        <v>4427</v>
      </c>
      <c r="B697" s="2" t="s">
        <v>800</v>
      </c>
      <c r="C697" s="2" t="s">
        <v>226</v>
      </c>
      <c r="D697" s="2" t="s">
        <v>529</v>
      </c>
      <c r="E697" s="2" t="s">
        <v>1134</v>
      </c>
      <c r="F697" s="2" t="s">
        <v>4417</v>
      </c>
      <c r="G697" s="2" t="s">
        <v>4418</v>
      </c>
      <c r="H697" s="2" t="s">
        <v>4418</v>
      </c>
      <c r="I697" s="2" t="s">
        <v>4419</v>
      </c>
      <c r="J697" s="2" t="s">
        <v>582</v>
      </c>
      <c r="K697" s="2" t="s">
        <v>696</v>
      </c>
      <c r="L697" s="3">
        <v>30</v>
      </c>
      <c r="M697" s="3">
        <v>31.5</v>
      </c>
      <c r="N697" s="3">
        <v>59.99</v>
      </c>
      <c r="O697" s="2" t="s">
        <v>203</v>
      </c>
      <c r="P697" s="2" t="s">
        <v>204</v>
      </c>
      <c r="Q697" s="2" t="s">
        <v>205</v>
      </c>
      <c r="R697" s="2" t="s">
        <v>206</v>
      </c>
      <c r="S697" s="2" t="s">
        <v>4425</v>
      </c>
      <c r="T697" s="2" t="s">
        <v>292</v>
      </c>
      <c r="U697" s="2" t="s">
        <v>556</v>
      </c>
      <c r="V697" s="2" t="s">
        <v>698</v>
      </c>
      <c r="W697" s="2" t="s">
        <v>1152</v>
      </c>
      <c r="X697" s="2" t="s">
        <v>206</v>
      </c>
      <c r="Y697" s="2" t="s">
        <v>1020</v>
      </c>
      <c r="Z697" s="4">
        <v>249</v>
      </c>
      <c r="AA697" s="4">
        <f>=ROUNDDOWN(31.125,0)</f>
      </c>
      <c r="AB697" s="5">
        <v>8</v>
      </c>
      <c r="AC697" s="2" t="s">
        <v>114</v>
      </c>
      <c r="AD697" s="4">
        <v>180</v>
      </c>
      <c r="AE697" s="4">
        <v>225</v>
      </c>
      <c r="AF697" s="6">
        <v>65</v>
      </c>
      <c r="AG697" s="6"/>
      <c r="AH697" s="7">
        <v>1</v>
      </c>
      <c r="AI697" s="4"/>
      <c r="AJ697" s="4">
        <f>=ROUNDDOWN({0},0)</f>
      </c>
      <c r="AK697" s="5"/>
      <c r="AL697" s="2" t="s">
        <v>206</v>
      </c>
      <c r="AM697" s="4"/>
      <c r="AN697" s="4"/>
      <c r="AO697" s="7"/>
      <c r="AP697" s="4"/>
      <c r="AQ697" s="8"/>
      <c r="AR697" s="4"/>
      <c r="AS697" s="8"/>
      <c r="AT697" s="7"/>
      <c r="AU697" s="7"/>
      <c r="AV697" s="4" t="s">
        <v>206</v>
      </c>
      <c r="AW697" s="8" t="s">
        <v>206</v>
      </c>
      <c r="AX697" s="4" t="s">
        <v>206</v>
      </c>
      <c r="AY697" s="8" t="s">
        <v>206</v>
      </c>
      <c r="AZ697" s="7" t="s">
        <v>206</v>
      </c>
      <c r="BA697" s="7" t="s">
        <v>206</v>
      </c>
      <c r="BB697" s="7"/>
      <c r="BC697" s="4" t="s">
        <v>206</v>
      </c>
      <c r="BD697" s="8" t="s">
        <v>206</v>
      </c>
      <c r="BE697" s="4" t="s">
        <v>206</v>
      </c>
      <c r="BF697" s="8" t="s">
        <v>206</v>
      </c>
      <c r="BG697" s="7" t="s">
        <v>206</v>
      </c>
      <c r="BH697" s="7" t="s">
        <v>206</v>
      </c>
      <c r="BI697" s="7"/>
      <c r="BJ697" s="4">
        <v>39</v>
      </c>
      <c r="BK697" s="8">
        <v>1103.92</v>
      </c>
      <c r="BL697" s="2" t="s">
        <v>2110</v>
      </c>
      <c r="BM697" s="7"/>
      <c r="BN697" s="7"/>
      <c r="BO697" s="4"/>
      <c r="BP697" s="8"/>
      <c r="BQ697" s="4"/>
      <c r="BR697" s="8"/>
      <c r="BS697" s="7"/>
      <c r="BT697" s="7"/>
      <c r="BU697" s="2" t="s">
        <v>4428</v>
      </c>
      <c r="BV697" s="2" t="s">
        <v>206</v>
      </c>
      <c r="BW697" s="2" t="s">
        <v>206</v>
      </c>
      <c r="BX697" s="2" t="s">
        <v>214</v>
      </c>
      <c r="BY697" s="2" t="s">
        <v>215</v>
      </c>
      <c r="BZ697" s="2" t="s">
        <v>203</v>
      </c>
      <c r="CA697" s="2" t="s">
        <v>2580</v>
      </c>
      <c r="CB697" s="2" t="s">
        <v>4429</v>
      </c>
      <c r="CC697" s="2" t="s">
        <v>218</v>
      </c>
      <c r="CD697" s="2" t="s">
        <v>206</v>
      </c>
      <c r="CE697" s="4">
        <v>249</v>
      </c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>
        <v>180</v>
      </c>
      <c r="DC697" s="4"/>
      <c r="DD697" s="4"/>
      <c r="DE697" s="4"/>
      <c r="DF697" s="4"/>
      <c r="DG697" s="4"/>
      <c r="DH697" s="4"/>
      <c r="DI697" s="4"/>
      <c r="DJ697" s="4"/>
      <c r="DK697" s="4"/>
      <c r="DL697" s="4"/>
      <c r="DM697" s="4"/>
      <c r="DN697" s="4"/>
      <c r="DO697" s="4"/>
      <c r="DP697" s="4"/>
      <c r="DQ697" s="4"/>
      <c r="DR697" s="4"/>
      <c r="DS697" s="4"/>
      <c r="DT697" s="4"/>
      <c r="DU697" s="4"/>
      <c r="DV697" s="4"/>
      <c r="DW697" s="4"/>
      <c r="DX697" s="4"/>
      <c r="DY697" s="4"/>
      <c r="DZ697" s="4"/>
      <c r="EA697" s="4"/>
      <c r="EB697" s="4"/>
      <c r="EC697" s="4"/>
      <c r="ED697" s="4"/>
      <c r="EE697" s="4"/>
      <c r="EF697" s="4"/>
      <c r="EG697" s="4"/>
      <c r="EH697" s="4"/>
      <c r="EI697" s="4"/>
      <c r="EJ697" s="4"/>
      <c r="EK697" s="4"/>
      <c r="EL697" s="4"/>
      <c r="EM697" s="4"/>
      <c r="EN697" s="4"/>
      <c r="EO697" s="4"/>
      <c r="EP697" s="4"/>
      <c r="EQ697" s="4"/>
      <c r="ER697" s="4"/>
      <c r="ES697" s="4"/>
      <c r="ET697" s="4"/>
      <c r="EU697" s="4"/>
      <c r="EV697" s="4"/>
      <c r="EW697" s="4"/>
      <c r="EX697" s="4"/>
      <c r="EY697" s="4"/>
      <c r="EZ697" s="4"/>
      <c r="FA697" s="4"/>
      <c r="FB697" s="4"/>
      <c r="FC697" s="4"/>
      <c r="FD697" s="4"/>
      <c r="FE697" s="4"/>
      <c r="FF697" s="4"/>
      <c r="FG697" s="4"/>
      <c r="FH697" s="4"/>
      <c r="FI697" s="4">
        <v>45</v>
      </c>
      <c r="FJ697" s="4"/>
      <c r="FK697" s="4"/>
      <c r="FL697" s="4"/>
      <c r="FM697" s="4"/>
      <c r="FN697" s="4"/>
      <c r="FO697" s="4"/>
      <c r="FP697" s="4"/>
      <c r="FQ697" s="4"/>
      <c r="FR697" s="4"/>
      <c r="FS697" s="4"/>
      <c r="FT697" s="4"/>
      <c r="FU697" s="4"/>
      <c r="FV697" s="4"/>
      <c r="FW697" s="4"/>
      <c r="FX697" s="4"/>
      <c r="FY697" s="4"/>
      <c r="FZ697" s="4"/>
      <c r="GA697" s="4"/>
      <c r="GB697" s="4"/>
      <c r="GC697" s="4"/>
      <c r="GD697" s="4"/>
      <c r="GE697" s="4"/>
      <c r="GF697" s="4"/>
    </row>
    <row r="698">
      <c r="A698" s="2" t="s">
        <v>4430</v>
      </c>
      <c r="B698" s="2" t="s">
        <v>800</v>
      </c>
      <c r="C698" s="2" t="s">
        <v>226</v>
      </c>
      <c r="D698" s="2" t="s">
        <v>529</v>
      </c>
      <c r="E698" s="2" t="s">
        <v>1134</v>
      </c>
      <c r="F698" s="2" t="s">
        <v>4417</v>
      </c>
      <c r="G698" s="2" t="s">
        <v>4418</v>
      </c>
      <c r="H698" s="2" t="s">
        <v>4418</v>
      </c>
      <c r="I698" s="2" t="s">
        <v>4419</v>
      </c>
      <c r="J698" s="2" t="s">
        <v>582</v>
      </c>
      <c r="K698" s="2" t="s">
        <v>674</v>
      </c>
      <c r="L698" s="3">
        <v>30</v>
      </c>
      <c r="M698" s="3">
        <v>31.5</v>
      </c>
      <c r="N698" s="3">
        <v>59.99</v>
      </c>
      <c r="O698" s="2" t="s">
        <v>203</v>
      </c>
      <c r="P698" s="2" t="s">
        <v>773</v>
      </c>
      <c r="Q698" s="2" t="s">
        <v>205</v>
      </c>
      <c r="R698" s="2" t="s">
        <v>206</v>
      </c>
      <c r="S698" s="2" t="s">
        <v>4431</v>
      </c>
      <c r="T698" s="2" t="s">
        <v>292</v>
      </c>
      <c r="U698" s="2" t="s">
        <v>556</v>
      </c>
      <c r="V698" s="2" t="s">
        <v>698</v>
      </c>
      <c r="W698" s="2" t="s">
        <v>1152</v>
      </c>
      <c r="X698" s="2" t="s">
        <v>206</v>
      </c>
      <c r="Y698" s="2" t="s">
        <v>1020</v>
      </c>
      <c r="Z698" s="4">
        <v>261</v>
      </c>
      <c r="AA698" s="4">
        <f>=ROUNDDOWN(32.625,0)</f>
      </c>
      <c r="AB698" s="5">
        <v>8</v>
      </c>
      <c r="AC698" s="2" t="s">
        <v>114</v>
      </c>
      <c r="AD698" s="4">
        <v>50</v>
      </c>
      <c r="AE698" s="4">
        <v>330</v>
      </c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206</v>
      </c>
      <c r="AM698" s="4"/>
      <c r="AN698" s="4"/>
      <c r="AO698" s="7"/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 t="s">
        <v>206</v>
      </c>
      <c r="BD698" s="8" t="s">
        <v>206</v>
      </c>
      <c r="BE698" s="4" t="s">
        <v>206</v>
      </c>
      <c r="BF698" s="8" t="s">
        <v>206</v>
      </c>
      <c r="BG698" s="7" t="s">
        <v>206</v>
      </c>
      <c r="BH698" s="7" t="s">
        <v>206</v>
      </c>
      <c r="BI698" s="7"/>
      <c r="BJ698" s="4">
        <v>45</v>
      </c>
      <c r="BK698" s="8">
        <v>1309.45</v>
      </c>
      <c r="BL698" s="2" t="s">
        <v>4432</v>
      </c>
      <c r="BM698" s="7"/>
      <c r="BN698" s="7"/>
      <c r="BO698" s="4"/>
      <c r="BP698" s="8"/>
      <c r="BQ698" s="4"/>
      <c r="BR698" s="8"/>
      <c r="BS698" s="7"/>
      <c r="BT698" s="7"/>
      <c r="BU698" s="2" t="s">
        <v>4433</v>
      </c>
      <c r="BV698" s="2" t="s">
        <v>206</v>
      </c>
      <c r="BW698" s="2" t="s">
        <v>206</v>
      </c>
      <c r="BX698" s="2" t="s">
        <v>214</v>
      </c>
      <c r="BY698" s="2" t="s">
        <v>215</v>
      </c>
      <c r="BZ698" s="2" t="s">
        <v>203</v>
      </c>
      <c r="CA698" s="2" t="s">
        <v>2580</v>
      </c>
      <c r="CB698" s="2" t="s">
        <v>1839</v>
      </c>
      <c r="CC698" s="2" t="s">
        <v>218</v>
      </c>
      <c r="CD698" s="2" t="s">
        <v>206</v>
      </c>
      <c r="CE698" s="4">
        <v>261</v>
      </c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>
        <v>50</v>
      </c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  <c r="DV698" s="4"/>
      <c r="DW698" s="4"/>
      <c r="DX698" s="4">
        <v>80</v>
      </c>
      <c r="DY698" s="4"/>
      <c r="DZ698" s="4"/>
      <c r="EA698" s="4"/>
      <c r="EB698" s="4"/>
      <c r="EC698" s="4"/>
      <c r="ED698" s="4"/>
      <c r="EE698" s="4"/>
      <c r="EF698" s="4"/>
      <c r="EG698" s="4"/>
      <c r="EH698" s="4"/>
      <c r="EI698" s="4"/>
      <c r="EJ698" s="4"/>
      <c r="EK698" s="4"/>
      <c r="EL698" s="4"/>
      <c r="EM698" s="4"/>
      <c r="EN698" s="4"/>
      <c r="EO698" s="4"/>
      <c r="EP698" s="4"/>
      <c r="EQ698" s="4">
        <v>120</v>
      </c>
      <c r="ER698" s="4"/>
      <c r="ES698" s="4"/>
      <c r="ET698" s="4"/>
      <c r="EU698" s="4"/>
      <c r="EV698" s="4"/>
      <c r="EW698" s="4"/>
      <c r="EX698" s="4"/>
      <c r="EY698" s="4"/>
      <c r="EZ698" s="4"/>
      <c r="FA698" s="4"/>
      <c r="FB698" s="4"/>
      <c r="FC698" s="4"/>
      <c r="FD698" s="4"/>
      <c r="FE698" s="4"/>
      <c r="FF698" s="4"/>
      <c r="FG698" s="4"/>
      <c r="FH698" s="4"/>
      <c r="FI698" s="4"/>
      <c r="FJ698" s="4"/>
      <c r="FK698" s="4"/>
      <c r="FL698" s="4"/>
      <c r="FM698" s="4"/>
      <c r="FN698" s="4"/>
      <c r="FO698" s="4"/>
      <c r="FP698" s="4"/>
      <c r="FQ698" s="4"/>
      <c r="FR698" s="4"/>
      <c r="FS698" s="4"/>
      <c r="FT698" s="4"/>
      <c r="FU698" s="4"/>
      <c r="FV698" s="4"/>
      <c r="FW698" s="4"/>
      <c r="FX698" s="4"/>
      <c r="FY698" s="4"/>
      <c r="FZ698" s="4"/>
      <c r="GA698" s="4">
        <v>80</v>
      </c>
      <c r="GB698" s="4"/>
      <c r="GC698" s="4"/>
      <c r="GD698" s="4"/>
      <c r="GE698" s="4"/>
      <c r="GF698" s="4"/>
    </row>
    <row r="699">
      <c r="A699" s="2" t="s">
        <v>4434</v>
      </c>
      <c r="B699" s="2" t="s">
        <v>429</v>
      </c>
      <c r="C699" s="2" t="s">
        <v>462</v>
      </c>
      <c r="D699" s="2" t="s">
        <v>895</v>
      </c>
      <c r="E699" s="2" t="s">
        <v>2171</v>
      </c>
      <c r="F699" s="2" t="s">
        <v>4435</v>
      </c>
      <c r="G699" s="2" t="s">
        <v>4435</v>
      </c>
      <c r="H699" s="2" t="s">
        <v>4435</v>
      </c>
      <c r="I699" s="2" t="s">
        <v>4436</v>
      </c>
      <c r="J699" s="2" t="s">
        <v>434</v>
      </c>
      <c r="K699" s="2" t="s">
        <v>4437</v>
      </c>
      <c r="L699" s="3">
        <v>52.38</v>
      </c>
      <c r="M699" s="3">
        <v>55</v>
      </c>
      <c r="N699" s="3">
        <v>109.99</v>
      </c>
      <c r="O699" s="2" t="s">
        <v>203</v>
      </c>
      <c r="P699" s="2" t="s">
        <v>467</v>
      </c>
      <c r="Q699" s="2" t="s">
        <v>205</v>
      </c>
      <c r="R699" s="2" t="s">
        <v>206</v>
      </c>
      <c r="S699" s="2" t="s">
        <v>206</v>
      </c>
      <c r="T699" s="2" t="s">
        <v>206</v>
      </c>
      <c r="U699" s="2" t="s">
        <v>437</v>
      </c>
      <c r="V699" s="2" t="s">
        <v>438</v>
      </c>
      <c r="W699" s="2" t="s">
        <v>439</v>
      </c>
      <c r="X699" s="2" t="s">
        <v>586</v>
      </c>
      <c r="Y699" s="2" t="s">
        <v>4096</v>
      </c>
      <c r="Z699" s="4">
        <v>35</v>
      </c>
      <c r="AA699" s="4">
        <f>=ROUNDDOWN(17.5,0)</f>
      </c>
      <c r="AB699" s="5">
        <v>2</v>
      </c>
      <c r="AC699" s="2" t="s">
        <v>206</v>
      </c>
      <c r="AD699" s="4"/>
      <c r="AE699" s="4"/>
      <c r="AF699" s="6">
        <v>63</v>
      </c>
      <c r="AG699" s="6"/>
      <c r="AH699" s="7">
        <v>1</v>
      </c>
      <c r="AI699" s="4"/>
      <c r="AJ699" s="4">
        <f>=ROUNDDOWN({0},0)</f>
      </c>
      <c r="AK699" s="5"/>
      <c r="AL699" s="2" t="s">
        <v>206</v>
      </c>
      <c r="AM699" s="4"/>
      <c r="AN699" s="4"/>
      <c r="AO699" s="7"/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/>
      <c r="BD699" s="8"/>
      <c r="BE699" s="4"/>
      <c r="BF699" s="8"/>
      <c r="BG699" s="7"/>
      <c r="BH699" s="7"/>
      <c r="BI699" s="7"/>
      <c r="BJ699" s="4">
        <v>9</v>
      </c>
      <c r="BK699" s="8">
        <v>510.95</v>
      </c>
      <c r="BL699" s="2" t="s">
        <v>4438</v>
      </c>
      <c r="BM699" s="7"/>
      <c r="BN699" s="7"/>
      <c r="BO699" s="4"/>
      <c r="BP699" s="8"/>
      <c r="BQ699" s="4"/>
      <c r="BR699" s="8"/>
      <c r="BS699" s="7"/>
      <c r="BT699" s="7"/>
      <c r="BU699" s="2" t="s">
        <v>4439</v>
      </c>
      <c r="BV699" s="2" t="s">
        <v>206</v>
      </c>
      <c r="BW699" s="2" t="s">
        <v>206</v>
      </c>
      <c r="BX699" s="2" t="s">
        <v>214</v>
      </c>
      <c r="BY699" s="2" t="s">
        <v>215</v>
      </c>
      <c r="BZ699" s="2" t="s">
        <v>203</v>
      </c>
      <c r="CA699" s="2" t="s">
        <v>1304</v>
      </c>
      <c r="CB699" s="2" t="s">
        <v>1446</v>
      </c>
      <c r="CC699" s="2" t="s">
        <v>218</v>
      </c>
      <c r="CD699" s="2" t="s">
        <v>206</v>
      </c>
      <c r="CE699" s="4"/>
      <c r="CF699" s="4">
        <v>35</v>
      </c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  <c r="DN699" s="4"/>
      <c r="DO699" s="4"/>
      <c r="DP699" s="4"/>
      <c r="DQ699" s="4"/>
      <c r="DR699" s="4"/>
      <c r="DS699" s="4"/>
      <c r="DT699" s="4"/>
      <c r="DU699" s="4"/>
      <c r="DV699" s="4"/>
      <c r="DW699" s="4"/>
      <c r="DX699" s="4"/>
      <c r="DY699" s="4"/>
      <c r="DZ699" s="4"/>
      <c r="EA699" s="4"/>
      <c r="EB699" s="4"/>
      <c r="EC699" s="4"/>
      <c r="ED699" s="4"/>
      <c r="EE699" s="4"/>
      <c r="EF699" s="4"/>
      <c r="EG699" s="4"/>
      <c r="EH699" s="4"/>
      <c r="EI699" s="4"/>
      <c r="EJ699" s="4"/>
      <c r="EK699" s="4"/>
      <c r="EL699" s="4"/>
      <c r="EM699" s="4"/>
      <c r="EN699" s="4"/>
      <c r="EO699" s="4"/>
      <c r="EP699" s="4"/>
      <c r="EQ699" s="4"/>
      <c r="ER699" s="4"/>
      <c r="ES699" s="4"/>
      <c r="ET699" s="4"/>
      <c r="EU699" s="4"/>
      <c r="EV699" s="4"/>
      <c r="EW699" s="4"/>
      <c r="EX699" s="4"/>
      <c r="EY699" s="4"/>
      <c r="EZ699" s="4"/>
      <c r="FA699" s="4"/>
      <c r="FB699" s="4"/>
      <c r="FC699" s="4"/>
      <c r="FD699" s="4"/>
      <c r="FE699" s="4"/>
      <c r="FF699" s="4"/>
      <c r="FG699" s="4"/>
      <c r="FH699" s="4"/>
      <c r="FI699" s="4"/>
      <c r="FJ699" s="4"/>
      <c r="FK699" s="4"/>
      <c r="FL699" s="4"/>
      <c r="FM699" s="4"/>
      <c r="FN699" s="4"/>
      <c r="FO699" s="4"/>
      <c r="FP699" s="4"/>
      <c r="FQ699" s="4"/>
      <c r="FR699" s="4"/>
      <c r="FS699" s="4"/>
      <c r="FT699" s="4"/>
      <c r="FU699" s="4"/>
      <c r="FV699" s="4"/>
      <c r="FW699" s="4"/>
      <c r="FX699" s="4"/>
      <c r="FY699" s="4"/>
      <c r="FZ699" s="4"/>
      <c r="GA699" s="4"/>
      <c r="GB699" s="4"/>
      <c r="GC699" s="4"/>
      <c r="GD699" s="4"/>
      <c r="GE699" s="4"/>
      <c r="GF699" s="4"/>
    </row>
    <row r="700">
      <c r="A700" s="2" t="s">
        <v>4440</v>
      </c>
      <c r="B700" s="2" t="s">
        <v>225</v>
      </c>
      <c r="C700" s="2" t="s">
        <v>287</v>
      </c>
      <c r="D700" s="2" t="s">
        <v>227</v>
      </c>
      <c r="E700" s="2" t="s">
        <v>228</v>
      </c>
      <c r="F700" s="2" t="s">
        <v>4441</v>
      </c>
      <c r="G700" s="2" t="s">
        <v>4441</v>
      </c>
      <c r="H700" s="2" t="s">
        <v>4441</v>
      </c>
      <c r="I700" s="2" t="s">
        <v>4442</v>
      </c>
      <c r="J700" s="2" t="s">
        <v>201</v>
      </c>
      <c r="K700" s="2" t="s">
        <v>583</v>
      </c>
      <c r="L700" s="3">
        <v>21.6</v>
      </c>
      <c r="M700" s="3">
        <v>22.68</v>
      </c>
      <c r="N700" s="3">
        <v>47.99</v>
      </c>
      <c r="O700" s="2" t="s">
        <v>203</v>
      </c>
      <c r="P700" s="2" t="s">
        <v>204</v>
      </c>
      <c r="Q700" s="2" t="s">
        <v>205</v>
      </c>
      <c r="R700" s="2" t="s">
        <v>206</v>
      </c>
      <c r="S700" s="2" t="s">
        <v>4443</v>
      </c>
      <c r="T700" s="2" t="s">
        <v>234</v>
      </c>
      <c r="U700" s="2" t="s">
        <v>556</v>
      </c>
      <c r="V700" s="2" t="s">
        <v>209</v>
      </c>
      <c r="W700" s="2" t="s">
        <v>210</v>
      </c>
      <c r="X700" s="2" t="s">
        <v>206</v>
      </c>
      <c r="Y700" s="2" t="s">
        <v>1360</v>
      </c>
      <c r="Z700" s="4">
        <v>74</v>
      </c>
      <c r="AA700" s="4">
        <f>=ROUNDDOWN(37,0)</f>
      </c>
      <c r="AB700" s="5">
        <v>2</v>
      </c>
      <c r="AC700" s="2" t="s">
        <v>149</v>
      </c>
      <c r="AD700" s="4">
        <v>50</v>
      </c>
      <c r="AE700" s="4">
        <v>90</v>
      </c>
      <c r="AF700" s="6">
        <v>65</v>
      </c>
      <c r="AG700" s="6"/>
      <c r="AH700" s="7">
        <v>1</v>
      </c>
      <c r="AI700" s="4"/>
      <c r="AJ700" s="4">
        <f>=ROUNDDOWN({0},0)</f>
      </c>
      <c r="AK700" s="5"/>
      <c r="AL700" s="2" t="s">
        <v>206</v>
      </c>
      <c r="AM700" s="4"/>
      <c r="AN700" s="4"/>
      <c r="AO700" s="7"/>
      <c r="AP700" s="4"/>
      <c r="AQ700" s="8"/>
      <c r="AR700" s="4"/>
      <c r="AS700" s="8"/>
      <c r="AT700" s="7"/>
      <c r="AU700" s="7"/>
      <c r="AV700" s="4" t="s">
        <v>206</v>
      </c>
      <c r="AW700" s="8" t="s">
        <v>206</v>
      </c>
      <c r="AX700" s="4" t="s">
        <v>206</v>
      </c>
      <c r="AY700" s="8" t="s">
        <v>206</v>
      </c>
      <c r="AZ700" s="7" t="s">
        <v>206</v>
      </c>
      <c r="BA700" s="7" t="s">
        <v>206</v>
      </c>
      <c r="BB700" s="7"/>
      <c r="BC700" s="4" t="s">
        <v>206</v>
      </c>
      <c r="BD700" s="8" t="s">
        <v>206</v>
      </c>
      <c r="BE700" s="4" t="s">
        <v>206</v>
      </c>
      <c r="BF700" s="8" t="s">
        <v>206</v>
      </c>
      <c r="BG700" s="7" t="s">
        <v>206</v>
      </c>
      <c r="BH700" s="7" t="s">
        <v>206</v>
      </c>
      <c r="BI700" s="7"/>
      <c r="BJ700" s="4">
        <v>8</v>
      </c>
      <c r="BK700" s="8">
        <v>194.46</v>
      </c>
      <c r="BL700" s="2" t="s">
        <v>380</v>
      </c>
      <c r="BM700" s="7"/>
      <c r="BN700" s="7"/>
      <c r="BO700" s="4"/>
      <c r="BP700" s="8"/>
      <c r="BQ700" s="4"/>
      <c r="BR700" s="8"/>
      <c r="BS700" s="7"/>
      <c r="BT700" s="7"/>
      <c r="BU700" s="2" t="s">
        <v>4444</v>
      </c>
      <c r="BV700" s="2" t="s">
        <v>206</v>
      </c>
      <c r="BW700" s="2" t="s">
        <v>206</v>
      </c>
      <c r="BX700" s="2" t="s">
        <v>214</v>
      </c>
      <c r="BY700" s="2" t="s">
        <v>215</v>
      </c>
      <c r="BZ700" s="2" t="s">
        <v>203</v>
      </c>
      <c r="CA700" s="2" t="s">
        <v>1232</v>
      </c>
      <c r="CB700" s="2" t="s">
        <v>4445</v>
      </c>
      <c r="CC700" s="2" t="s">
        <v>218</v>
      </c>
      <c r="CD700" s="2" t="s">
        <v>206</v>
      </c>
      <c r="CE700" s="4">
        <v>74</v>
      </c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  <c r="DW700" s="4"/>
      <c r="DX700" s="4"/>
      <c r="DY700" s="4"/>
      <c r="DZ700" s="4"/>
      <c r="EA700" s="4"/>
      <c r="EB700" s="4"/>
      <c r="EC700" s="4"/>
      <c r="ED700" s="4"/>
      <c r="EE700" s="4"/>
      <c r="EF700" s="4"/>
      <c r="EG700" s="4"/>
      <c r="EH700" s="4"/>
      <c r="EI700" s="4"/>
      <c r="EJ700" s="4"/>
      <c r="EK700" s="4">
        <v>50</v>
      </c>
      <c r="EL700" s="4"/>
      <c r="EM700" s="4"/>
      <c r="EN700" s="4"/>
      <c r="EO700" s="4"/>
      <c r="EP700" s="4"/>
      <c r="EQ700" s="4"/>
      <c r="ER700" s="4"/>
      <c r="ES700" s="4"/>
      <c r="ET700" s="4"/>
      <c r="EU700" s="4"/>
      <c r="EV700" s="4"/>
      <c r="EW700" s="4"/>
      <c r="EX700" s="4"/>
      <c r="EY700" s="4"/>
      <c r="EZ700" s="4"/>
      <c r="FA700" s="4">
        <v>40</v>
      </c>
      <c r="FB700" s="4"/>
      <c r="FC700" s="4"/>
      <c r="FD700" s="4"/>
      <c r="FE700" s="4"/>
      <c r="FF700" s="4"/>
      <c r="FG700" s="4"/>
      <c r="FH700" s="4"/>
      <c r="FI700" s="4"/>
      <c r="FJ700" s="4"/>
      <c r="FK700" s="4"/>
      <c r="FL700" s="4"/>
      <c r="FM700" s="4"/>
      <c r="FN700" s="4"/>
      <c r="FO700" s="4"/>
      <c r="FP700" s="4"/>
      <c r="FQ700" s="4"/>
      <c r="FR700" s="4"/>
      <c r="FS700" s="4"/>
      <c r="FT700" s="4"/>
      <c r="FU700" s="4"/>
      <c r="FV700" s="4"/>
      <c r="FW700" s="4"/>
      <c r="FX700" s="4"/>
      <c r="FY700" s="4"/>
      <c r="FZ700" s="4"/>
      <c r="GA700" s="4"/>
      <c r="GB700" s="4"/>
      <c r="GC700" s="4"/>
      <c r="GD700" s="4"/>
      <c r="GE700" s="4"/>
      <c r="GF700" s="4"/>
    </row>
    <row r="701">
      <c r="A701" s="2" t="s">
        <v>4446</v>
      </c>
      <c r="B701" s="2" t="s">
        <v>225</v>
      </c>
      <c r="C701" s="2" t="s">
        <v>287</v>
      </c>
      <c r="D701" s="2" t="s">
        <v>227</v>
      </c>
      <c r="E701" s="2" t="s">
        <v>228</v>
      </c>
      <c r="F701" s="2" t="s">
        <v>4441</v>
      </c>
      <c r="G701" s="2" t="s">
        <v>4441</v>
      </c>
      <c r="H701" s="2" t="s">
        <v>4441</v>
      </c>
      <c r="I701" s="2" t="s">
        <v>4442</v>
      </c>
      <c r="J701" s="2" t="s">
        <v>220</v>
      </c>
      <c r="K701" s="2" t="s">
        <v>583</v>
      </c>
      <c r="L701" s="3">
        <v>27</v>
      </c>
      <c r="M701" s="3">
        <v>28.35</v>
      </c>
      <c r="N701" s="3">
        <v>59.99</v>
      </c>
      <c r="O701" s="2" t="s">
        <v>203</v>
      </c>
      <c r="P701" s="2" t="s">
        <v>204</v>
      </c>
      <c r="Q701" s="2" t="s">
        <v>205</v>
      </c>
      <c r="R701" s="2" t="s">
        <v>206</v>
      </c>
      <c r="S701" s="2" t="s">
        <v>4443</v>
      </c>
      <c r="T701" s="2" t="s">
        <v>234</v>
      </c>
      <c r="U701" s="2" t="s">
        <v>235</v>
      </c>
      <c r="V701" s="2" t="s">
        <v>209</v>
      </c>
      <c r="W701" s="2" t="s">
        <v>210</v>
      </c>
      <c r="X701" s="2" t="s">
        <v>206</v>
      </c>
      <c r="Y701" s="2" t="s">
        <v>1360</v>
      </c>
      <c r="Z701" s="4">
        <v>54</v>
      </c>
      <c r="AA701" s="4">
        <f>=ROUNDDOWN(22.5,0)</f>
      </c>
      <c r="AB701" s="5">
        <v>2.4</v>
      </c>
      <c r="AC701" s="2" t="s">
        <v>112</v>
      </c>
      <c r="AD701" s="4">
        <v>3</v>
      </c>
      <c r="AE701" s="4">
        <v>123</v>
      </c>
      <c r="AF701" s="6">
        <v>65</v>
      </c>
      <c r="AG701" s="6"/>
      <c r="AH701" s="7">
        <v>1</v>
      </c>
      <c r="AI701" s="4"/>
      <c r="AJ701" s="4">
        <f>=ROUNDDOWN({0},0)</f>
      </c>
      <c r="AK701" s="5"/>
      <c r="AL701" s="2" t="s">
        <v>206</v>
      </c>
      <c r="AM701" s="4"/>
      <c r="AN701" s="4"/>
      <c r="AO701" s="7"/>
      <c r="AP701" s="4"/>
      <c r="AQ701" s="8"/>
      <c r="AR701" s="4"/>
      <c r="AS701" s="8"/>
      <c r="AT701" s="7"/>
      <c r="AU701" s="7"/>
      <c r="AV701" s="4" t="s">
        <v>206</v>
      </c>
      <c r="AW701" s="8" t="s">
        <v>206</v>
      </c>
      <c r="AX701" s="4" t="s">
        <v>206</v>
      </c>
      <c r="AY701" s="8" t="s">
        <v>206</v>
      </c>
      <c r="AZ701" s="7" t="s">
        <v>206</v>
      </c>
      <c r="BA701" s="7" t="s">
        <v>206</v>
      </c>
      <c r="BB701" s="7"/>
      <c r="BC701" s="4" t="s">
        <v>206</v>
      </c>
      <c r="BD701" s="8" t="s">
        <v>206</v>
      </c>
      <c r="BE701" s="4" t="s">
        <v>206</v>
      </c>
      <c r="BF701" s="8" t="s">
        <v>206</v>
      </c>
      <c r="BG701" s="7" t="s">
        <v>206</v>
      </c>
      <c r="BH701" s="7" t="s">
        <v>206</v>
      </c>
      <c r="BI701" s="7"/>
      <c r="BJ701" s="4">
        <v>8</v>
      </c>
      <c r="BK701" s="8">
        <v>235.21</v>
      </c>
      <c r="BL701" s="2" t="s">
        <v>4447</v>
      </c>
      <c r="BM701" s="7"/>
      <c r="BN701" s="7"/>
      <c r="BO701" s="4"/>
      <c r="BP701" s="8"/>
      <c r="BQ701" s="4"/>
      <c r="BR701" s="8"/>
      <c r="BS701" s="7"/>
      <c r="BT701" s="7"/>
      <c r="BU701" s="2" t="s">
        <v>4448</v>
      </c>
      <c r="BV701" s="2" t="s">
        <v>206</v>
      </c>
      <c r="BW701" s="2" t="s">
        <v>206</v>
      </c>
      <c r="BX701" s="2" t="s">
        <v>214</v>
      </c>
      <c r="BY701" s="2" t="s">
        <v>215</v>
      </c>
      <c r="BZ701" s="2" t="s">
        <v>203</v>
      </c>
      <c r="CA701" s="2" t="s">
        <v>1232</v>
      </c>
      <c r="CB701" s="2" t="s">
        <v>4449</v>
      </c>
      <c r="CC701" s="2" t="s">
        <v>218</v>
      </c>
      <c r="CD701" s="2" t="s">
        <v>206</v>
      </c>
      <c r="CE701" s="4">
        <v>54</v>
      </c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>
        <v>3</v>
      </c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/>
      <c r="DW701" s="4"/>
      <c r="DX701" s="4"/>
      <c r="DY701" s="4"/>
      <c r="DZ701" s="4"/>
      <c r="EA701" s="4"/>
      <c r="EB701" s="4"/>
      <c r="EC701" s="4"/>
      <c r="ED701" s="4"/>
      <c r="EE701" s="4"/>
      <c r="EF701" s="4"/>
      <c r="EG701" s="4"/>
      <c r="EH701" s="4"/>
      <c r="EI701" s="4"/>
      <c r="EJ701" s="4"/>
      <c r="EK701" s="4">
        <v>80</v>
      </c>
      <c r="EL701" s="4"/>
      <c r="EM701" s="4"/>
      <c r="EN701" s="4"/>
      <c r="EO701" s="4"/>
      <c r="EP701" s="4"/>
      <c r="EQ701" s="4"/>
      <c r="ER701" s="4"/>
      <c r="ES701" s="4"/>
      <c r="ET701" s="4"/>
      <c r="EU701" s="4"/>
      <c r="EV701" s="4"/>
      <c r="EW701" s="4"/>
      <c r="EX701" s="4"/>
      <c r="EY701" s="4"/>
      <c r="EZ701" s="4"/>
      <c r="FA701" s="4">
        <v>40</v>
      </c>
      <c r="FB701" s="4"/>
      <c r="FC701" s="4"/>
      <c r="FD701" s="4"/>
      <c r="FE701" s="4"/>
      <c r="FF701" s="4"/>
      <c r="FG701" s="4"/>
      <c r="FH701" s="4"/>
      <c r="FI701" s="4"/>
      <c r="FJ701" s="4"/>
      <c r="FK701" s="4"/>
      <c r="FL701" s="4"/>
      <c r="FM701" s="4"/>
      <c r="FN701" s="4"/>
      <c r="FO701" s="4"/>
      <c r="FP701" s="4"/>
      <c r="FQ701" s="4"/>
      <c r="FR701" s="4"/>
      <c r="FS701" s="4"/>
      <c r="FT701" s="4"/>
      <c r="FU701" s="4"/>
      <c r="FV701" s="4"/>
      <c r="FW701" s="4"/>
      <c r="FX701" s="4"/>
      <c r="FY701" s="4"/>
      <c r="FZ701" s="4"/>
      <c r="GA701" s="4"/>
      <c r="GB701" s="4"/>
      <c r="GC701" s="4"/>
      <c r="GD701" s="4"/>
      <c r="GE701" s="4"/>
      <c r="GF701" s="4"/>
    </row>
    <row r="702">
      <c r="A702" s="2" t="s">
        <v>4450</v>
      </c>
      <c r="B702" s="2" t="s">
        <v>225</v>
      </c>
      <c r="C702" s="2" t="s">
        <v>287</v>
      </c>
      <c r="D702" s="2" t="s">
        <v>227</v>
      </c>
      <c r="E702" s="2" t="s">
        <v>228</v>
      </c>
      <c r="F702" s="2" t="s">
        <v>4441</v>
      </c>
      <c r="G702" s="2" t="s">
        <v>4441</v>
      </c>
      <c r="H702" s="2" t="s">
        <v>4441</v>
      </c>
      <c r="I702" s="2" t="s">
        <v>4442</v>
      </c>
      <c r="J702" s="2" t="s">
        <v>231</v>
      </c>
      <c r="K702" s="2" t="s">
        <v>583</v>
      </c>
      <c r="L702" s="3">
        <v>32.2</v>
      </c>
      <c r="M702" s="3">
        <v>33.81</v>
      </c>
      <c r="N702" s="3">
        <v>69.99</v>
      </c>
      <c r="O702" s="2" t="s">
        <v>203</v>
      </c>
      <c r="P702" s="2" t="s">
        <v>204</v>
      </c>
      <c r="Q702" s="2" t="s">
        <v>205</v>
      </c>
      <c r="R702" s="2" t="s">
        <v>206</v>
      </c>
      <c r="S702" s="2" t="s">
        <v>4443</v>
      </c>
      <c r="T702" s="2" t="s">
        <v>234</v>
      </c>
      <c r="U702" s="2" t="s">
        <v>235</v>
      </c>
      <c r="V702" s="2" t="s">
        <v>209</v>
      </c>
      <c r="W702" s="2" t="s">
        <v>210</v>
      </c>
      <c r="X702" s="2" t="s">
        <v>206</v>
      </c>
      <c r="Y702" s="2" t="s">
        <v>1360</v>
      </c>
      <c r="Z702" s="4">
        <v>96</v>
      </c>
      <c r="AA702" s="4">
        <f>=ROUNDDOWN(17.4545454545455,0)</f>
      </c>
      <c r="AB702" s="5">
        <v>5.5</v>
      </c>
      <c r="AC702" s="2" t="s">
        <v>149</v>
      </c>
      <c r="AD702" s="4">
        <v>20</v>
      </c>
      <c r="AE702" s="4">
        <v>40</v>
      </c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206</v>
      </c>
      <c r="AM702" s="4"/>
      <c r="AN702" s="4"/>
      <c r="AO702" s="7"/>
      <c r="AP702" s="4"/>
      <c r="AQ702" s="8"/>
      <c r="AR702" s="4"/>
      <c r="AS702" s="8"/>
      <c r="AT702" s="7"/>
      <c r="AU702" s="7"/>
      <c r="AV702" s="4" t="s">
        <v>206</v>
      </c>
      <c r="AW702" s="8" t="s">
        <v>206</v>
      </c>
      <c r="AX702" s="4" t="s">
        <v>206</v>
      </c>
      <c r="AY702" s="8" t="s">
        <v>206</v>
      </c>
      <c r="AZ702" s="7" t="s">
        <v>206</v>
      </c>
      <c r="BA702" s="7" t="s">
        <v>206</v>
      </c>
      <c r="BB702" s="7"/>
      <c r="BC702" s="4" t="s">
        <v>206</v>
      </c>
      <c r="BD702" s="8" t="s">
        <v>206</v>
      </c>
      <c r="BE702" s="4" t="s">
        <v>206</v>
      </c>
      <c r="BF702" s="8" t="s">
        <v>206</v>
      </c>
      <c r="BG702" s="7" t="s">
        <v>206</v>
      </c>
      <c r="BH702" s="7" t="s">
        <v>206</v>
      </c>
      <c r="BI702" s="7"/>
      <c r="BJ702" s="4">
        <v>16</v>
      </c>
      <c r="BK702" s="8">
        <v>561.25</v>
      </c>
      <c r="BL702" s="2" t="s">
        <v>4451</v>
      </c>
      <c r="BM702" s="7"/>
      <c r="BN702" s="7"/>
      <c r="BO702" s="4"/>
      <c r="BP702" s="8"/>
      <c r="BQ702" s="4"/>
      <c r="BR702" s="8"/>
      <c r="BS702" s="7"/>
      <c r="BT702" s="7"/>
      <c r="BU702" s="2" t="s">
        <v>4452</v>
      </c>
      <c r="BV702" s="2" t="s">
        <v>206</v>
      </c>
      <c r="BW702" s="2" t="s">
        <v>206</v>
      </c>
      <c r="BX702" s="2" t="s">
        <v>214</v>
      </c>
      <c r="BY702" s="2" t="s">
        <v>215</v>
      </c>
      <c r="BZ702" s="2" t="s">
        <v>203</v>
      </c>
      <c r="CA702" s="2" t="s">
        <v>1232</v>
      </c>
      <c r="CB702" s="2" t="s">
        <v>4445</v>
      </c>
      <c r="CC702" s="2" t="s">
        <v>218</v>
      </c>
      <c r="CD702" s="2" t="s">
        <v>206</v>
      </c>
      <c r="CE702" s="4">
        <v>96</v>
      </c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/>
      <c r="DW702" s="4"/>
      <c r="DX702" s="4"/>
      <c r="DY702" s="4"/>
      <c r="DZ702" s="4"/>
      <c r="EA702" s="4"/>
      <c r="EB702" s="4"/>
      <c r="EC702" s="4"/>
      <c r="ED702" s="4"/>
      <c r="EE702" s="4"/>
      <c r="EF702" s="4"/>
      <c r="EG702" s="4"/>
      <c r="EH702" s="4"/>
      <c r="EI702" s="4"/>
      <c r="EJ702" s="4"/>
      <c r="EK702" s="4">
        <v>20</v>
      </c>
      <c r="EL702" s="4"/>
      <c r="EM702" s="4"/>
      <c r="EN702" s="4"/>
      <c r="EO702" s="4"/>
      <c r="EP702" s="4"/>
      <c r="EQ702" s="4"/>
      <c r="ER702" s="4"/>
      <c r="ES702" s="4"/>
      <c r="ET702" s="4"/>
      <c r="EU702" s="4"/>
      <c r="EV702" s="4"/>
      <c r="EW702" s="4"/>
      <c r="EX702" s="4"/>
      <c r="EY702" s="4"/>
      <c r="EZ702" s="4"/>
      <c r="FA702" s="4">
        <v>20</v>
      </c>
      <c r="FB702" s="4"/>
      <c r="FC702" s="4"/>
      <c r="FD702" s="4"/>
      <c r="FE702" s="4"/>
      <c r="FF702" s="4"/>
      <c r="FG702" s="4"/>
      <c r="FH702" s="4"/>
      <c r="FI702" s="4"/>
      <c r="FJ702" s="4"/>
      <c r="FK702" s="4"/>
      <c r="FL702" s="4"/>
      <c r="FM702" s="4"/>
      <c r="FN702" s="4"/>
      <c r="FO702" s="4"/>
      <c r="FP702" s="4"/>
      <c r="FQ702" s="4"/>
      <c r="FR702" s="4"/>
      <c r="FS702" s="4"/>
      <c r="FT702" s="4"/>
      <c r="FU702" s="4"/>
      <c r="FV702" s="4"/>
      <c r="FW702" s="4"/>
      <c r="FX702" s="4"/>
      <c r="FY702" s="4"/>
      <c r="FZ702" s="4"/>
      <c r="GA702" s="4"/>
      <c r="GB702" s="4"/>
      <c r="GC702" s="4"/>
      <c r="GD702" s="4"/>
      <c r="GE702" s="4"/>
      <c r="GF702" s="4"/>
    </row>
    <row r="703">
      <c r="A703" s="2" t="s">
        <v>4453</v>
      </c>
      <c r="B703" s="2" t="s">
        <v>225</v>
      </c>
      <c r="C703" s="2" t="s">
        <v>287</v>
      </c>
      <c r="D703" s="2" t="s">
        <v>227</v>
      </c>
      <c r="E703" s="2" t="s">
        <v>228</v>
      </c>
      <c r="F703" s="2" t="s">
        <v>4441</v>
      </c>
      <c r="G703" s="2" t="s">
        <v>4441</v>
      </c>
      <c r="H703" s="2" t="s">
        <v>4441</v>
      </c>
      <c r="I703" s="2" t="s">
        <v>4442</v>
      </c>
      <c r="J703" s="2" t="s">
        <v>310</v>
      </c>
      <c r="K703" s="2" t="s">
        <v>583</v>
      </c>
      <c r="L703" s="3">
        <v>32.2</v>
      </c>
      <c r="M703" s="3">
        <v>33.81</v>
      </c>
      <c r="N703" s="3">
        <v>69.99</v>
      </c>
      <c r="O703" s="2" t="s">
        <v>203</v>
      </c>
      <c r="P703" s="2" t="s">
        <v>204</v>
      </c>
      <c r="Q703" s="2" t="s">
        <v>205</v>
      </c>
      <c r="R703" s="2" t="s">
        <v>206</v>
      </c>
      <c r="S703" s="2" t="s">
        <v>4443</v>
      </c>
      <c r="T703" s="2" t="s">
        <v>234</v>
      </c>
      <c r="U703" s="2" t="s">
        <v>235</v>
      </c>
      <c r="V703" s="2" t="s">
        <v>209</v>
      </c>
      <c r="W703" s="2" t="s">
        <v>210</v>
      </c>
      <c r="X703" s="2" t="s">
        <v>206</v>
      </c>
      <c r="Y703" s="2" t="s">
        <v>1360</v>
      </c>
      <c r="Z703" s="4">
        <v>3</v>
      </c>
      <c r="AA703" s="4">
        <f>=ROUNDDOWN(0.75,0)</f>
      </c>
      <c r="AB703" s="5">
        <v>4</v>
      </c>
      <c r="AC703" s="2" t="s">
        <v>149</v>
      </c>
      <c r="AD703" s="4">
        <v>40</v>
      </c>
      <c r="AE703" s="4">
        <v>70</v>
      </c>
      <c r="AF703" s="6">
        <v>65</v>
      </c>
      <c r="AG703" s="6"/>
      <c r="AH703" s="7">
        <v>0</v>
      </c>
      <c r="AI703" s="4"/>
      <c r="AJ703" s="4">
        <f>=ROUNDDOWN({0},0)</f>
      </c>
      <c r="AK703" s="5"/>
      <c r="AL703" s="2" t="s">
        <v>206</v>
      </c>
      <c r="AM703" s="4"/>
      <c r="AN703" s="4"/>
      <c r="AO703" s="7"/>
      <c r="AP703" s="4"/>
      <c r="AQ703" s="8"/>
      <c r="AR703" s="4"/>
      <c r="AS703" s="8"/>
      <c r="AT703" s="7"/>
      <c r="AU703" s="7"/>
      <c r="AV703" s="4" t="s">
        <v>206</v>
      </c>
      <c r="AW703" s="8" t="s">
        <v>206</v>
      </c>
      <c r="AX703" s="4" t="s">
        <v>206</v>
      </c>
      <c r="AY703" s="8" t="s">
        <v>206</v>
      </c>
      <c r="AZ703" s="7" t="s">
        <v>206</v>
      </c>
      <c r="BA703" s="7" t="s">
        <v>206</v>
      </c>
      <c r="BB703" s="7"/>
      <c r="BC703" s="4" t="s">
        <v>206</v>
      </c>
      <c r="BD703" s="8" t="s">
        <v>206</v>
      </c>
      <c r="BE703" s="4" t="s">
        <v>206</v>
      </c>
      <c r="BF703" s="8" t="s">
        <v>206</v>
      </c>
      <c r="BG703" s="7" t="s">
        <v>206</v>
      </c>
      <c r="BH703" s="7" t="s">
        <v>206</v>
      </c>
      <c r="BI703" s="7"/>
      <c r="BJ703" s="4"/>
      <c r="BK703" s="8"/>
      <c r="BL703" s="2" t="s">
        <v>338</v>
      </c>
      <c r="BM703" s="7"/>
      <c r="BN703" s="7"/>
      <c r="BO703" s="4"/>
      <c r="BP703" s="8"/>
      <c r="BQ703" s="4"/>
      <c r="BR703" s="8"/>
      <c r="BS703" s="7"/>
      <c r="BT703" s="7"/>
      <c r="BU703" s="2" t="s">
        <v>4454</v>
      </c>
      <c r="BV703" s="2" t="s">
        <v>206</v>
      </c>
      <c r="BW703" s="2" t="s">
        <v>206</v>
      </c>
      <c r="BX703" s="2" t="s">
        <v>214</v>
      </c>
      <c r="BY703" s="2" t="s">
        <v>215</v>
      </c>
      <c r="BZ703" s="2" t="s">
        <v>203</v>
      </c>
      <c r="CA703" s="2" t="s">
        <v>1232</v>
      </c>
      <c r="CB703" s="2" t="s">
        <v>4176</v>
      </c>
      <c r="CC703" s="2" t="s">
        <v>218</v>
      </c>
      <c r="CD703" s="2" t="s">
        <v>206</v>
      </c>
      <c r="CE703" s="4">
        <v>3</v>
      </c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  <c r="DV703" s="4"/>
      <c r="DW703" s="4"/>
      <c r="DX703" s="4"/>
      <c r="DY703" s="4"/>
      <c r="DZ703" s="4"/>
      <c r="EA703" s="4"/>
      <c r="EB703" s="4"/>
      <c r="EC703" s="4"/>
      <c r="ED703" s="4"/>
      <c r="EE703" s="4"/>
      <c r="EF703" s="4"/>
      <c r="EG703" s="4"/>
      <c r="EH703" s="4"/>
      <c r="EI703" s="4"/>
      <c r="EJ703" s="4"/>
      <c r="EK703" s="4">
        <v>40</v>
      </c>
      <c r="EL703" s="4"/>
      <c r="EM703" s="4"/>
      <c r="EN703" s="4"/>
      <c r="EO703" s="4"/>
      <c r="EP703" s="4"/>
      <c r="EQ703" s="4"/>
      <c r="ER703" s="4"/>
      <c r="ES703" s="4"/>
      <c r="ET703" s="4"/>
      <c r="EU703" s="4"/>
      <c r="EV703" s="4"/>
      <c r="EW703" s="4"/>
      <c r="EX703" s="4"/>
      <c r="EY703" s="4"/>
      <c r="EZ703" s="4"/>
      <c r="FA703" s="4">
        <v>30</v>
      </c>
      <c r="FB703" s="4"/>
      <c r="FC703" s="4"/>
      <c r="FD703" s="4"/>
      <c r="FE703" s="4"/>
      <c r="FF703" s="4"/>
      <c r="FG703" s="4"/>
      <c r="FH703" s="4"/>
      <c r="FI703" s="4"/>
      <c r="FJ703" s="4"/>
      <c r="FK703" s="4"/>
      <c r="FL703" s="4"/>
      <c r="FM703" s="4"/>
      <c r="FN703" s="4"/>
      <c r="FO703" s="4"/>
      <c r="FP703" s="4"/>
      <c r="FQ703" s="4"/>
      <c r="FR703" s="4"/>
      <c r="FS703" s="4"/>
      <c r="FT703" s="4"/>
      <c r="FU703" s="4"/>
      <c r="FV703" s="4"/>
      <c r="FW703" s="4"/>
      <c r="FX703" s="4"/>
      <c r="FY703" s="4"/>
      <c r="FZ703" s="4"/>
      <c r="GA703" s="4"/>
      <c r="GB703" s="4"/>
      <c r="GC703" s="4"/>
      <c r="GD703" s="4"/>
      <c r="GE703" s="4"/>
      <c r="GF703" s="4"/>
    </row>
    <row r="704">
      <c r="A704" s="2" t="s">
        <v>4455</v>
      </c>
      <c r="B704" s="2" t="s">
        <v>225</v>
      </c>
      <c r="C704" s="2" t="s">
        <v>287</v>
      </c>
      <c r="D704" s="2" t="s">
        <v>227</v>
      </c>
      <c r="E704" s="2" t="s">
        <v>228</v>
      </c>
      <c r="F704" s="2" t="s">
        <v>4441</v>
      </c>
      <c r="G704" s="2" t="s">
        <v>4441</v>
      </c>
      <c r="H704" s="2" t="s">
        <v>4441</v>
      </c>
      <c r="I704" s="2" t="s">
        <v>4442</v>
      </c>
      <c r="J704" s="2" t="s">
        <v>201</v>
      </c>
      <c r="K704" s="2" t="s">
        <v>336</v>
      </c>
      <c r="L704" s="3">
        <v>21.6</v>
      </c>
      <c r="M704" s="3">
        <v>22.68</v>
      </c>
      <c r="N704" s="3">
        <v>47.99</v>
      </c>
      <c r="O704" s="2" t="s">
        <v>203</v>
      </c>
      <c r="P704" s="2" t="s">
        <v>204</v>
      </c>
      <c r="Q704" s="2" t="s">
        <v>205</v>
      </c>
      <c r="R704" s="2" t="s">
        <v>206</v>
      </c>
      <c r="S704" s="2" t="s">
        <v>4456</v>
      </c>
      <c r="T704" s="2" t="s">
        <v>234</v>
      </c>
      <c r="U704" s="2" t="s">
        <v>556</v>
      </c>
      <c r="V704" s="2" t="s">
        <v>209</v>
      </c>
      <c r="W704" s="2" t="s">
        <v>210</v>
      </c>
      <c r="X704" s="2" t="s">
        <v>206</v>
      </c>
      <c r="Y704" s="2" t="s">
        <v>1360</v>
      </c>
      <c r="Z704" s="4">
        <v>100</v>
      </c>
      <c r="AA704" s="4">
        <f>=ROUNDDOWN(50,0)</f>
      </c>
      <c r="AB704" s="5">
        <v>2</v>
      </c>
      <c r="AC704" s="2" t="s">
        <v>112</v>
      </c>
      <c r="AD704" s="4">
        <v>80</v>
      </c>
      <c r="AE704" s="4">
        <v>80</v>
      </c>
      <c r="AF704" s="6">
        <v>65</v>
      </c>
      <c r="AG704" s="6"/>
      <c r="AH704" s="7">
        <v>1</v>
      </c>
      <c r="AI704" s="4"/>
      <c r="AJ704" s="4">
        <f>=ROUNDDOWN({0},0)</f>
      </c>
      <c r="AK704" s="5"/>
      <c r="AL704" s="2" t="s">
        <v>206</v>
      </c>
      <c r="AM704" s="4"/>
      <c r="AN704" s="4"/>
      <c r="AO704" s="7"/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 t="s">
        <v>206</v>
      </c>
      <c r="BD704" s="8" t="s">
        <v>206</v>
      </c>
      <c r="BE704" s="4" t="s">
        <v>206</v>
      </c>
      <c r="BF704" s="8" t="s">
        <v>206</v>
      </c>
      <c r="BG704" s="7" t="s">
        <v>206</v>
      </c>
      <c r="BH704" s="7" t="s">
        <v>206</v>
      </c>
      <c r="BI704" s="7"/>
      <c r="BJ704" s="4">
        <v>8</v>
      </c>
      <c r="BK704" s="8">
        <v>186.82</v>
      </c>
      <c r="BL704" s="2" t="s">
        <v>4457</v>
      </c>
      <c r="BM704" s="7"/>
      <c r="BN704" s="7"/>
      <c r="BO704" s="4"/>
      <c r="BP704" s="8"/>
      <c r="BQ704" s="4"/>
      <c r="BR704" s="8"/>
      <c r="BS704" s="7"/>
      <c r="BT704" s="7"/>
      <c r="BU704" s="2" t="s">
        <v>4458</v>
      </c>
      <c r="BV704" s="2" t="s">
        <v>206</v>
      </c>
      <c r="BW704" s="2" t="s">
        <v>206</v>
      </c>
      <c r="BX704" s="2" t="s">
        <v>214</v>
      </c>
      <c r="BY704" s="2" t="s">
        <v>215</v>
      </c>
      <c r="BZ704" s="2" t="s">
        <v>203</v>
      </c>
      <c r="CA704" s="2" t="s">
        <v>1232</v>
      </c>
      <c r="CB704" s="2" t="s">
        <v>4459</v>
      </c>
      <c r="CC704" s="2" t="s">
        <v>218</v>
      </c>
      <c r="CD704" s="2" t="s">
        <v>206</v>
      </c>
      <c r="CE704" s="4">
        <v>100</v>
      </c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>
        <v>80</v>
      </c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  <c r="DW704" s="4"/>
      <c r="DX704" s="4"/>
      <c r="DY704" s="4"/>
      <c r="DZ704" s="4"/>
      <c r="EA704" s="4"/>
      <c r="EB704" s="4"/>
      <c r="EC704" s="4"/>
      <c r="ED704" s="4"/>
      <c r="EE704" s="4"/>
      <c r="EF704" s="4"/>
      <c r="EG704" s="4"/>
      <c r="EH704" s="4"/>
      <c r="EI704" s="4"/>
      <c r="EJ704" s="4"/>
      <c r="EK704" s="4"/>
      <c r="EL704" s="4"/>
      <c r="EM704" s="4"/>
      <c r="EN704" s="4"/>
      <c r="EO704" s="4"/>
      <c r="EP704" s="4"/>
      <c r="EQ704" s="4"/>
      <c r="ER704" s="4"/>
      <c r="ES704" s="4"/>
      <c r="ET704" s="4"/>
      <c r="EU704" s="4"/>
      <c r="EV704" s="4"/>
      <c r="EW704" s="4"/>
      <c r="EX704" s="4"/>
      <c r="EY704" s="4"/>
      <c r="EZ704" s="4"/>
      <c r="FA704" s="4"/>
      <c r="FB704" s="4"/>
      <c r="FC704" s="4"/>
      <c r="FD704" s="4"/>
      <c r="FE704" s="4"/>
      <c r="FF704" s="4"/>
      <c r="FG704" s="4"/>
      <c r="FH704" s="4"/>
      <c r="FI704" s="4"/>
      <c r="FJ704" s="4"/>
      <c r="FK704" s="4"/>
      <c r="FL704" s="4"/>
      <c r="FM704" s="4"/>
      <c r="FN704" s="4"/>
      <c r="FO704" s="4"/>
      <c r="FP704" s="4"/>
      <c r="FQ704" s="4"/>
      <c r="FR704" s="4"/>
      <c r="FS704" s="4"/>
      <c r="FT704" s="4"/>
      <c r="FU704" s="4"/>
      <c r="FV704" s="4"/>
      <c r="FW704" s="4"/>
      <c r="FX704" s="4"/>
      <c r="FY704" s="4"/>
      <c r="FZ704" s="4"/>
      <c r="GA704" s="4"/>
      <c r="GB704" s="4"/>
      <c r="GC704" s="4"/>
      <c r="GD704" s="4"/>
      <c r="GE704" s="4"/>
      <c r="GF704" s="4"/>
    </row>
    <row r="705">
      <c r="A705" s="2" t="s">
        <v>4460</v>
      </c>
      <c r="B705" s="2" t="s">
        <v>225</v>
      </c>
      <c r="C705" s="2" t="s">
        <v>287</v>
      </c>
      <c r="D705" s="2" t="s">
        <v>227</v>
      </c>
      <c r="E705" s="2" t="s">
        <v>228</v>
      </c>
      <c r="F705" s="2" t="s">
        <v>4441</v>
      </c>
      <c r="G705" s="2" t="s">
        <v>4441</v>
      </c>
      <c r="H705" s="2" t="s">
        <v>4441</v>
      </c>
      <c r="I705" s="2" t="s">
        <v>4442</v>
      </c>
      <c r="J705" s="2" t="s">
        <v>310</v>
      </c>
      <c r="K705" s="2" t="s">
        <v>353</v>
      </c>
      <c r="L705" s="3">
        <v>32.2</v>
      </c>
      <c r="M705" s="3">
        <v>33.81</v>
      </c>
      <c r="N705" s="3">
        <v>69.99</v>
      </c>
      <c r="O705" s="2" t="s">
        <v>203</v>
      </c>
      <c r="P705" s="2" t="s">
        <v>204</v>
      </c>
      <c r="Q705" s="2" t="s">
        <v>205</v>
      </c>
      <c r="R705" s="2" t="s">
        <v>206</v>
      </c>
      <c r="S705" s="2" t="s">
        <v>4461</v>
      </c>
      <c r="T705" s="2" t="s">
        <v>234</v>
      </c>
      <c r="U705" s="2" t="s">
        <v>235</v>
      </c>
      <c r="V705" s="2" t="s">
        <v>209</v>
      </c>
      <c r="W705" s="2" t="s">
        <v>210</v>
      </c>
      <c r="X705" s="2" t="s">
        <v>206</v>
      </c>
      <c r="Y705" s="2" t="s">
        <v>1360</v>
      </c>
      <c r="Z705" s="4">
        <v>36</v>
      </c>
      <c r="AA705" s="4">
        <f>=ROUNDDOWN(8.37209302325581,0)</f>
      </c>
      <c r="AB705" s="5">
        <v>4.3</v>
      </c>
      <c r="AC705" s="2" t="s">
        <v>112</v>
      </c>
      <c r="AD705" s="4">
        <v>50</v>
      </c>
      <c r="AE705" s="4">
        <v>190</v>
      </c>
      <c r="AF705" s="6">
        <v>65</v>
      </c>
      <c r="AG705" s="6"/>
      <c r="AH705" s="7">
        <v>1</v>
      </c>
      <c r="AI705" s="4"/>
      <c r="AJ705" s="4">
        <f>=ROUNDDOWN({0},0)</f>
      </c>
      <c r="AK705" s="5"/>
      <c r="AL705" s="2" t="s">
        <v>206</v>
      </c>
      <c r="AM705" s="4"/>
      <c r="AN705" s="4"/>
      <c r="AO705" s="7"/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 t="s">
        <v>206</v>
      </c>
      <c r="BD705" s="8" t="s">
        <v>206</v>
      </c>
      <c r="BE705" s="4" t="s">
        <v>206</v>
      </c>
      <c r="BF705" s="8" t="s">
        <v>206</v>
      </c>
      <c r="BG705" s="7" t="s">
        <v>206</v>
      </c>
      <c r="BH705" s="7" t="s">
        <v>206</v>
      </c>
      <c r="BI705" s="7"/>
      <c r="BJ705" s="4">
        <v>20</v>
      </c>
      <c r="BK705" s="8">
        <v>704.18</v>
      </c>
      <c r="BL705" s="2" t="s">
        <v>4462</v>
      </c>
      <c r="BM705" s="7"/>
      <c r="BN705" s="7"/>
      <c r="BO705" s="4"/>
      <c r="BP705" s="8"/>
      <c r="BQ705" s="4"/>
      <c r="BR705" s="8"/>
      <c r="BS705" s="7"/>
      <c r="BT705" s="7"/>
      <c r="BU705" s="2" t="s">
        <v>4463</v>
      </c>
      <c r="BV705" s="2" t="s">
        <v>206</v>
      </c>
      <c r="BW705" s="2" t="s">
        <v>206</v>
      </c>
      <c r="BX705" s="2" t="s">
        <v>214</v>
      </c>
      <c r="BY705" s="2" t="s">
        <v>215</v>
      </c>
      <c r="BZ705" s="2" t="s">
        <v>203</v>
      </c>
      <c r="CA705" s="2" t="s">
        <v>1232</v>
      </c>
      <c r="CB705" s="2" t="s">
        <v>4464</v>
      </c>
      <c r="CC705" s="2" t="s">
        <v>218</v>
      </c>
      <c r="CD705" s="2" t="s">
        <v>206</v>
      </c>
      <c r="CE705" s="4">
        <v>36</v>
      </c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>
        <v>50</v>
      </c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  <c r="EH705" s="4"/>
      <c r="EI705" s="4"/>
      <c r="EJ705" s="4"/>
      <c r="EK705" s="4">
        <v>80</v>
      </c>
      <c r="EL705" s="4"/>
      <c r="EM705" s="4"/>
      <c r="EN705" s="4"/>
      <c r="EO705" s="4"/>
      <c r="EP705" s="4"/>
      <c r="EQ705" s="4"/>
      <c r="ER705" s="4"/>
      <c r="ES705" s="4"/>
      <c r="ET705" s="4"/>
      <c r="EU705" s="4"/>
      <c r="EV705" s="4"/>
      <c r="EW705" s="4"/>
      <c r="EX705" s="4"/>
      <c r="EY705" s="4"/>
      <c r="EZ705" s="4"/>
      <c r="FA705" s="4">
        <v>60</v>
      </c>
      <c r="FB705" s="4"/>
      <c r="FC705" s="4"/>
      <c r="FD705" s="4"/>
      <c r="FE705" s="4"/>
      <c r="FF705" s="4"/>
      <c r="FG705" s="4"/>
      <c r="FH705" s="4"/>
      <c r="FI705" s="4"/>
      <c r="FJ705" s="4"/>
      <c r="FK705" s="4"/>
      <c r="FL705" s="4"/>
      <c r="FM705" s="4"/>
      <c r="FN705" s="4"/>
      <c r="FO705" s="4"/>
      <c r="FP705" s="4"/>
      <c r="FQ705" s="4"/>
      <c r="FR705" s="4"/>
      <c r="FS705" s="4"/>
      <c r="FT705" s="4"/>
      <c r="FU705" s="4"/>
      <c r="FV705" s="4"/>
      <c r="FW705" s="4"/>
      <c r="FX705" s="4"/>
      <c r="FY705" s="4"/>
      <c r="FZ705" s="4"/>
      <c r="GA705" s="4"/>
      <c r="GB705" s="4"/>
      <c r="GC705" s="4"/>
      <c r="GD705" s="4"/>
      <c r="GE705" s="4"/>
      <c r="GF705" s="4"/>
    </row>
    <row r="706">
      <c r="A706" s="2" t="s">
        <v>4465</v>
      </c>
      <c r="B706" s="2" t="s">
        <v>225</v>
      </c>
      <c r="C706" s="2" t="s">
        <v>287</v>
      </c>
      <c r="D706" s="2" t="s">
        <v>227</v>
      </c>
      <c r="E706" s="2" t="s">
        <v>228</v>
      </c>
      <c r="F706" s="2" t="s">
        <v>4441</v>
      </c>
      <c r="G706" s="2" t="s">
        <v>4441</v>
      </c>
      <c r="H706" s="2" t="s">
        <v>4441</v>
      </c>
      <c r="I706" s="2" t="s">
        <v>4442</v>
      </c>
      <c r="J706" s="2" t="s">
        <v>310</v>
      </c>
      <c r="K706" s="2" t="s">
        <v>1915</v>
      </c>
      <c r="L706" s="3">
        <v>32.2</v>
      </c>
      <c r="M706" s="3">
        <v>33.81</v>
      </c>
      <c r="N706" s="3">
        <v>69.99</v>
      </c>
      <c r="O706" s="2" t="s">
        <v>203</v>
      </c>
      <c r="P706" s="2" t="s">
        <v>204</v>
      </c>
      <c r="Q706" s="2" t="s">
        <v>205</v>
      </c>
      <c r="R706" s="2" t="s">
        <v>206</v>
      </c>
      <c r="S706" s="2" t="s">
        <v>4466</v>
      </c>
      <c r="T706" s="2" t="s">
        <v>234</v>
      </c>
      <c r="U706" s="2" t="s">
        <v>235</v>
      </c>
      <c r="V706" s="2" t="s">
        <v>209</v>
      </c>
      <c r="W706" s="2" t="s">
        <v>210</v>
      </c>
      <c r="X706" s="2" t="s">
        <v>206</v>
      </c>
      <c r="Y706" s="2" t="s">
        <v>1360</v>
      </c>
      <c r="Z706" s="4">
        <v>35</v>
      </c>
      <c r="AA706" s="4">
        <f>=ROUNDDOWN(17.5,0)</f>
      </c>
      <c r="AB706" s="5">
        <v>2</v>
      </c>
      <c r="AC706" s="2" t="s">
        <v>112</v>
      </c>
      <c r="AD706" s="4">
        <v>30</v>
      </c>
      <c r="AE706" s="4">
        <v>130</v>
      </c>
      <c r="AF706" s="6">
        <v>65</v>
      </c>
      <c r="AG706" s="6"/>
      <c r="AH706" s="7">
        <v>1</v>
      </c>
      <c r="AI706" s="4"/>
      <c r="AJ706" s="4">
        <f>=ROUNDDOWN({0},0)</f>
      </c>
      <c r="AK706" s="5"/>
      <c r="AL706" s="2" t="s">
        <v>206</v>
      </c>
      <c r="AM706" s="4"/>
      <c r="AN706" s="4"/>
      <c r="AO706" s="7"/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 t="s">
        <v>206</v>
      </c>
      <c r="BD706" s="8" t="s">
        <v>206</v>
      </c>
      <c r="BE706" s="4" t="s">
        <v>206</v>
      </c>
      <c r="BF706" s="8" t="s">
        <v>206</v>
      </c>
      <c r="BG706" s="7" t="s">
        <v>206</v>
      </c>
      <c r="BH706" s="7" t="s">
        <v>206</v>
      </c>
      <c r="BI706" s="7"/>
      <c r="BJ706" s="4">
        <v>16</v>
      </c>
      <c r="BK706" s="8">
        <v>566.51</v>
      </c>
      <c r="BL706" s="2" t="s">
        <v>1302</v>
      </c>
      <c r="BM706" s="7"/>
      <c r="BN706" s="7"/>
      <c r="BO706" s="4"/>
      <c r="BP706" s="8"/>
      <c r="BQ706" s="4"/>
      <c r="BR706" s="8"/>
      <c r="BS706" s="7"/>
      <c r="BT706" s="7"/>
      <c r="BU706" s="2" t="s">
        <v>4467</v>
      </c>
      <c r="BV706" s="2" t="s">
        <v>206</v>
      </c>
      <c r="BW706" s="2" t="s">
        <v>206</v>
      </c>
      <c r="BX706" s="2" t="s">
        <v>214</v>
      </c>
      <c r="BY706" s="2" t="s">
        <v>215</v>
      </c>
      <c r="BZ706" s="2" t="s">
        <v>203</v>
      </c>
      <c r="CA706" s="2" t="s">
        <v>1232</v>
      </c>
      <c r="CB706" s="2" t="s">
        <v>4241</v>
      </c>
      <c r="CC706" s="2" t="s">
        <v>218</v>
      </c>
      <c r="CD706" s="2" t="s">
        <v>206</v>
      </c>
      <c r="CE706" s="4">
        <v>35</v>
      </c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>
        <v>30</v>
      </c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/>
      <c r="DS706" s="4"/>
      <c r="DT706" s="4"/>
      <c r="DU706" s="4"/>
      <c r="DV706" s="4"/>
      <c r="DW706" s="4"/>
      <c r="DX706" s="4"/>
      <c r="DY706" s="4"/>
      <c r="DZ706" s="4"/>
      <c r="EA706" s="4"/>
      <c r="EB706" s="4"/>
      <c r="EC706" s="4"/>
      <c r="ED706" s="4"/>
      <c r="EE706" s="4"/>
      <c r="EF706" s="4"/>
      <c r="EG706" s="4"/>
      <c r="EH706" s="4"/>
      <c r="EI706" s="4"/>
      <c r="EJ706" s="4"/>
      <c r="EK706" s="4">
        <v>40</v>
      </c>
      <c r="EL706" s="4"/>
      <c r="EM706" s="4"/>
      <c r="EN706" s="4"/>
      <c r="EO706" s="4"/>
      <c r="EP706" s="4"/>
      <c r="EQ706" s="4"/>
      <c r="ER706" s="4"/>
      <c r="ES706" s="4"/>
      <c r="ET706" s="4"/>
      <c r="EU706" s="4"/>
      <c r="EV706" s="4"/>
      <c r="EW706" s="4"/>
      <c r="EX706" s="4"/>
      <c r="EY706" s="4"/>
      <c r="EZ706" s="4"/>
      <c r="FA706" s="4">
        <v>60</v>
      </c>
      <c r="FB706" s="4"/>
      <c r="FC706" s="4"/>
      <c r="FD706" s="4"/>
      <c r="FE706" s="4"/>
      <c r="FF706" s="4"/>
      <c r="FG706" s="4"/>
      <c r="FH706" s="4"/>
      <c r="FI706" s="4"/>
      <c r="FJ706" s="4"/>
      <c r="FK706" s="4"/>
      <c r="FL706" s="4"/>
      <c r="FM706" s="4"/>
      <c r="FN706" s="4"/>
      <c r="FO706" s="4"/>
      <c r="FP706" s="4"/>
      <c r="FQ706" s="4"/>
      <c r="FR706" s="4"/>
      <c r="FS706" s="4"/>
      <c r="FT706" s="4"/>
      <c r="FU706" s="4"/>
      <c r="FV706" s="4"/>
      <c r="FW706" s="4"/>
      <c r="FX706" s="4"/>
      <c r="FY706" s="4"/>
      <c r="FZ706" s="4"/>
      <c r="GA706" s="4"/>
      <c r="GB706" s="4"/>
      <c r="GC706" s="4"/>
      <c r="GD706" s="4"/>
      <c r="GE706" s="4"/>
      <c r="GF706" s="4"/>
    </row>
    <row r="707">
      <c r="A707" s="2" t="s">
        <v>4468</v>
      </c>
      <c r="B707" s="2" t="s">
        <v>225</v>
      </c>
      <c r="C707" s="2" t="s">
        <v>287</v>
      </c>
      <c r="D707" s="2" t="s">
        <v>227</v>
      </c>
      <c r="E707" s="2" t="s">
        <v>228</v>
      </c>
      <c r="F707" s="2" t="s">
        <v>4441</v>
      </c>
      <c r="G707" s="2" t="s">
        <v>4441</v>
      </c>
      <c r="H707" s="2" t="s">
        <v>4441</v>
      </c>
      <c r="I707" s="2" t="s">
        <v>4442</v>
      </c>
      <c r="J707" s="2" t="s">
        <v>201</v>
      </c>
      <c r="K707" s="2" t="s">
        <v>499</v>
      </c>
      <c r="L707" s="3">
        <v>21.6</v>
      </c>
      <c r="M707" s="3">
        <v>22.68</v>
      </c>
      <c r="N707" s="3">
        <v>47.99</v>
      </c>
      <c r="O707" s="2" t="s">
        <v>203</v>
      </c>
      <c r="P707" s="2" t="s">
        <v>204</v>
      </c>
      <c r="Q707" s="2" t="s">
        <v>205</v>
      </c>
      <c r="R707" s="2" t="s">
        <v>206</v>
      </c>
      <c r="S707" s="2" t="s">
        <v>4469</v>
      </c>
      <c r="T707" s="2" t="s">
        <v>234</v>
      </c>
      <c r="U707" s="2" t="s">
        <v>556</v>
      </c>
      <c r="V707" s="2" t="s">
        <v>209</v>
      </c>
      <c r="W707" s="2" t="s">
        <v>210</v>
      </c>
      <c r="X707" s="2" t="s">
        <v>206</v>
      </c>
      <c r="Y707" s="2" t="s">
        <v>1360</v>
      </c>
      <c r="Z707" s="4">
        <v>27</v>
      </c>
      <c r="AA707" s="4">
        <f>=ROUNDDOWN(9,0)</f>
      </c>
      <c r="AB707" s="5">
        <v>3</v>
      </c>
      <c r="AC707" s="2" t="s">
        <v>112</v>
      </c>
      <c r="AD707" s="4">
        <v>80</v>
      </c>
      <c r="AE707" s="4">
        <v>80</v>
      </c>
      <c r="AF707" s="6">
        <v>65</v>
      </c>
      <c r="AG707" s="6"/>
      <c r="AH707" s="7">
        <v>1</v>
      </c>
      <c r="AI707" s="4"/>
      <c r="AJ707" s="4">
        <f>=ROUNDDOWN({0},0)</f>
      </c>
      <c r="AK707" s="5"/>
      <c r="AL707" s="2" t="s">
        <v>206</v>
      </c>
      <c r="AM707" s="4"/>
      <c r="AN707" s="4"/>
      <c r="AO707" s="7"/>
      <c r="AP707" s="4"/>
      <c r="AQ707" s="8"/>
      <c r="AR707" s="4"/>
      <c r="AS707" s="8"/>
      <c r="AT707" s="7"/>
      <c r="AU707" s="7"/>
      <c r="AV707" s="4" t="s">
        <v>206</v>
      </c>
      <c r="AW707" s="8" t="s">
        <v>206</v>
      </c>
      <c r="AX707" s="4" t="s">
        <v>206</v>
      </c>
      <c r="AY707" s="8" t="s">
        <v>206</v>
      </c>
      <c r="AZ707" s="7" t="s">
        <v>206</v>
      </c>
      <c r="BA707" s="7" t="s">
        <v>206</v>
      </c>
      <c r="BB707" s="7"/>
      <c r="BC707" s="4" t="s">
        <v>206</v>
      </c>
      <c r="BD707" s="8" t="s">
        <v>206</v>
      </c>
      <c r="BE707" s="4" t="s">
        <v>206</v>
      </c>
      <c r="BF707" s="8" t="s">
        <v>206</v>
      </c>
      <c r="BG707" s="7" t="s">
        <v>206</v>
      </c>
      <c r="BH707" s="7" t="s">
        <v>206</v>
      </c>
      <c r="BI707" s="7"/>
      <c r="BJ707" s="4">
        <v>12</v>
      </c>
      <c r="BK707" s="8">
        <v>288.01</v>
      </c>
      <c r="BL707" s="2" t="s">
        <v>4470</v>
      </c>
      <c r="BM707" s="7"/>
      <c r="BN707" s="7"/>
      <c r="BO707" s="4"/>
      <c r="BP707" s="8"/>
      <c r="BQ707" s="4"/>
      <c r="BR707" s="8"/>
      <c r="BS707" s="7"/>
      <c r="BT707" s="7"/>
      <c r="BU707" s="2" t="s">
        <v>4471</v>
      </c>
      <c r="BV707" s="2" t="s">
        <v>206</v>
      </c>
      <c r="BW707" s="2" t="s">
        <v>206</v>
      </c>
      <c r="BX707" s="2" t="s">
        <v>214</v>
      </c>
      <c r="BY707" s="2" t="s">
        <v>215</v>
      </c>
      <c r="BZ707" s="2" t="s">
        <v>203</v>
      </c>
      <c r="CA707" s="2" t="s">
        <v>1232</v>
      </c>
      <c r="CB707" s="2" t="s">
        <v>2823</v>
      </c>
      <c r="CC707" s="2" t="s">
        <v>218</v>
      </c>
      <c r="CD707" s="2" t="s">
        <v>206</v>
      </c>
      <c r="CE707" s="4">
        <v>27</v>
      </c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>
        <v>80</v>
      </c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  <c r="DV707" s="4"/>
      <c r="DW707" s="4"/>
      <c r="DX707" s="4"/>
      <c r="DY707" s="4"/>
      <c r="DZ707" s="4"/>
      <c r="EA707" s="4"/>
      <c r="EB707" s="4"/>
      <c r="EC707" s="4"/>
      <c r="ED707" s="4"/>
      <c r="EE707" s="4"/>
      <c r="EF707" s="4"/>
      <c r="EG707" s="4"/>
      <c r="EH707" s="4"/>
      <c r="EI707" s="4"/>
      <c r="EJ707" s="4"/>
      <c r="EK707" s="4"/>
      <c r="EL707" s="4"/>
      <c r="EM707" s="4"/>
      <c r="EN707" s="4"/>
      <c r="EO707" s="4"/>
      <c r="EP707" s="4"/>
      <c r="EQ707" s="4"/>
      <c r="ER707" s="4"/>
      <c r="ES707" s="4"/>
      <c r="ET707" s="4"/>
      <c r="EU707" s="4"/>
      <c r="EV707" s="4"/>
      <c r="EW707" s="4"/>
      <c r="EX707" s="4"/>
      <c r="EY707" s="4"/>
      <c r="EZ707" s="4"/>
      <c r="FA707" s="4"/>
      <c r="FB707" s="4"/>
      <c r="FC707" s="4"/>
      <c r="FD707" s="4"/>
      <c r="FE707" s="4"/>
      <c r="FF707" s="4"/>
      <c r="FG707" s="4"/>
      <c r="FH707" s="4"/>
      <c r="FI707" s="4"/>
      <c r="FJ707" s="4"/>
      <c r="FK707" s="4"/>
      <c r="FL707" s="4"/>
      <c r="FM707" s="4"/>
      <c r="FN707" s="4"/>
      <c r="FO707" s="4"/>
      <c r="FP707" s="4"/>
      <c r="FQ707" s="4"/>
      <c r="FR707" s="4"/>
      <c r="FS707" s="4"/>
      <c r="FT707" s="4"/>
      <c r="FU707" s="4"/>
      <c r="FV707" s="4"/>
      <c r="FW707" s="4"/>
      <c r="FX707" s="4"/>
      <c r="FY707" s="4"/>
      <c r="FZ707" s="4"/>
      <c r="GA707" s="4"/>
      <c r="GB707" s="4"/>
      <c r="GC707" s="4"/>
      <c r="GD707" s="4"/>
      <c r="GE707" s="4"/>
      <c r="GF707" s="4"/>
    </row>
    <row r="708">
      <c r="A708" s="2" t="s">
        <v>4472</v>
      </c>
      <c r="B708" s="2" t="s">
        <v>225</v>
      </c>
      <c r="C708" s="2" t="s">
        <v>287</v>
      </c>
      <c r="D708" s="2" t="s">
        <v>227</v>
      </c>
      <c r="E708" s="2" t="s">
        <v>228</v>
      </c>
      <c r="F708" s="2" t="s">
        <v>4441</v>
      </c>
      <c r="G708" s="2" t="s">
        <v>4441</v>
      </c>
      <c r="H708" s="2" t="s">
        <v>4441</v>
      </c>
      <c r="I708" s="2" t="s">
        <v>4442</v>
      </c>
      <c r="J708" s="2" t="s">
        <v>220</v>
      </c>
      <c r="K708" s="2" t="s">
        <v>499</v>
      </c>
      <c r="L708" s="3">
        <v>27</v>
      </c>
      <c r="M708" s="3">
        <v>28.35</v>
      </c>
      <c r="N708" s="3">
        <v>59.99</v>
      </c>
      <c r="O708" s="2" t="s">
        <v>203</v>
      </c>
      <c r="P708" s="2" t="s">
        <v>204</v>
      </c>
      <c r="Q708" s="2" t="s">
        <v>205</v>
      </c>
      <c r="R708" s="2" t="s">
        <v>206</v>
      </c>
      <c r="S708" s="2" t="s">
        <v>4469</v>
      </c>
      <c r="T708" s="2" t="s">
        <v>234</v>
      </c>
      <c r="U708" s="2" t="s">
        <v>235</v>
      </c>
      <c r="V708" s="2" t="s">
        <v>209</v>
      </c>
      <c r="W708" s="2" t="s">
        <v>210</v>
      </c>
      <c r="X708" s="2" t="s">
        <v>206</v>
      </c>
      <c r="Y708" s="2" t="s">
        <v>1360</v>
      </c>
      <c r="Z708" s="4">
        <v>87</v>
      </c>
      <c r="AA708" s="4">
        <f>=ROUNDDOWN(29,0)</f>
      </c>
      <c r="AB708" s="5">
        <v>3</v>
      </c>
      <c r="AC708" s="2" t="s">
        <v>112</v>
      </c>
      <c r="AD708" s="4">
        <v>80</v>
      </c>
      <c r="AE708" s="4">
        <v>80</v>
      </c>
      <c r="AF708" s="6">
        <v>65</v>
      </c>
      <c r="AG708" s="6"/>
      <c r="AH708" s="7">
        <v>1</v>
      </c>
      <c r="AI708" s="4"/>
      <c r="AJ708" s="4">
        <f>=ROUNDDOWN({0},0)</f>
      </c>
      <c r="AK708" s="5"/>
      <c r="AL708" s="2" t="s">
        <v>206</v>
      </c>
      <c r="AM708" s="4"/>
      <c r="AN708" s="4"/>
      <c r="AO708" s="7"/>
      <c r="AP708" s="4"/>
      <c r="AQ708" s="8"/>
      <c r="AR708" s="4"/>
      <c r="AS708" s="8"/>
      <c r="AT708" s="7"/>
      <c r="AU708" s="7"/>
      <c r="AV708" s="4" t="s">
        <v>206</v>
      </c>
      <c r="AW708" s="8" t="s">
        <v>206</v>
      </c>
      <c r="AX708" s="4" t="s">
        <v>206</v>
      </c>
      <c r="AY708" s="8" t="s">
        <v>206</v>
      </c>
      <c r="AZ708" s="7" t="s">
        <v>206</v>
      </c>
      <c r="BA708" s="7" t="s">
        <v>206</v>
      </c>
      <c r="BB708" s="7"/>
      <c r="BC708" s="4" t="s">
        <v>206</v>
      </c>
      <c r="BD708" s="8" t="s">
        <v>206</v>
      </c>
      <c r="BE708" s="4" t="s">
        <v>206</v>
      </c>
      <c r="BF708" s="8" t="s">
        <v>206</v>
      </c>
      <c r="BG708" s="7" t="s">
        <v>206</v>
      </c>
      <c r="BH708" s="7" t="s">
        <v>206</v>
      </c>
      <c r="BI708" s="7"/>
      <c r="BJ708" s="4">
        <v>8</v>
      </c>
      <c r="BK708" s="8">
        <v>236.58</v>
      </c>
      <c r="BL708" s="2" t="s">
        <v>4473</v>
      </c>
      <c r="BM708" s="7"/>
      <c r="BN708" s="7"/>
      <c r="BO708" s="4"/>
      <c r="BP708" s="8"/>
      <c r="BQ708" s="4"/>
      <c r="BR708" s="8"/>
      <c r="BS708" s="7"/>
      <c r="BT708" s="7"/>
      <c r="BU708" s="2" t="s">
        <v>4474</v>
      </c>
      <c r="BV708" s="2" t="s">
        <v>206</v>
      </c>
      <c r="BW708" s="2" t="s">
        <v>206</v>
      </c>
      <c r="BX708" s="2" t="s">
        <v>214</v>
      </c>
      <c r="BY708" s="2" t="s">
        <v>215</v>
      </c>
      <c r="BZ708" s="2" t="s">
        <v>203</v>
      </c>
      <c r="CA708" s="2" t="s">
        <v>1232</v>
      </c>
      <c r="CB708" s="2" t="s">
        <v>4475</v>
      </c>
      <c r="CC708" s="2" t="s">
        <v>218</v>
      </c>
      <c r="CD708" s="2" t="s">
        <v>206</v>
      </c>
      <c r="CE708" s="4">
        <v>87</v>
      </c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>
        <v>80</v>
      </c>
      <c r="DA708" s="4"/>
      <c r="DB708" s="4"/>
      <c r="DC708" s="4"/>
      <c r="DD708" s="4"/>
      <c r="DE708" s="4"/>
      <c r="DF708" s="4"/>
      <c r="DG708" s="4"/>
      <c r="DH708" s="4"/>
      <c r="DI708" s="4"/>
      <c r="DJ708" s="4"/>
      <c r="DK708" s="4"/>
      <c r="DL708" s="4"/>
      <c r="DM708" s="4"/>
      <c r="DN708" s="4"/>
      <c r="DO708" s="4"/>
      <c r="DP708" s="4"/>
      <c r="DQ708" s="4"/>
      <c r="DR708" s="4"/>
      <c r="DS708" s="4"/>
      <c r="DT708" s="4"/>
      <c r="DU708" s="4"/>
      <c r="DV708" s="4"/>
      <c r="DW708" s="4"/>
      <c r="DX708" s="4"/>
      <c r="DY708" s="4"/>
      <c r="DZ708" s="4"/>
      <c r="EA708" s="4"/>
      <c r="EB708" s="4"/>
      <c r="EC708" s="4"/>
      <c r="ED708" s="4"/>
      <c r="EE708" s="4"/>
      <c r="EF708" s="4"/>
      <c r="EG708" s="4"/>
      <c r="EH708" s="4"/>
      <c r="EI708" s="4"/>
      <c r="EJ708" s="4"/>
      <c r="EK708" s="4"/>
      <c r="EL708" s="4"/>
      <c r="EM708" s="4"/>
      <c r="EN708" s="4"/>
      <c r="EO708" s="4"/>
      <c r="EP708" s="4"/>
      <c r="EQ708" s="4"/>
      <c r="ER708" s="4"/>
      <c r="ES708" s="4"/>
      <c r="ET708" s="4"/>
      <c r="EU708" s="4"/>
      <c r="EV708" s="4"/>
      <c r="EW708" s="4"/>
      <c r="EX708" s="4"/>
      <c r="EY708" s="4"/>
      <c r="EZ708" s="4"/>
      <c r="FA708" s="4"/>
      <c r="FB708" s="4"/>
      <c r="FC708" s="4"/>
      <c r="FD708" s="4"/>
      <c r="FE708" s="4"/>
      <c r="FF708" s="4"/>
      <c r="FG708" s="4"/>
      <c r="FH708" s="4"/>
      <c r="FI708" s="4"/>
      <c r="FJ708" s="4"/>
      <c r="FK708" s="4"/>
      <c r="FL708" s="4"/>
      <c r="FM708" s="4"/>
      <c r="FN708" s="4"/>
      <c r="FO708" s="4"/>
      <c r="FP708" s="4"/>
      <c r="FQ708" s="4"/>
      <c r="FR708" s="4"/>
      <c r="FS708" s="4"/>
      <c r="FT708" s="4"/>
      <c r="FU708" s="4"/>
      <c r="FV708" s="4"/>
      <c r="FW708" s="4"/>
      <c r="FX708" s="4"/>
      <c r="FY708" s="4"/>
      <c r="FZ708" s="4"/>
      <c r="GA708" s="4"/>
      <c r="GB708" s="4"/>
      <c r="GC708" s="4"/>
      <c r="GD708" s="4"/>
      <c r="GE708" s="4"/>
      <c r="GF708" s="4"/>
    </row>
    <row r="709">
      <c r="A709" s="2" t="s">
        <v>4476</v>
      </c>
      <c r="B709" s="2" t="s">
        <v>225</v>
      </c>
      <c r="C709" s="2" t="s">
        <v>287</v>
      </c>
      <c r="D709" s="2" t="s">
        <v>227</v>
      </c>
      <c r="E709" s="2" t="s">
        <v>228</v>
      </c>
      <c r="F709" s="2" t="s">
        <v>4441</v>
      </c>
      <c r="G709" s="2" t="s">
        <v>4441</v>
      </c>
      <c r="H709" s="2" t="s">
        <v>4441</v>
      </c>
      <c r="I709" s="2" t="s">
        <v>4442</v>
      </c>
      <c r="J709" s="2" t="s">
        <v>231</v>
      </c>
      <c r="K709" s="2" t="s">
        <v>499</v>
      </c>
      <c r="L709" s="3">
        <v>32.2</v>
      </c>
      <c r="M709" s="3">
        <v>33.81</v>
      </c>
      <c r="N709" s="3">
        <v>69.99</v>
      </c>
      <c r="O709" s="2" t="s">
        <v>203</v>
      </c>
      <c r="P709" s="2" t="s">
        <v>204</v>
      </c>
      <c r="Q709" s="2" t="s">
        <v>205</v>
      </c>
      <c r="R709" s="2" t="s">
        <v>206</v>
      </c>
      <c r="S709" s="2" t="s">
        <v>4469</v>
      </c>
      <c r="T709" s="2" t="s">
        <v>234</v>
      </c>
      <c r="U709" s="2" t="s">
        <v>235</v>
      </c>
      <c r="V709" s="2" t="s">
        <v>209</v>
      </c>
      <c r="W709" s="2" t="s">
        <v>210</v>
      </c>
      <c r="X709" s="2" t="s">
        <v>206</v>
      </c>
      <c r="Y709" s="2" t="s">
        <v>1360</v>
      </c>
      <c r="Z709" s="4">
        <v>108</v>
      </c>
      <c r="AA709" s="4">
        <f>=ROUNDDOWN(18,0)</f>
      </c>
      <c r="AB709" s="5">
        <v>6</v>
      </c>
      <c r="AC709" s="2" t="s">
        <v>112</v>
      </c>
      <c r="AD709" s="4">
        <v>130</v>
      </c>
      <c r="AE709" s="4">
        <v>130</v>
      </c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206</v>
      </c>
      <c r="AM709" s="4"/>
      <c r="AN709" s="4"/>
      <c r="AO709" s="7"/>
      <c r="AP709" s="4"/>
      <c r="AQ709" s="8"/>
      <c r="AR709" s="4"/>
      <c r="AS709" s="8"/>
      <c r="AT709" s="7"/>
      <c r="AU709" s="7"/>
      <c r="AV709" s="4" t="s">
        <v>206</v>
      </c>
      <c r="AW709" s="8" t="s">
        <v>206</v>
      </c>
      <c r="AX709" s="4" t="s">
        <v>206</v>
      </c>
      <c r="AY709" s="8" t="s">
        <v>206</v>
      </c>
      <c r="AZ709" s="7" t="s">
        <v>206</v>
      </c>
      <c r="BA709" s="7" t="s">
        <v>206</v>
      </c>
      <c r="BB709" s="7"/>
      <c r="BC709" s="4" t="s">
        <v>206</v>
      </c>
      <c r="BD709" s="8" t="s">
        <v>206</v>
      </c>
      <c r="BE709" s="4" t="s">
        <v>206</v>
      </c>
      <c r="BF709" s="8" t="s">
        <v>206</v>
      </c>
      <c r="BG709" s="7" t="s">
        <v>206</v>
      </c>
      <c r="BH709" s="7" t="s">
        <v>206</v>
      </c>
      <c r="BI709" s="7"/>
      <c r="BJ709" s="4">
        <v>13</v>
      </c>
      <c r="BK709" s="8">
        <v>462.02</v>
      </c>
      <c r="BL709" s="2" t="s">
        <v>4477</v>
      </c>
      <c r="BM709" s="7"/>
      <c r="BN709" s="7"/>
      <c r="BO709" s="4"/>
      <c r="BP709" s="8"/>
      <c r="BQ709" s="4"/>
      <c r="BR709" s="8"/>
      <c r="BS709" s="7"/>
      <c r="BT709" s="7"/>
      <c r="BU709" s="2" t="s">
        <v>4478</v>
      </c>
      <c r="BV709" s="2" t="s">
        <v>206</v>
      </c>
      <c r="BW709" s="2" t="s">
        <v>206</v>
      </c>
      <c r="BX709" s="2" t="s">
        <v>214</v>
      </c>
      <c r="BY709" s="2" t="s">
        <v>215</v>
      </c>
      <c r="BZ709" s="2" t="s">
        <v>203</v>
      </c>
      <c r="CA709" s="2" t="s">
        <v>1232</v>
      </c>
      <c r="CB709" s="2" t="s">
        <v>1242</v>
      </c>
      <c r="CC709" s="2" t="s">
        <v>218</v>
      </c>
      <c r="CD709" s="2" t="s">
        <v>206</v>
      </c>
      <c r="CE709" s="4">
        <v>108</v>
      </c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>
        <v>130</v>
      </c>
      <c r="DA709" s="4"/>
      <c r="DB709" s="4"/>
      <c r="DC709" s="4"/>
      <c r="DD709" s="4"/>
      <c r="DE709" s="4"/>
      <c r="DF709" s="4"/>
      <c r="DG709" s="4"/>
      <c r="DH709" s="4"/>
      <c r="DI709" s="4"/>
      <c r="DJ709" s="4"/>
      <c r="DK709" s="4"/>
      <c r="DL709" s="4"/>
      <c r="DM709" s="4"/>
      <c r="DN709" s="4"/>
      <c r="DO709" s="4"/>
      <c r="DP709" s="4"/>
      <c r="DQ709" s="4"/>
      <c r="DR709" s="4"/>
      <c r="DS709" s="4"/>
      <c r="DT709" s="4"/>
      <c r="DU709" s="4"/>
      <c r="DV709" s="4"/>
      <c r="DW709" s="4"/>
      <c r="DX709" s="4"/>
      <c r="DY709" s="4"/>
      <c r="DZ709" s="4"/>
      <c r="EA709" s="4"/>
      <c r="EB709" s="4"/>
      <c r="EC709" s="4"/>
      <c r="ED709" s="4"/>
      <c r="EE709" s="4"/>
      <c r="EF709" s="4"/>
      <c r="EG709" s="4"/>
      <c r="EH709" s="4"/>
      <c r="EI709" s="4"/>
      <c r="EJ709" s="4"/>
      <c r="EK709" s="4"/>
      <c r="EL709" s="4"/>
      <c r="EM709" s="4"/>
      <c r="EN709" s="4"/>
      <c r="EO709" s="4"/>
      <c r="EP709" s="4"/>
      <c r="EQ709" s="4"/>
      <c r="ER709" s="4"/>
      <c r="ES709" s="4"/>
      <c r="ET709" s="4"/>
      <c r="EU709" s="4"/>
      <c r="EV709" s="4"/>
      <c r="EW709" s="4"/>
      <c r="EX709" s="4"/>
      <c r="EY709" s="4"/>
      <c r="EZ709" s="4"/>
      <c r="FA709" s="4"/>
      <c r="FB709" s="4"/>
      <c r="FC709" s="4"/>
      <c r="FD709" s="4"/>
      <c r="FE709" s="4"/>
      <c r="FF709" s="4"/>
      <c r="FG709" s="4"/>
      <c r="FH709" s="4"/>
      <c r="FI709" s="4"/>
      <c r="FJ709" s="4"/>
      <c r="FK709" s="4"/>
      <c r="FL709" s="4"/>
      <c r="FM709" s="4"/>
      <c r="FN709" s="4"/>
      <c r="FO709" s="4"/>
      <c r="FP709" s="4"/>
      <c r="FQ709" s="4"/>
      <c r="FR709" s="4"/>
      <c r="FS709" s="4"/>
      <c r="FT709" s="4"/>
      <c r="FU709" s="4"/>
      <c r="FV709" s="4"/>
      <c r="FW709" s="4"/>
      <c r="FX709" s="4"/>
      <c r="FY709" s="4"/>
      <c r="FZ709" s="4"/>
      <c r="GA709" s="4"/>
      <c r="GB709" s="4"/>
      <c r="GC709" s="4"/>
      <c r="GD709" s="4"/>
      <c r="GE709" s="4"/>
      <c r="GF709" s="4"/>
    </row>
    <row r="710">
      <c r="A710" s="2" t="s">
        <v>4479</v>
      </c>
      <c r="B710" s="2" t="s">
        <v>225</v>
      </c>
      <c r="C710" s="2" t="s">
        <v>287</v>
      </c>
      <c r="D710" s="2" t="s">
        <v>227</v>
      </c>
      <c r="E710" s="2" t="s">
        <v>228</v>
      </c>
      <c r="F710" s="2" t="s">
        <v>4441</v>
      </c>
      <c r="G710" s="2" t="s">
        <v>4441</v>
      </c>
      <c r="H710" s="2" t="s">
        <v>4441</v>
      </c>
      <c r="I710" s="2" t="s">
        <v>4442</v>
      </c>
      <c r="J710" s="2" t="s">
        <v>201</v>
      </c>
      <c r="K710" s="2" t="s">
        <v>202</v>
      </c>
      <c r="L710" s="3">
        <v>21.6</v>
      </c>
      <c r="M710" s="3">
        <v>22.68</v>
      </c>
      <c r="N710" s="3">
        <v>47.99</v>
      </c>
      <c r="O710" s="2" t="s">
        <v>203</v>
      </c>
      <c r="P710" s="2" t="s">
        <v>204</v>
      </c>
      <c r="Q710" s="2" t="s">
        <v>205</v>
      </c>
      <c r="R710" s="2" t="s">
        <v>206</v>
      </c>
      <c r="S710" s="2" t="s">
        <v>4480</v>
      </c>
      <c r="T710" s="2" t="s">
        <v>234</v>
      </c>
      <c r="U710" s="2" t="s">
        <v>556</v>
      </c>
      <c r="V710" s="2" t="s">
        <v>209</v>
      </c>
      <c r="W710" s="2" t="s">
        <v>210</v>
      </c>
      <c r="X710" s="2" t="s">
        <v>206</v>
      </c>
      <c r="Y710" s="2" t="s">
        <v>1360</v>
      </c>
      <c r="Z710" s="4">
        <v>2</v>
      </c>
      <c r="AA710" s="4">
        <f>=ROUNDDOWN(0.232558139534884,0)</f>
      </c>
      <c r="AB710" s="5">
        <v>8.6</v>
      </c>
      <c r="AC710" s="2" t="s">
        <v>112</v>
      </c>
      <c r="AD710" s="4">
        <v>50</v>
      </c>
      <c r="AE710" s="4">
        <v>220</v>
      </c>
      <c r="AF710" s="6">
        <v>65</v>
      </c>
      <c r="AG710" s="6"/>
      <c r="AH710" s="7">
        <v>0.871</v>
      </c>
      <c r="AI710" s="4"/>
      <c r="AJ710" s="4">
        <f>=ROUNDDOWN({0},0)</f>
      </c>
      <c r="AK710" s="5"/>
      <c r="AL710" s="2" t="s">
        <v>206</v>
      </c>
      <c r="AM710" s="4"/>
      <c r="AN710" s="4"/>
      <c r="AO710" s="7"/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 t="s">
        <v>206</v>
      </c>
      <c r="BD710" s="8" t="s">
        <v>206</v>
      </c>
      <c r="BE710" s="4" t="s">
        <v>206</v>
      </c>
      <c r="BF710" s="8" t="s">
        <v>206</v>
      </c>
      <c r="BG710" s="7" t="s">
        <v>206</v>
      </c>
      <c r="BH710" s="7" t="s">
        <v>206</v>
      </c>
      <c r="BI710" s="7"/>
      <c r="BJ710" s="4">
        <v>58</v>
      </c>
      <c r="BK710" s="8">
        <v>1515.64</v>
      </c>
      <c r="BL710" s="2" t="s">
        <v>4481</v>
      </c>
      <c r="BM710" s="7"/>
      <c r="BN710" s="7"/>
      <c r="BO710" s="4"/>
      <c r="BP710" s="8"/>
      <c r="BQ710" s="4"/>
      <c r="BR710" s="8"/>
      <c r="BS710" s="7"/>
      <c r="BT710" s="7"/>
      <c r="BU710" s="2" t="s">
        <v>4482</v>
      </c>
      <c r="BV710" s="2" t="s">
        <v>206</v>
      </c>
      <c r="BW710" s="2" t="s">
        <v>206</v>
      </c>
      <c r="BX710" s="2" t="s">
        <v>214</v>
      </c>
      <c r="BY710" s="2" t="s">
        <v>215</v>
      </c>
      <c r="BZ710" s="2" t="s">
        <v>203</v>
      </c>
      <c r="CA710" s="2" t="s">
        <v>1232</v>
      </c>
      <c r="CB710" s="2" t="s">
        <v>4459</v>
      </c>
      <c r="CC710" s="2" t="s">
        <v>218</v>
      </c>
      <c r="CD710" s="2" t="s">
        <v>206</v>
      </c>
      <c r="CE710" s="4">
        <v>2</v>
      </c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>
        <v>50</v>
      </c>
      <c r="DA710" s="4"/>
      <c r="DB710" s="4"/>
      <c r="DC710" s="4"/>
      <c r="DD710" s="4"/>
      <c r="DE710" s="4"/>
      <c r="DF710" s="4"/>
      <c r="DG710" s="4"/>
      <c r="DH710" s="4"/>
      <c r="DI710" s="4"/>
      <c r="DJ710" s="4"/>
      <c r="DK710" s="4"/>
      <c r="DL710" s="4"/>
      <c r="DM710" s="4"/>
      <c r="DN710" s="4"/>
      <c r="DO710" s="4"/>
      <c r="DP710" s="4"/>
      <c r="DQ710" s="4"/>
      <c r="DR710" s="4"/>
      <c r="DS710" s="4"/>
      <c r="DT710" s="4"/>
      <c r="DU710" s="4"/>
      <c r="DV710" s="4"/>
      <c r="DW710" s="4"/>
      <c r="DX710" s="4"/>
      <c r="DY710" s="4"/>
      <c r="DZ710" s="4"/>
      <c r="EA710" s="4"/>
      <c r="EB710" s="4"/>
      <c r="EC710" s="4"/>
      <c r="ED710" s="4"/>
      <c r="EE710" s="4"/>
      <c r="EF710" s="4"/>
      <c r="EG710" s="4"/>
      <c r="EH710" s="4"/>
      <c r="EI710" s="4"/>
      <c r="EJ710" s="4"/>
      <c r="EK710" s="4">
        <v>80</v>
      </c>
      <c r="EL710" s="4"/>
      <c r="EM710" s="4"/>
      <c r="EN710" s="4"/>
      <c r="EO710" s="4"/>
      <c r="EP710" s="4"/>
      <c r="EQ710" s="4"/>
      <c r="ER710" s="4"/>
      <c r="ES710" s="4"/>
      <c r="ET710" s="4"/>
      <c r="EU710" s="4"/>
      <c r="EV710" s="4"/>
      <c r="EW710" s="4"/>
      <c r="EX710" s="4"/>
      <c r="EY710" s="4"/>
      <c r="EZ710" s="4"/>
      <c r="FA710" s="4">
        <v>90</v>
      </c>
      <c r="FB710" s="4"/>
      <c r="FC710" s="4"/>
      <c r="FD710" s="4"/>
      <c r="FE710" s="4"/>
      <c r="FF710" s="4"/>
      <c r="FG710" s="4"/>
      <c r="FH710" s="4"/>
      <c r="FI710" s="4"/>
      <c r="FJ710" s="4"/>
      <c r="FK710" s="4"/>
      <c r="FL710" s="4"/>
      <c r="FM710" s="4"/>
      <c r="FN710" s="4"/>
      <c r="FO710" s="4"/>
      <c r="FP710" s="4"/>
      <c r="FQ710" s="4"/>
      <c r="FR710" s="4"/>
      <c r="FS710" s="4"/>
      <c r="FT710" s="4"/>
      <c r="FU710" s="4"/>
      <c r="FV710" s="4"/>
      <c r="FW710" s="4"/>
      <c r="FX710" s="4"/>
      <c r="FY710" s="4"/>
      <c r="FZ710" s="4"/>
      <c r="GA710" s="4"/>
      <c r="GB710" s="4"/>
      <c r="GC710" s="4"/>
      <c r="GD710" s="4"/>
      <c r="GE710" s="4"/>
      <c r="GF710" s="4"/>
    </row>
    <row r="711">
      <c r="A711" s="2" t="s">
        <v>4483</v>
      </c>
      <c r="B711" s="2" t="s">
        <v>461</v>
      </c>
      <c r="C711" s="2" t="s">
        <v>287</v>
      </c>
      <c r="D711" s="2" t="s">
        <v>463</v>
      </c>
      <c r="E711" s="2" t="s">
        <v>464</v>
      </c>
      <c r="F711" s="2" t="s">
        <v>4484</v>
      </c>
      <c r="G711" s="2" t="s">
        <v>4485</v>
      </c>
      <c r="H711" s="2" t="s">
        <v>4486</v>
      </c>
      <c r="I711" s="2" t="s">
        <v>4487</v>
      </c>
      <c r="J711" s="2" t="s">
        <v>434</v>
      </c>
      <c r="K711" s="2" t="s">
        <v>262</v>
      </c>
      <c r="L711" s="3">
        <v>162</v>
      </c>
      <c r="M711" s="3">
        <v>170.1</v>
      </c>
      <c r="N711" s="3">
        <v>349</v>
      </c>
      <c r="O711" s="2" t="s">
        <v>203</v>
      </c>
      <c r="P711" s="2" t="s">
        <v>204</v>
      </c>
      <c r="Q711" s="2" t="s">
        <v>205</v>
      </c>
      <c r="R711" s="2" t="s">
        <v>206</v>
      </c>
      <c r="S711" s="2" t="s">
        <v>206</v>
      </c>
      <c r="T711" s="2" t="s">
        <v>206</v>
      </c>
      <c r="U711" s="2" t="s">
        <v>437</v>
      </c>
      <c r="V711" s="2" t="s">
        <v>468</v>
      </c>
      <c r="W711" s="2" t="s">
        <v>539</v>
      </c>
      <c r="X711" s="2" t="s">
        <v>206</v>
      </c>
      <c r="Y711" s="2" t="s">
        <v>4488</v>
      </c>
      <c r="Z711" s="4">
        <v>382</v>
      </c>
      <c r="AA711" s="4">
        <f>=ROUNDDOWN(48.974358974359,0)</f>
      </c>
      <c r="AB711" s="5">
        <v>7.8</v>
      </c>
      <c r="AC711" s="2" t="s">
        <v>206</v>
      </c>
      <c r="AD711" s="4"/>
      <c r="AE711" s="4"/>
      <c r="AF711" s="6">
        <v>66</v>
      </c>
      <c r="AG711" s="6"/>
      <c r="AH711" s="7">
        <v>1</v>
      </c>
      <c r="AI711" s="4"/>
      <c r="AJ711" s="4">
        <f>=ROUNDDOWN({0},0)</f>
      </c>
      <c r="AK711" s="5"/>
      <c r="AL711" s="2" t="s">
        <v>206</v>
      </c>
      <c r="AM711" s="4"/>
      <c r="AN711" s="4"/>
      <c r="AO711" s="7"/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 t="s">
        <v>206</v>
      </c>
      <c r="BD711" s="8" t="s">
        <v>206</v>
      </c>
      <c r="BE711" s="4" t="s">
        <v>206</v>
      </c>
      <c r="BF711" s="8" t="s">
        <v>206</v>
      </c>
      <c r="BG711" s="7" t="s">
        <v>206</v>
      </c>
      <c r="BH711" s="7" t="s">
        <v>206</v>
      </c>
      <c r="BI711" s="7"/>
      <c r="BJ711" s="4">
        <v>24</v>
      </c>
      <c r="BK711" s="8">
        <v>3597.32</v>
      </c>
      <c r="BL711" s="2" t="s">
        <v>4489</v>
      </c>
      <c r="BM711" s="7"/>
      <c r="BN711" s="7"/>
      <c r="BO711" s="4"/>
      <c r="BP711" s="8"/>
      <c r="BQ711" s="4"/>
      <c r="BR711" s="8"/>
      <c r="BS711" s="7"/>
      <c r="BT711" s="7"/>
      <c r="BU711" s="2" t="s">
        <v>4490</v>
      </c>
      <c r="BV711" s="2" t="s">
        <v>206</v>
      </c>
      <c r="BW711" s="2" t="s">
        <v>206</v>
      </c>
      <c r="BX711" s="2" t="s">
        <v>426</v>
      </c>
      <c r="BY711" s="2" t="s">
        <v>215</v>
      </c>
      <c r="BZ711" s="2" t="s">
        <v>203</v>
      </c>
      <c r="CA711" s="2" t="s">
        <v>4491</v>
      </c>
      <c r="CB711" s="2" t="s">
        <v>4492</v>
      </c>
      <c r="CC711" s="2" t="s">
        <v>218</v>
      </c>
      <c r="CD711" s="2" t="s">
        <v>206</v>
      </c>
      <c r="CE711" s="4"/>
      <c r="CF711" s="4">
        <v>382</v>
      </c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  <c r="DE711" s="4"/>
      <c r="DF711" s="4"/>
      <c r="DG711" s="4"/>
      <c r="DH711" s="4"/>
      <c r="DI711" s="4"/>
      <c r="DJ711" s="4"/>
      <c r="DK711" s="4"/>
      <c r="DL711" s="4"/>
      <c r="DM711" s="4"/>
      <c r="DN711" s="4"/>
      <c r="DO711" s="4"/>
      <c r="DP711" s="4"/>
      <c r="DQ711" s="4"/>
      <c r="DR711" s="4"/>
      <c r="DS711" s="4"/>
      <c r="DT711" s="4"/>
      <c r="DU711" s="4"/>
      <c r="DV711" s="4"/>
      <c r="DW711" s="4"/>
      <c r="DX711" s="4"/>
      <c r="DY711" s="4"/>
      <c r="DZ711" s="4"/>
      <c r="EA711" s="4"/>
      <c r="EB711" s="4"/>
      <c r="EC711" s="4"/>
      <c r="ED711" s="4"/>
      <c r="EE711" s="4"/>
      <c r="EF711" s="4"/>
      <c r="EG711" s="4"/>
      <c r="EH711" s="4"/>
      <c r="EI711" s="4"/>
      <c r="EJ711" s="4"/>
      <c r="EK711" s="4"/>
      <c r="EL711" s="4"/>
      <c r="EM711" s="4"/>
      <c r="EN711" s="4"/>
      <c r="EO711" s="4"/>
      <c r="EP711" s="4"/>
      <c r="EQ711" s="4"/>
      <c r="ER711" s="4"/>
      <c r="ES711" s="4"/>
      <c r="ET711" s="4"/>
      <c r="EU711" s="4"/>
      <c r="EV711" s="4"/>
      <c r="EW711" s="4"/>
      <c r="EX711" s="4"/>
      <c r="EY711" s="4"/>
      <c r="EZ711" s="4"/>
      <c r="FA711" s="4"/>
      <c r="FB711" s="4"/>
      <c r="FC711" s="4"/>
      <c r="FD711" s="4"/>
      <c r="FE711" s="4"/>
      <c r="FF711" s="4"/>
      <c r="FG711" s="4"/>
      <c r="FH711" s="4"/>
      <c r="FI711" s="4"/>
      <c r="FJ711" s="4"/>
      <c r="FK711" s="4"/>
      <c r="FL711" s="4"/>
      <c r="FM711" s="4"/>
      <c r="FN711" s="4"/>
      <c r="FO711" s="4"/>
      <c r="FP711" s="4"/>
      <c r="FQ711" s="4"/>
      <c r="FR711" s="4"/>
      <c r="FS711" s="4"/>
      <c r="FT711" s="4"/>
      <c r="FU711" s="4"/>
      <c r="FV711" s="4"/>
      <c r="FW711" s="4"/>
      <c r="FX711" s="4"/>
      <c r="FY711" s="4"/>
      <c r="FZ711" s="4"/>
      <c r="GA711" s="4"/>
      <c r="GB711" s="4"/>
      <c r="GC711" s="4"/>
      <c r="GD711" s="4"/>
      <c r="GE711" s="4"/>
      <c r="GF711" s="4"/>
    </row>
    <row r="712">
      <c r="A712" s="2" t="s">
        <v>4493</v>
      </c>
      <c r="B712" s="2" t="s">
        <v>461</v>
      </c>
      <c r="C712" s="2" t="s">
        <v>287</v>
      </c>
      <c r="D712" s="2" t="s">
        <v>463</v>
      </c>
      <c r="E712" s="2" t="s">
        <v>464</v>
      </c>
      <c r="F712" s="2" t="s">
        <v>4484</v>
      </c>
      <c r="G712" s="2" t="s">
        <v>4485</v>
      </c>
      <c r="H712" s="2" t="s">
        <v>4486</v>
      </c>
      <c r="I712" s="2" t="s">
        <v>4487</v>
      </c>
      <c r="J712" s="2" t="s">
        <v>434</v>
      </c>
      <c r="K712" s="2" t="s">
        <v>1390</v>
      </c>
      <c r="L712" s="3">
        <v>162</v>
      </c>
      <c r="M712" s="3">
        <v>170.1</v>
      </c>
      <c r="N712" s="3">
        <v>349</v>
      </c>
      <c r="O712" s="2" t="s">
        <v>203</v>
      </c>
      <c r="P712" s="2" t="s">
        <v>467</v>
      </c>
      <c r="Q712" s="2" t="s">
        <v>205</v>
      </c>
      <c r="R712" s="2" t="s">
        <v>206</v>
      </c>
      <c r="S712" s="2" t="s">
        <v>206</v>
      </c>
      <c r="T712" s="2" t="s">
        <v>206</v>
      </c>
      <c r="U712" s="2" t="s">
        <v>437</v>
      </c>
      <c r="V712" s="2" t="s">
        <v>468</v>
      </c>
      <c r="W712" s="2" t="s">
        <v>539</v>
      </c>
      <c r="X712" s="2" t="s">
        <v>206</v>
      </c>
      <c r="Y712" s="2" t="s">
        <v>4494</v>
      </c>
      <c r="Z712" s="4">
        <v>153</v>
      </c>
      <c r="AA712" s="4">
        <f>=ROUNDDOWN(63.75,0)</f>
      </c>
      <c r="AB712" s="5">
        <v>2.4</v>
      </c>
      <c r="AC712" s="2" t="s">
        <v>206</v>
      </c>
      <c r="AD712" s="4"/>
      <c r="AE712" s="4"/>
      <c r="AF712" s="6">
        <v>66</v>
      </c>
      <c r="AG712" s="6"/>
      <c r="AH712" s="7">
        <v>1</v>
      </c>
      <c r="AI712" s="4"/>
      <c r="AJ712" s="4">
        <f>=ROUNDDOWN({0},0)</f>
      </c>
      <c r="AK712" s="5"/>
      <c r="AL712" s="2" t="s">
        <v>206</v>
      </c>
      <c r="AM712" s="4"/>
      <c r="AN712" s="4"/>
      <c r="AO712" s="7"/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 t="s">
        <v>206</v>
      </c>
      <c r="BD712" s="8" t="s">
        <v>206</v>
      </c>
      <c r="BE712" s="4" t="s">
        <v>206</v>
      </c>
      <c r="BF712" s="8" t="s">
        <v>206</v>
      </c>
      <c r="BG712" s="7" t="s">
        <v>206</v>
      </c>
      <c r="BH712" s="7" t="s">
        <v>206</v>
      </c>
      <c r="BI712" s="7"/>
      <c r="BJ712" s="4">
        <v>13</v>
      </c>
      <c r="BK712" s="8">
        <v>1434.27</v>
      </c>
      <c r="BL712" s="2" t="s">
        <v>3444</v>
      </c>
      <c r="BM712" s="7"/>
      <c r="BN712" s="7"/>
      <c r="BO712" s="4"/>
      <c r="BP712" s="8"/>
      <c r="BQ712" s="4"/>
      <c r="BR712" s="8"/>
      <c r="BS712" s="7"/>
      <c r="BT712" s="7"/>
      <c r="BU712" s="2" t="s">
        <v>4495</v>
      </c>
      <c r="BV712" s="2" t="s">
        <v>206</v>
      </c>
      <c r="BW712" s="2" t="s">
        <v>206</v>
      </c>
      <c r="BX712" s="2" t="s">
        <v>426</v>
      </c>
      <c r="BY712" s="2" t="s">
        <v>215</v>
      </c>
      <c r="BZ712" s="2" t="s">
        <v>203</v>
      </c>
      <c r="CA712" s="2" t="s">
        <v>4496</v>
      </c>
      <c r="CB712" s="2" t="s">
        <v>4497</v>
      </c>
      <c r="CC712" s="2" t="s">
        <v>218</v>
      </c>
      <c r="CD712" s="2" t="s">
        <v>206</v>
      </c>
      <c r="CE712" s="4"/>
      <c r="CF712" s="4">
        <v>153</v>
      </c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/>
      <c r="DN712" s="4"/>
      <c r="DO712" s="4"/>
      <c r="DP712" s="4"/>
      <c r="DQ712" s="4"/>
      <c r="DR712" s="4"/>
      <c r="DS712" s="4"/>
      <c r="DT712" s="4"/>
      <c r="DU712" s="4"/>
      <c r="DV712" s="4"/>
      <c r="DW712" s="4"/>
      <c r="DX712" s="4"/>
      <c r="DY712" s="4"/>
      <c r="DZ712" s="4"/>
      <c r="EA712" s="4"/>
      <c r="EB712" s="4"/>
      <c r="EC712" s="4"/>
      <c r="ED712" s="4"/>
      <c r="EE712" s="4"/>
      <c r="EF712" s="4"/>
      <c r="EG712" s="4"/>
      <c r="EH712" s="4"/>
      <c r="EI712" s="4"/>
      <c r="EJ712" s="4"/>
      <c r="EK712" s="4"/>
      <c r="EL712" s="4"/>
      <c r="EM712" s="4"/>
      <c r="EN712" s="4"/>
      <c r="EO712" s="4"/>
      <c r="EP712" s="4"/>
      <c r="EQ712" s="4"/>
      <c r="ER712" s="4"/>
      <c r="ES712" s="4"/>
      <c r="ET712" s="4"/>
      <c r="EU712" s="4"/>
      <c r="EV712" s="4"/>
      <c r="EW712" s="4"/>
      <c r="EX712" s="4"/>
      <c r="EY712" s="4"/>
      <c r="EZ712" s="4"/>
      <c r="FA712" s="4"/>
      <c r="FB712" s="4"/>
      <c r="FC712" s="4"/>
      <c r="FD712" s="4"/>
      <c r="FE712" s="4"/>
      <c r="FF712" s="4"/>
      <c r="FG712" s="4"/>
      <c r="FH712" s="4"/>
      <c r="FI712" s="4"/>
      <c r="FJ712" s="4"/>
      <c r="FK712" s="4"/>
      <c r="FL712" s="4"/>
      <c r="FM712" s="4"/>
      <c r="FN712" s="4"/>
      <c r="FO712" s="4"/>
      <c r="FP712" s="4"/>
      <c r="FQ712" s="4"/>
      <c r="FR712" s="4"/>
      <c r="FS712" s="4"/>
      <c r="FT712" s="4"/>
      <c r="FU712" s="4"/>
      <c r="FV712" s="4"/>
      <c r="FW712" s="4"/>
      <c r="FX712" s="4"/>
      <c r="FY712" s="4"/>
      <c r="FZ712" s="4"/>
      <c r="GA712" s="4"/>
      <c r="GB712" s="4"/>
      <c r="GC712" s="4"/>
      <c r="GD712" s="4"/>
      <c r="GE712" s="4"/>
      <c r="GF712" s="4"/>
    </row>
    <row r="713">
      <c r="A713" s="2" t="s">
        <v>4498</v>
      </c>
      <c r="B713" s="2" t="s">
        <v>461</v>
      </c>
      <c r="C713" s="2" t="s">
        <v>287</v>
      </c>
      <c r="D713" s="2" t="s">
        <v>463</v>
      </c>
      <c r="E713" s="2" t="s">
        <v>464</v>
      </c>
      <c r="F713" s="2" t="s">
        <v>4484</v>
      </c>
      <c r="G713" s="2" t="s">
        <v>4485</v>
      </c>
      <c r="H713" s="2" t="s">
        <v>4486</v>
      </c>
      <c r="I713" s="2" t="s">
        <v>4487</v>
      </c>
      <c r="J713" s="2" t="s">
        <v>434</v>
      </c>
      <c r="K713" s="2" t="s">
        <v>3247</v>
      </c>
      <c r="L713" s="3">
        <v>162</v>
      </c>
      <c r="M713" s="3">
        <v>170.1</v>
      </c>
      <c r="N713" s="3">
        <v>349</v>
      </c>
      <c r="O713" s="2" t="s">
        <v>203</v>
      </c>
      <c r="P713" s="2" t="s">
        <v>492</v>
      </c>
      <c r="Q713" s="2" t="s">
        <v>205</v>
      </c>
      <c r="R713" s="2" t="s">
        <v>206</v>
      </c>
      <c r="S713" s="2" t="s">
        <v>206</v>
      </c>
      <c r="T713" s="2" t="s">
        <v>206</v>
      </c>
      <c r="U713" s="2" t="s">
        <v>437</v>
      </c>
      <c r="V713" s="2" t="s">
        <v>209</v>
      </c>
      <c r="W713" s="2" t="s">
        <v>539</v>
      </c>
      <c r="X713" s="2" t="s">
        <v>206</v>
      </c>
      <c r="Y713" s="2" t="s">
        <v>1509</v>
      </c>
      <c r="Z713" s="4">
        <v>261</v>
      </c>
      <c r="AA713" s="4">
        <f>=ROUNDDOWN(31.8292682926829,0)</f>
      </c>
      <c r="AB713" s="5">
        <v>8.2</v>
      </c>
      <c r="AC713" s="2" t="s">
        <v>2443</v>
      </c>
      <c r="AD713" s="4">
        <v>100</v>
      </c>
      <c r="AE713" s="4">
        <v>100</v>
      </c>
      <c r="AF713" s="6">
        <v>66</v>
      </c>
      <c r="AG713" s="6">
        <v>49</v>
      </c>
      <c r="AH713" s="7">
        <v>1</v>
      </c>
      <c r="AI713" s="4"/>
      <c r="AJ713" s="4">
        <f>=ROUNDDOWN({0},0)</f>
      </c>
      <c r="AK713" s="5">
        <v>3.2</v>
      </c>
      <c r="AL713" s="2" t="s">
        <v>206</v>
      </c>
      <c r="AM713" s="4"/>
      <c r="AN713" s="4"/>
      <c r="AO713" s="7">
        <v>1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 t="s">
        <v>206</v>
      </c>
      <c r="BD713" s="8" t="s">
        <v>206</v>
      </c>
      <c r="BE713" s="4" t="s">
        <v>206</v>
      </c>
      <c r="BF713" s="8" t="s">
        <v>206</v>
      </c>
      <c r="BG713" s="7" t="s">
        <v>206</v>
      </c>
      <c r="BH713" s="7" t="s">
        <v>206</v>
      </c>
      <c r="BI713" s="7"/>
      <c r="BJ713" s="4">
        <v>54</v>
      </c>
      <c r="BK713" s="8">
        <v>8291.39</v>
      </c>
      <c r="BL713" s="2" t="s">
        <v>4499</v>
      </c>
      <c r="BM713" s="7"/>
      <c r="BN713" s="7"/>
      <c r="BO713" s="4"/>
      <c r="BP713" s="8"/>
      <c r="BQ713" s="4"/>
      <c r="BR713" s="8"/>
      <c r="BS713" s="7"/>
      <c r="BT713" s="7"/>
      <c r="BU713" s="2" t="s">
        <v>4500</v>
      </c>
      <c r="BV713" s="2" t="s">
        <v>206</v>
      </c>
      <c r="BW713" s="2" t="s">
        <v>206</v>
      </c>
      <c r="BX713" s="2" t="s">
        <v>426</v>
      </c>
      <c r="BY713" s="2" t="s">
        <v>215</v>
      </c>
      <c r="BZ713" s="2" t="s">
        <v>203</v>
      </c>
      <c r="CA713" s="2" t="s">
        <v>4501</v>
      </c>
      <c r="CB713" s="2" t="s">
        <v>4502</v>
      </c>
      <c r="CC713" s="2" t="s">
        <v>218</v>
      </c>
      <c r="CD713" s="2" t="s">
        <v>206</v>
      </c>
      <c r="CE713" s="4"/>
      <c r="CF713" s="4">
        <v>241</v>
      </c>
      <c r="CG713" s="4"/>
      <c r="CH713" s="4">
        <v>20</v>
      </c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  <c r="DE713" s="4"/>
      <c r="DF713" s="4"/>
      <c r="DG713" s="4"/>
      <c r="DH713" s="4"/>
      <c r="DI713" s="4"/>
      <c r="DJ713" s="4"/>
      <c r="DK713" s="4"/>
      <c r="DL713" s="4"/>
      <c r="DM713" s="4"/>
      <c r="DN713" s="4"/>
      <c r="DO713" s="4"/>
      <c r="DP713" s="4"/>
      <c r="DQ713" s="4"/>
      <c r="DR713" s="4"/>
      <c r="DS713" s="4"/>
      <c r="DT713" s="4"/>
      <c r="DU713" s="4"/>
      <c r="DV713" s="4"/>
      <c r="DW713" s="4"/>
      <c r="DX713" s="4"/>
      <c r="DY713" s="4"/>
      <c r="DZ713" s="4"/>
      <c r="EA713" s="4"/>
      <c r="EB713" s="4"/>
      <c r="EC713" s="4"/>
      <c r="ED713" s="4"/>
      <c r="EE713" s="4"/>
      <c r="EF713" s="4"/>
      <c r="EG713" s="4"/>
      <c r="EH713" s="4"/>
      <c r="EI713" s="4"/>
      <c r="EJ713" s="4"/>
      <c r="EK713" s="4"/>
      <c r="EL713" s="4"/>
      <c r="EM713" s="4"/>
      <c r="EN713" s="4"/>
      <c r="EO713" s="4"/>
      <c r="EP713" s="4"/>
      <c r="EQ713" s="4"/>
      <c r="ER713" s="4"/>
      <c r="ES713" s="4"/>
      <c r="ET713" s="4"/>
      <c r="EU713" s="4"/>
      <c r="EV713" s="4"/>
      <c r="EW713" s="4"/>
      <c r="EX713" s="4"/>
      <c r="EY713" s="4"/>
      <c r="EZ713" s="4"/>
      <c r="FA713" s="4"/>
      <c r="FB713" s="4"/>
      <c r="FC713" s="4"/>
      <c r="FD713" s="4"/>
      <c r="FE713" s="4"/>
      <c r="FF713" s="4"/>
      <c r="FG713" s="4"/>
      <c r="FH713" s="4"/>
      <c r="FI713" s="4"/>
      <c r="FJ713" s="4"/>
      <c r="FK713" s="4"/>
      <c r="FL713" s="4"/>
      <c r="FM713" s="4"/>
      <c r="FN713" s="4"/>
      <c r="FO713" s="4"/>
      <c r="FP713" s="4"/>
      <c r="FQ713" s="4"/>
      <c r="FR713" s="4"/>
      <c r="FS713" s="4"/>
      <c r="FT713" s="4"/>
      <c r="FU713" s="4"/>
      <c r="FV713" s="4"/>
      <c r="FW713" s="4"/>
      <c r="FX713" s="4"/>
      <c r="FY713" s="4">
        <v>100</v>
      </c>
      <c r="FZ713" s="4"/>
      <c r="GA713" s="4"/>
      <c r="GB713" s="4"/>
      <c r="GC713" s="4"/>
      <c r="GD713" s="4"/>
      <c r="GE713" s="4"/>
      <c r="GF713" s="4"/>
    </row>
    <row r="714">
      <c r="A714" s="2" t="s">
        <v>4503</v>
      </c>
      <c r="B714" s="2" t="s">
        <v>429</v>
      </c>
      <c r="C714" s="2" t="s">
        <v>287</v>
      </c>
      <c r="D714" s="2" t="s">
        <v>909</v>
      </c>
      <c r="E714" s="2" t="s">
        <v>431</v>
      </c>
      <c r="F714" s="2" t="s">
        <v>4504</v>
      </c>
      <c r="G714" s="2" t="s">
        <v>4504</v>
      </c>
      <c r="H714" s="2" t="s">
        <v>4504</v>
      </c>
      <c r="I714" s="2" t="s">
        <v>4505</v>
      </c>
      <c r="J714" s="2" t="s">
        <v>434</v>
      </c>
      <c r="K714" s="2" t="s">
        <v>4506</v>
      </c>
      <c r="L714" s="3">
        <v>14</v>
      </c>
      <c r="M714" s="3">
        <v>14.7</v>
      </c>
      <c r="N714" s="3">
        <v>34.99</v>
      </c>
      <c r="O714" s="2" t="s">
        <v>203</v>
      </c>
      <c r="P714" s="2" t="s">
        <v>467</v>
      </c>
      <c r="Q714" s="2" t="s">
        <v>205</v>
      </c>
      <c r="R714" s="2" t="s">
        <v>206</v>
      </c>
      <c r="S714" s="2" t="s">
        <v>206</v>
      </c>
      <c r="T714" s="2" t="s">
        <v>206</v>
      </c>
      <c r="U714" s="2" t="s">
        <v>437</v>
      </c>
      <c r="V714" s="2" t="s">
        <v>1002</v>
      </c>
      <c r="W714" s="2" t="s">
        <v>210</v>
      </c>
      <c r="X714" s="2" t="s">
        <v>786</v>
      </c>
      <c r="Y714" s="2" t="s">
        <v>1003</v>
      </c>
      <c r="Z714" s="4">
        <v>208</v>
      </c>
      <c r="AA714" s="4">
        <f>=ROUNDDOWN(231.111111111111,0)</f>
      </c>
      <c r="AB714" s="5">
        <v>0.9</v>
      </c>
      <c r="AC714" s="2" t="s">
        <v>206</v>
      </c>
      <c r="AD714" s="4"/>
      <c r="AE714" s="4"/>
      <c r="AF714" s="6">
        <v>63</v>
      </c>
      <c r="AG714" s="6"/>
      <c r="AH714" s="7">
        <v>1</v>
      </c>
      <c r="AI714" s="4"/>
      <c r="AJ714" s="4">
        <f>=ROUNDDOWN({0},0)</f>
      </c>
      <c r="AK714" s="5"/>
      <c r="AL714" s="2" t="s">
        <v>206</v>
      </c>
      <c r="AM714" s="4"/>
      <c r="AN714" s="4"/>
      <c r="AO714" s="7"/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 t="s">
        <v>206</v>
      </c>
      <c r="BD714" s="8" t="s">
        <v>206</v>
      </c>
      <c r="BE714" s="4" t="s">
        <v>206</v>
      </c>
      <c r="BF714" s="8" t="s">
        <v>206</v>
      </c>
      <c r="BG714" s="7" t="s">
        <v>206</v>
      </c>
      <c r="BH714" s="7" t="s">
        <v>206</v>
      </c>
      <c r="BI714" s="7"/>
      <c r="BJ714" s="4">
        <v>2</v>
      </c>
      <c r="BK714" s="8">
        <v>30.42</v>
      </c>
      <c r="BL714" s="2" t="s">
        <v>4507</v>
      </c>
      <c r="BM714" s="7"/>
      <c r="BN714" s="7"/>
      <c r="BO714" s="4"/>
      <c r="BP714" s="8"/>
      <c r="BQ714" s="4"/>
      <c r="BR714" s="8"/>
      <c r="BS714" s="7"/>
      <c r="BT714" s="7"/>
      <c r="BU714" s="2" t="s">
        <v>4508</v>
      </c>
      <c r="BV714" s="2" t="s">
        <v>206</v>
      </c>
      <c r="BW714" s="2" t="s">
        <v>206</v>
      </c>
      <c r="BX714" s="2" t="s">
        <v>214</v>
      </c>
      <c r="BY714" s="2" t="s">
        <v>215</v>
      </c>
      <c r="BZ714" s="2" t="s">
        <v>203</v>
      </c>
      <c r="CA714" s="2" t="s">
        <v>1006</v>
      </c>
      <c r="CB714" s="2" t="s">
        <v>206</v>
      </c>
      <c r="CC714" s="2" t="s">
        <v>218</v>
      </c>
      <c r="CD714" s="2" t="s">
        <v>206</v>
      </c>
      <c r="CE714" s="4"/>
      <c r="CF714" s="4">
        <v>208</v>
      </c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  <c r="DE714" s="4"/>
      <c r="DF714" s="4"/>
      <c r="DG714" s="4"/>
      <c r="DH714" s="4"/>
      <c r="DI714" s="4"/>
      <c r="DJ714" s="4"/>
      <c r="DK714" s="4"/>
      <c r="DL714" s="4"/>
      <c r="DM714" s="4"/>
      <c r="DN714" s="4"/>
      <c r="DO714" s="4"/>
      <c r="DP714" s="4"/>
      <c r="DQ714" s="4"/>
      <c r="DR714" s="4"/>
      <c r="DS714" s="4"/>
      <c r="DT714" s="4"/>
      <c r="DU714" s="4"/>
      <c r="DV714" s="4"/>
      <c r="DW714" s="4"/>
      <c r="DX714" s="4"/>
      <c r="DY714" s="4"/>
      <c r="DZ714" s="4"/>
      <c r="EA714" s="4"/>
      <c r="EB714" s="4"/>
      <c r="EC714" s="4"/>
      <c r="ED714" s="4"/>
      <c r="EE714" s="4"/>
      <c r="EF714" s="4"/>
      <c r="EG714" s="4"/>
      <c r="EH714" s="4"/>
      <c r="EI714" s="4"/>
      <c r="EJ714" s="4"/>
      <c r="EK714" s="4"/>
      <c r="EL714" s="4"/>
      <c r="EM714" s="4"/>
      <c r="EN714" s="4"/>
      <c r="EO714" s="4"/>
      <c r="EP714" s="4"/>
      <c r="EQ714" s="4"/>
      <c r="ER714" s="4"/>
      <c r="ES714" s="4"/>
      <c r="ET714" s="4"/>
      <c r="EU714" s="4"/>
      <c r="EV714" s="4"/>
      <c r="EW714" s="4"/>
      <c r="EX714" s="4"/>
      <c r="EY714" s="4"/>
      <c r="EZ714" s="4"/>
      <c r="FA714" s="4"/>
      <c r="FB714" s="4"/>
      <c r="FC714" s="4"/>
      <c r="FD714" s="4"/>
      <c r="FE714" s="4"/>
      <c r="FF714" s="4"/>
      <c r="FG714" s="4"/>
      <c r="FH714" s="4"/>
      <c r="FI714" s="4"/>
      <c r="FJ714" s="4"/>
      <c r="FK714" s="4"/>
      <c r="FL714" s="4"/>
      <c r="FM714" s="4"/>
      <c r="FN714" s="4"/>
      <c r="FO714" s="4"/>
      <c r="FP714" s="4"/>
      <c r="FQ714" s="4"/>
      <c r="FR714" s="4"/>
      <c r="FS714" s="4"/>
      <c r="FT714" s="4"/>
      <c r="FU714" s="4"/>
      <c r="FV714" s="4"/>
      <c r="FW714" s="4"/>
      <c r="FX714" s="4"/>
      <c r="FY714" s="4"/>
      <c r="FZ714" s="4"/>
      <c r="GA714" s="4"/>
      <c r="GB714" s="4"/>
      <c r="GC714" s="4"/>
      <c r="GD714" s="4"/>
      <c r="GE714" s="4"/>
      <c r="GF714" s="4"/>
    </row>
    <row r="715">
      <c r="A715" s="2" t="s">
        <v>4509</v>
      </c>
      <c r="B715" s="2" t="s">
        <v>429</v>
      </c>
      <c r="C715" s="2" t="s">
        <v>287</v>
      </c>
      <c r="D715" s="2" t="s">
        <v>909</v>
      </c>
      <c r="E715" s="2" t="s">
        <v>431</v>
      </c>
      <c r="F715" s="2" t="s">
        <v>4504</v>
      </c>
      <c r="G715" s="2" t="s">
        <v>4504</v>
      </c>
      <c r="H715" s="2" t="s">
        <v>4504</v>
      </c>
      <c r="I715" s="2" t="s">
        <v>4510</v>
      </c>
      <c r="J715" s="2" t="s">
        <v>434</v>
      </c>
      <c r="K715" s="2" t="s">
        <v>4511</v>
      </c>
      <c r="L715" s="3">
        <v>14</v>
      </c>
      <c r="M715" s="3">
        <v>14.7</v>
      </c>
      <c r="N715" s="3">
        <v>34.99</v>
      </c>
      <c r="O715" s="2" t="s">
        <v>203</v>
      </c>
      <c r="P715" s="2" t="s">
        <v>467</v>
      </c>
      <c r="Q715" s="2" t="s">
        <v>205</v>
      </c>
      <c r="R715" s="2" t="s">
        <v>206</v>
      </c>
      <c r="S715" s="2" t="s">
        <v>206</v>
      </c>
      <c r="T715" s="2" t="s">
        <v>206</v>
      </c>
      <c r="U715" s="2" t="s">
        <v>437</v>
      </c>
      <c r="V715" s="2" t="s">
        <v>1002</v>
      </c>
      <c r="W715" s="2" t="s">
        <v>210</v>
      </c>
      <c r="X715" s="2" t="s">
        <v>877</v>
      </c>
      <c r="Y715" s="2" t="s">
        <v>1003</v>
      </c>
      <c r="Z715" s="4">
        <v>100</v>
      </c>
      <c r="AA715" s="4">
        <f>=ROUNDDOWN(16.6666666666667,0)</f>
      </c>
      <c r="AB715" s="5">
        <v>6</v>
      </c>
      <c r="AC715" s="2" t="s">
        <v>206</v>
      </c>
      <c r="AD715" s="4"/>
      <c r="AE715" s="4"/>
      <c r="AF715" s="6">
        <v>63</v>
      </c>
      <c r="AG715" s="6">
        <v>46</v>
      </c>
      <c r="AH715" s="7">
        <v>0.9032</v>
      </c>
      <c r="AI715" s="4"/>
      <c r="AJ715" s="4">
        <f>=ROUNDDOWN({0},0)</f>
      </c>
      <c r="AK715" s="5"/>
      <c r="AL715" s="2" t="s">
        <v>206</v>
      </c>
      <c r="AM715" s="4"/>
      <c r="AN715" s="4"/>
      <c r="AO715" s="7"/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 t="s">
        <v>206</v>
      </c>
      <c r="BD715" s="8" t="s">
        <v>206</v>
      </c>
      <c r="BE715" s="4" t="s">
        <v>206</v>
      </c>
      <c r="BF715" s="8" t="s">
        <v>206</v>
      </c>
      <c r="BG715" s="7" t="s">
        <v>206</v>
      </c>
      <c r="BH715" s="7" t="s">
        <v>206</v>
      </c>
      <c r="BI715" s="7"/>
      <c r="BJ715" s="4">
        <v>13</v>
      </c>
      <c r="BK715" s="8">
        <v>239.6</v>
      </c>
      <c r="BL715" s="2" t="s">
        <v>4512</v>
      </c>
      <c r="BM715" s="7"/>
      <c r="BN715" s="7"/>
      <c r="BO715" s="4"/>
      <c r="BP715" s="8"/>
      <c r="BQ715" s="4"/>
      <c r="BR715" s="8"/>
      <c r="BS715" s="7"/>
      <c r="BT715" s="7"/>
      <c r="BU715" s="2" t="s">
        <v>4513</v>
      </c>
      <c r="BV715" s="2" t="s">
        <v>206</v>
      </c>
      <c r="BW715" s="2" t="s">
        <v>206</v>
      </c>
      <c r="BX715" s="2" t="s">
        <v>214</v>
      </c>
      <c r="BY715" s="2" t="s">
        <v>215</v>
      </c>
      <c r="BZ715" s="2" t="s">
        <v>203</v>
      </c>
      <c r="CA715" s="2" t="s">
        <v>1006</v>
      </c>
      <c r="CB715" s="2" t="s">
        <v>1527</v>
      </c>
      <c r="CC715" s="2" t="s">
        <v>218</v>
      </c>
      <c r="CD715" s="2" t="s">
        <v>206</v>
      </c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>
        <v>100</v>
      </c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  <c r="DE715" s="4"/>
      <c r="DF715" s="4"/>
      <c r="DG715" s="4"/>
      <c r="DH715" s="4"/>
      <c r="DI715" s="4"/>
      <c r="DJ715" s="4"/>
      <c r="DK715" s="4"/>
      <c r="DL715" s="4"/>
      <c r="DM715" s="4"/>
      <c r="DN715" s="4"/>
      <c r="DO715" s="4"/>
      <c r="DP715" s="4"/>
      <c r="DQ715" s="4"/>
      <c r="DR715" s="4"/>
      <c r="DS715" s="4"/>
      <c r="DT715" s="4"/>
      <c r="DU715" s="4"/>
      <c r="DV715" s="4"/>
      <c r="DW715" s="4"/>
      <c r="DX715" s="4"/>
      <c r="DY715" s="4"/>
      <c r="DZ715" s="4"/>
      <c r="EA715" s="4"/>
      <c r="EB715" s="4"/>
      <c r="EC715" s="4"/>
      <c r="ED715" s="4"/>
      <c r="EE715" s="4"/>
      <c r="EF715" s="4"/>
      <c r="EG715" s="4"/>
      <c r="EH715" s="4"/>
      <c r="EI715" s="4"/>
      <c r="EJ715" s="4"/>
      <c r="EK715" s="4"/>
      <c r="EL715" s="4"/>
      <c r="EM715" s="4"/>
      <c r="EN715" s="4"/>
      <c r="EO715" s="4"/>
      <c r="EP715" s="4"/>
      <c r="EQ715" s="4"/>
      <c r="ER715" s="4"/>
      <c r="ES715" s="4"/>
      <c r="ET715" s="4"/>
      <c r="EU715" s="4"/>
      <c r="EV715" s="4"/>
      <c r="EW715" s="4"/>
      <c r="EX715" s="4"/>
      <c r="EY715" s="4"/>
      <c r="EZ715" s="4"/>
      <c r="FA715" s="4"/>
      <c r="FB715" s="4"/>
      <c r="FC715" s="4"/>
      <c r="FD715" s="4"/>
      <c r="FE715" s="4"/>
      <c r="FF715" s="4"/>
      <c r="FG715" s="4"/>
      <c r="FH715" s="4"/>
      <c r="FI715" s="4"/>
      <c r="FJ715" s="4"/>
      <c r="FK715" s="4"/>
      <c r="FL715" s="4"/>
      <c r="FM715" s="4"/>
      <c r="FN715" s="4"/>
      <c r="FO715" s="4"/>
      <c r="FP715" s="4"/>
      <c r="FQ715" s="4"/>
      <c r="FR715" s="4"/>
      <c r="FS715" s="4"/>
      <c r="FT715" s="4"/>
      <c r="FU715" s="4"/>
      <c r="FV715" s="4"/>
      <c r="FW715" s="4"/>
      <c r="FX715" s="4"/>
      <c r="FY715" s="4"/>
      <c r="FZ715" s="4"/>
      <c r="GA715" s="4"/>
      <c r="GB715" s="4"/>
      <c r="GC715" s="4"/>
      <c r="GD715" s="4"/>
      <c r="GE715" s="4"/>
      <c r="GF715" s="4"/>
    </row>
    <row r="716">
      <c r="A716" s="2" t="s">
        <v>4514</v>
      </c>
      <c r="B716" s="2" t="s">
        <v>546</v>
      </c>
      <c r="C716" s="2" t="s">
        <v>1145</v>
      </c>
      <c r="D716" s="2" t="s">
        <v>529</v>
      </c>
      <c r="E716" s="2" t="s">
        <v>1134</v>
      </c>
      <c r="F716" s="2" t="s">
        <v>4515</v>
      </c>
      <c r="G716" s="2" t="s">
        <v>4356</v>
      </c>
      <c r="H716" s="2" t="s">
        <v>4516</v>
      </c>
      <c r="I716" s="2" t="s">
        <v>4517</v>
      </c>
      <c r="J716" s="2" t="s">
        <v>582</v>
      </c>
      <c r="K716" s="2" t="s">
        <v>4518</v>
      </c>
      <c r="L716" s="3">
        <v>38.09</v>
      </c>
      <c r="M716" s="3">
        <v>39.99</v>
      </c>
      <c r="N716" s="3">
        <v>79.99</v>
      </c>
      <c r="O716" s="2" t="s">
        <v>203</v>
      </c>
      <c r="P716" s="2" t="s">
        <v>467</v>
      </c>
      <c r="Q716" s="2" t="s">
        <v>205</v>
      </c>
      <c r="R716" s="2" t="s">
        <v>206</v>
      </c>
      <c r="S716" s="2" t="s">
        <v>4519</v>
      </c>
      <c r="T716" s="2" t="s">
        <v>292</v>
      </c>
      <c r="U716" s="2" t="s">
        <v>556</v>
      </c>
      <c r="V716" s="2" t="s">
        <v>698</v>
      </c>
      <c r="W716" s="2" t="s">
        <v>439</v>
      </c>
      <c r="X716" s="2" t="s">
        <v>3764</v>
      </c>
      <c r="Y716" s="2" t="s">
        <v>4520</v>
      </c>
      <c r="Z716" s="4">
        <v>152</v>
      </c>
      <c r="AA716" s="4">
        <f>=ROUNDDOWN(41.0810810810811,0)</f>
      </c>
      <c r="AB716" s="5">
        <v>3.7</v>
      </c>
      <c r="AC716" s="2" t="s">
        <v>206</v>
      </c>
      <c r="AD716" s="4"/>
      <c r="AE716" s="4"/>
      <c r="AF716" s="6">
        <v>64</v>
      </c>
      <c r="AG716" s="6"/>
      <c r="AH716" s="7">
        <v>1</v>
      </c>
      <c r="AI716" s="4"/>
      <c r="AJ716" s="4">
        <f>=ROUNDDOWN({0},0)</f>
      </c>
      <c r="AK716" s="5"/>
      <c r="AL716" s="2" t="s">
        <v>206</v>
      </c>
      <c r="AM716" s="4"/>
      <c r="AN716" s="4"/>
      <c r="AO716" s="7"/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>
        <v>19</v>
      </c>
      <c r="BK716" s="8">
        <v>805.45</v>
      </c>
      <c r="BL716" s="2" t="s">
        <v>4521</v>
      </c>
      <c r="BM716" s="7"/>
      <c r="BN716" s="7"/>
      <c r="BO716" s="4"/>
      <c r="BP716" s="8"/>
      <c r="BQ716" s="4"/>
      <c r="BR716" s="8"/>
      <c r="BS716" s="7"/>
      <c r="BT716" s="7"/>
      <c r="BU716" s="2" t="s">
        <v>4522</v>
      </c>
      <c r="BV716" s="2" t="s">
        <v>206</v>
      </c>
      <c r="BW716" s="2" t="s">
        <v>206</v>
      </c>
      <c r="BX716" s="2" t="s">
        <v>214</v>
      </c>
      <c r="BY716" s="2" t="s">
        <v>215</v>
      </c>
      <c r="BZ716" s="2" t="s">
        <v>203</v>
      </c>
      <c r="CA716" s="2" t="s">
        <v>4523</v>
      </c>
      <c r="CB716" s="2" t="s">
        <v>4524</v>
      </c>
      <c r="CC716" s="2" t="s">
        <v>218</v>
      </c>
      <c r="CD716" s="2" t="s">
        <v>206</v>
      </c>
      <c r="CE716" s="4">
        <v>152</v>
      </c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  <c r="DE716" s="4"/>
      <c r="DF716" s="4"/>
      <c r="DG716" s="4"/>
      <c r="DH716" s="4"/>
      <c r="DI716" s="4"/>
      <c r="DJ716" s="4"/>
      <c r="DK716" s="4"/>
      <c r="DL716" s="4"/>
      <c r="DM716" s="4"/>
      <c r="DN716" s="4"/>
      <c r="DO716" s="4"/>
      <c r="DP716" s="4"/>
      <c r="DQ716" s="4"/>
      <c r="DR716" s="4"/>
      <c r="DS716" s="4"/>
      <c r="DT716" s="4"/>
      <c r="DU716" s="4"/>
      <c r="DV716" s="4"/>
      <c r="DW716" s="4"/>
      <c r="DX716" s="4"/>
      <c r="DY716" s="4"/>
      <c r="DZ716" s="4"/>
      <c r="EA716" s="4"/>
      <c r="EB716" s="4"/>
      <c r="EC716" s="4"/>
      <c r="ED716" s="4"/>
      <c r="EE716" s="4"/>
      <c r="EF716" s="4"/>
      <c r="EG716" s="4"/>
      <c r="EH716" s="4"/>
      <c r="EI716" s="4"/>
      <c r="EJ716" s="4"/>
      <c r="EK716" s="4"/>
      <c r="EL716" s="4"/>
      <c r="EM716" s="4"/>
      <c r="EN716" s="4"/>
      <c r="EO716" s="4"/>
      <c r="EP716" s="4"/>
      <c r="EQ716" s="4"/>
      <c r="ER716" s="4"/>
      <c r="ES716" s="4"/>
      <c r="ET716" s="4"/>
      <c r="EU716" s="4"/>
      <c r="EV716" s="4"/>
      <c r="EW716" s="4"/>
      <c r="EX716" s="4"/>
      <c r="EY716" s="4"/>
      <c r="EZ716" s="4"/>
      <c r="FA716" s="4"/>
      <c r="FB716" s="4"/>
      <c r="FC716" s="4"/>
      <c r="FD716" s="4"/>
      <c r="FE716" s="4"/>
      <c r="FF716" s="4"/>
      <c r="FG716" s="4"/>
      <c r="FH716" s="4"/>
      <c r="FI716" s="4"/>
      <c r="FJ716" s="4"/>
      <c r="FK716" s="4"/>
      <c r="FL716" s="4"/>
      <c r="FM716" s="4"/>
      <c r="FN716" s="4"/>
      <c r="FO716" s="4"/>
      <c r="FP716" s="4"/>
      <c r="FQ716" s="4"/>
      <c r="FR716" s="4"/>
      <c r="FS716" s="4"/>
      <c r="FT716" s="4"/>
      <c r="FU716" s="4"/>
      <c r="FV716" s="4"/>
      <c r="FW716" s="4"/>
      <c r="FX716" s="4"/>
      <c r="FY716" s="4"/>
      <c r="FZ716" s="4"/>
      <c r="GA716" s="4"/>
      <c r="GB716" s="4"/>
      <c r="GC716" s="4"/>
      <c r="GD716" s="4"/>
      <c r="GE716" s="4"/>
      <c r="GF716" s="4"/>
    </row>
    <row r="717">
      <c r="A717" s="2" t="s">
        <v>4525</v>
      </c>
      <c r="B717" s="2" t="s">
        <v>475</v>
      </c>
      <c r="C717" s="2" t="s">
        <v>2240</v>
      </c>
      <c r="D717" s="2" t="s">
        <v>476</v>
      </c>
      <c r="E717" s="2" t="s">
        <v>477</v>
      </c>
      <c r="F717" s="2" t="s">
        <v>4526</v>
      </c>
      <c r="G717" s="2" t="s">
        <v>4526</v>
      </c>
      <c r="H717" s="2" t="s">
        <v>4526</v>
      </c>
      <c r="I717" s="2" t="s">
        <v>4527</v>
      </c>
      <c r="J717" s="2" t="s">
        <v>482</v>
      </c>
      <c r="K717" s="2" t="s">
        <v>1049</v>
      </c>
      <c r="L717" s="3">
        <v>38</v>
      </c>
      <c r="M717" s="3">
        <v>39.9</v>
      </c>
      <c r="N717" s="3">
        <v>79.99</v>
      </c>
      <c r="O717" s="2" t="s">
        <v>203</v>
      </c>
      <c r="P717" s="2" t="s">
        <v>773</v>
      </c>
      <c r="Q717" s="2" t="s">
        <v>205</v>
      </c>
      <c r="R717" s="2" t="s">
        <v>206</v>
      </c>
      <c r="S717" s="2" t="s">
        <v>4528</v>
      </c>
      <c r="T717" s="2" t="s">
        <v>234</v>
      </c>
      <c r="U717" s="2" t="s">
        <v>485</v>
      </c>
      <c r="V717" s="2" t="s">
        <v>209</v>
      </c>
      <c r="W717" s="2" t="s">
        <v>539</v>
      </c>
      <c r="X717" s="2" t="s">
        <v>206</v>
      </c>
      <c r="Y717" s="2" t="s">
        <v>3807</v>
      </c>
      <c r="Z717" s="4">
        <v>292</v>
      </c>
      <c r="AA717" s="4">
        <f>=ROUNDDOWN(36.5,0)</f>
      </c>
      <c r="AB717" s="5">
        <v>8</v>
      </c>
      <c r="AC717" s="2" t="s">
        <v>206</v>
      </c>
      <c r="AD717" s="4"/>
      <c r="AE717" s="4"/>
      <c r="AF717" s="6">
        <v>67</v>
      </c>
      <c r="AG717" s="6"/>
      <c r="AH717" s="7">
        <v>1</v>
      </c>
      <c r="AI717" s="4"/>
      <c r="AJ717" s="4">
        <f>=ROUNDDOWN({0},0)</f>
      </c>
      <c r="AK717" s="5"/>
      <c r="AL717" s="2" t="s">
        <v>206</v>
      </c>
      <c r="AM717" s="4"/>
      <c r="AN717" s="4"/>
      <c r="AO717" s="7"/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 t="s">
        <v>206</v>
      </c>
      <c r="BD717" s="8" t="s">
        <v>206</v>
      </c>
      <c r="BE717" s="4" t="s">
        <v>206</v>
      </c>
      <c r="BF717" s="8" t="s">
        <v>206</v>
      </c>
      <c r="BG717" s="7" t="s">
        <v>206</v>
      </c>
      <c r="BH717" s="7" t="s">
        <v>206</v>
      </c>
      <c r="BI717" s="7"/>
      <c r="BJ717" s="4">
        <v>23</v>
      </c>
      <c r="BK717" s="8">
        <v>989.02</v>
      </c>
      <c r="BL717" s="2" t="s">
        <v>4529</v>
      </c>
      <c r="BM717" s="7"/>
      <c r="BN717" s="7"/>
      <c r="BO717" s="4"/>
      <c r="BP717" s="8"/>
      <c r="BQ717" s="4"/>
      <c r="BR717" s="8"/>
      <c r="BS717" s="7"/>
      <c r="BT717" s="7"/>
      <c r="BU717" s="2" t="s">
        <v>4530</v>
      </c>
      <c r="BV717" s="2" t="s">
        <v>206</v>
      </c>
      <c r="BW717" s="2" t="s">
        <v>206</v>
      </c>
      <c r="BX717" s="2" t="s">
        <v>214</v>
      </c>
      <c r="BY717" s="2" t="s">
        <v>215</v>
      </c>
      <c r="BZ717" s="2" t="s">
        <v>203</v>
      </c>
      <c r="CA717" s="2" t="s">
        <v>3807</v>
      </c>
      <c r="CB717" s="2" t="s">
        <v>4008</v>
      </c>
      <c r="CC717" s="2" t="s">
        <v>218</v>
      </c>
      <c r="CD717" s="2" t="s">
        <v>206</v>
      </c>
      <c r="CE717" s="4">
        <v>292</v>
      </c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  <c r="DE717" s="4"/>
      <c r="DF717" s="4"/>
      <c r="DG717" s="4"/>
      <c r="DH717" s="4"/>
      <c r="DI717" s="4"/>
      <c r="DJ717" s="4"/>
      <c r="DK717" s="4"/>
      <c r="DL717" s="4"/>
      <c r="DM717" s="4"/>
      <c r="DN717" s="4"/>
      <c r="DO717" s="4"/>
      <c r="DP717" s="4"/>
      <c r="DQ717" s="4"/>
      <c r="DR717" s="4"/>
      <c r="DS717" s="4"/>
      <c r="DT717" s="4"/>
      <c r="DU717" s="4"/>
      <c r="DV717" s="4"/>
      <c r="DW717" s="4"/>
      <c r="DX717" s="4"/>
      <c r="DY717" s="4"/>
      <c r="DZ717" s="4"/>
      <c r="EA717" s="4"/>
      <c r="EB717" s="4"/>
      <c r="EC717" s="4"/>
      <c r="ED717" s="4"/>
      <c r="EE717" s="4"/>
      <c r="EF717" s="4"/>
      <c r="EG717" s="4"/>
      <c r="EH717" s="4"/>
      <c r="EI717" s="4"/>
      <c r="EJ717" s="4"/>
      <c r="EK717" s="4"/>
      <c r="EL717" s="4"/>
      <c r="EM717" s="4"/>
      <c r="EN717" s="4"/>
      <c r="EO717" s="4"/>
      <c r="EP717" s="4"/>
      <c r="EQ717" s="4"/>
      <c r="ER717" s="4"/>
      <c r="ES717" s="4"/>
      <c r="ET717" s="4"/>
      <c r="EU717" s="4"/>
      <c r="EV717" s="4"/>
      <c r="EW717" s="4"/>
      <c r="EX717" s="4"/>
      <c r="EY717" s="4"/>
      <c r="EZ717" s="4"/>
      <c r="FA717" s="4"/>
      <c r="FB717" s="4"/>
      <c r="FC717" s="4"/>
      <c r="FD717" s="4"/>
      <c r="FE717" s="4"/>
      <c r="FF717" s="4"/>
      <c r="FG717" s="4"/>
      <c r="FH717" s="4"/>
      <c r="FI717" s="4"/>
      <c r="FJ717" s="4"/>
      <c r="FK717" s="4"/>
      <c r="FL717" s="4"/>
      <c r="FM717" s="4"/>
      <c r="FN717" s="4"/>
      <c r="FO717" s="4"/>
      <c r="FP717" s="4"/>
      <c r="FQ717" s="4"/>
      <c r="FR717" s="4"/>
      <c r="FS717" s="4"/>
      <c r="FT717" s="4"/>
      <c r="FU717" s="4"/>
      <c r="FV717" s="4"/>
      <c r="FW717" s="4"/>
      <c r="FX717" s="4"/>
      <c r="FY717" s="4"/>
      <c r="FZ717" s="4"/>
      <c r="GA717" s="4"/>
      <c r="GB717" s="4"/>
      <c r="GC717" s="4"/>
      <c r="GD717" s="4"/>
      <c r="GE717" s="4"/>
      <c r="GF717" s="4"/>
    </row>
    <row r="718">
      <c r="A718" s="2" t="s">
        <v>4531</v>
      </c>
      <c r="B718" s="2" t="s">
        <v>475</v>
      </c>
      <c r="C718" s="2" t="s">
        <v>2240</v>
      </c>
      <c r="D718" s="2" t="s">
        <v>476</v>
      </c>
      <c r="E718" s="2" t="s">
        <v>477</v>
      </c>
      <c r="F718" s="2" t="s">
        <v>4526</v>
      </c>
      <c r="G718" s="2" t="s">
        <v>4526</v>
      </c>
      <c r="H718" s="2" t="s">
        <v>4526</v>
      </c>
      <c r="I718" s="2" t="s">
        <v>4527</v>
      </c>
      <c r="J718" s="2" t="s">
        <v>482</v>
      </c>
      <c r="K718" s="2" t="s">
        <v>336</v>
      </c>
      <c r="L718" s="3">
        <v>38</v>
      </c>
      <c r="M718" s="3">
        <v>39.9</v>
      </c>
      <c r="N718" s="3">
        <v>79.99</v>
      </c>
      <c r="O718" s="2" t="s">
        <v>203</v>
      </c>
      <c r="P718" s="2" t="s">
        <v>773</v>
      </c>
      <c r="Q718" s="2" t="s">
        <v>205</v>
      </c>
      <c r="R718" s="2" t="s">
        <v>206</v>
      </c>
      <c r="S718" s="2" t="s">
        <v>4532</v>
      </c>
      <c r="T718" s="2" t="s">
        <v>234</v>
      </c>
      <c r="U718" s="2" t="s">
        <v>485</v>
      </c>
      <c r="V718" s="2" t="s">
        <v>209</v>
      </c>
      <c r="W718" s="2" t="s">
        <v>539</v>
      </c>
      <c r="X718" s="2" t="s">
        <v>206</v>
      </c>
      <c r="Y718" s="2" t="s">
        <v>3807</v>
      </c>
      <c r="Z718" s="4">
        <v>493</v>
      </c>
      <c r="AA718" s="4">
        <f>=ROUNDDOWN(61.625,0)</f>
      </c>
      <c r="AB718" s="5">
        <v>8</v>
      </c>
      <c r="AC718" s="2" t="s">
        <v>206</v>
      </c>
      <c r="AD718" s="4"/>
      <c r="AE718" s="4"/>
      <c r="AF718" s="6">
        <v>67</v>
      </c>
      <c r="AG718" s="6"/>
      <c r="AH718" s="7">
        <v>1</v>
      </c>
      <c r="AI718" s="4"/>
      <c r="AJ718" s="4">
        <f>=ROUNDDOWN({0},0)</f>
      </c>
      <c r="AK718" s="5"/>
      <c r="AL718" s="2" t="s">
        <v>206</v>
      </c>
      <c r="AM718" s="4"/>
      <c r="AN718" s="4"/>
      <c r="AO718" s="7"/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 t="s">
        <v>206</v>
      </c>
      <c r="BD718" s="8" t="s">
        <v>206</v>
      </c>
      <c r="BE718" s="4" t="s">
        <v>206</v>
      </c>
      <c r="BF718" s="8" t="s">
        <v>206</v>
      </c>
      <c r="BG718" s="7" t="s">
        <v>206</v>
      </c>
      <c r="BH718" s="7" t="s">
        <v>206</v>
      </c>
      <c r="BI718" s="7"/>
      <c r="BJ718" s="4">
        <v>26</v>
      </c>
      <c r="BK718" s="8">
        <v>1044.64</v>
      </c>
      <c r="BL718" s="2" t="s">
        <v>4533</v>
      </c>
      <c r="BM718" s="7"/>
      <c r="BN718" s="7"/>
      <c r="BO718" s="4"/>
      <c r="BP718" s="8"/>
      <c r="BQ718" s="4"/>
      <c r="BR718" s="8"/>
      <c r="BS718" s="7"/>
      <c r="BT718" s="7"/>
      <c r="BU718" s="2" t="s">
        <v>4534</v>
      </c>
      <c r="BV718" s="2" t="s">
        <v>206</v>
      </c>
      <c r="BW718" s="2" t="s">
        <v>206</v>
      </c>
      <c r="BX718" s="2" t="s">
        <v>214</v>
      </c>
      <c r="BY718" s="2" t="s">
        <v>215</v>
      </c>
      <c r="BZ718" s="2" t="s">
        <v>203</v>
      </c>
      <c r="CA718" s="2" t="s">
        <v>3807</v>
      </c>
      <c r="CB718" s="2" t="s">
        <v>2659</v>
      </c>
      <c r="CC718" s="2" t="s">
        <v>218</v>
      </c>
      <c r="CD718" s="2" t="s">
        <v>206</v>
      </c>
      <c r="CE718" s="4">
        <v>493</v>
      </c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  <c r="DN718" s="4"/>
      <c r="DO718" s="4"/>
      <c r="DP718" s="4"/>
      <c r="DQ718" s="4"/>
      <c r="DR718" s="4"/>
      <c r="DS718" s="4"/>
      <c r="DT718" s="4"/>
      <c r="DU718" s="4"/>
      <c r="DV718" s="4"/>
      <c r="DW718" s="4"/>
      <c r="DX718" s="4"/>
      <c r="DY718" s="4"/>
      <c r="DZ718" s="4"/>
      <c r="EA718" s="4"/>
      <c r="EB718" s="4"/>
      <c r="EC718" s="4"/>
      <c r="ED718" s="4"/>
      <c r="EE718" s="4"/>
      <c r="EF718" s="4"/>
      <c r="EG718" s="4"/>
      <c r="EH718" s="4"/>
      <c r="EI718" s="4"/>
      <c r="EJ718" s="4"/>
      <c r="EK718" s="4"/>
      <c r="EL718" s="4"/>
      <c r="EM718" s="4"/>
      <c r="EN718" s="4"/>
      <c r="EO718" s="4"/>
      <c r="EP718" s="4"/>
      <c r="EQ718" s="4"/>
      <c r="ER718" s="4"/>
      <c r="ES718" s="4"/>
      <c r="ET718" s="4"/>
      <c r="EU718" s="4"/>
      <c r="EV718" s="4"/>
      <c r="EW718" s="4"/>
      <c r="EX718" s="4"/>
      <c r="EY718" s="4"/>
      <c r="EZ718" s="4"/>
      <c r="FA718" s="4"/>
      <c r="FB718" s="4"/>
      <c r="FC718" s="4"/>
      <c r="FD718" s="4"/>
      <c r="FE718" s="4"/>
      <c r="FF718" s="4"/>
      <c r="FG718" s="4"/>
      <c r="FH718" s="4"/>
      <c r="FI718" s="4"/>
      <c r="FJ718" s="4"/>
      <c r="FK718" s="4"/>
      <c r="FL718" s="4"/>
      <c r="FM718" s="4"/>
      <c r="FN718" s="4"/>
      <c r="FO718" s="4"/>
      <c r="FP718" s="4"/>
      <c r="FQ718" s="4"/>
      <c r="FR718" s="4"/>
      <c r="FS718" s="4"/>
      <c r="FT718" s="4"/>
      <c r="FU718" s="4"/>
      <c r="FV718" s="4"/>
      <c r="FW718" s="4"/>
      <c r="FX718" s="4"/>
      <c r="FY718" s="4"/>
      <c r="FZ718" s="4"/>
      <c r="GA718" s="4"/>
      <c r="GB718" s="4"/>
      <c r="GC718" s="4"/>
      <c r="GD718" s="4"/>
      <c r="GE718" s="4"/>
      <c r="GF718" s="4"/>
    </row>
    <row r="719">
      <c r="A719" s="2" t="s">
        <v>4535</v>
      </c>
      <c r="B719" s="2" t="s">
        <v>475</v>
      </c>
      <c r="C719" s="2" t="s">
        <v>2240</v>
      </c>
      <c r="D719" s="2" t="s">
        <v>476</v>
      </c>
      <c r="E719" s="2" t="s">
        <v>477</v>
      </c>
      <c r="F719" s="2" t="s">
        <v>4526</v>
      </c>
      <c r="G719" s="2" t="s">
        <v>4526</v>
      </c>
      <c r="H719" s="2" t="s">
        <v>4526</v>
      </c>
      <c r="I719" s="2" t="s">
        <v>4527</v>
      </c>
      <c r="J719" s="2" t="s">
        <v>482</v>
      </c>
      <c r="K719" s="2" t="s">
        <v>605</v>
      </c>
      <c r="L719" s="3">
        <v>38</v>
      </c>
      <c r="M719" s="3">
        <v>39.9</v>
      </c>
      <c r="N719" s="3">
        <v>79.99</v>
      </c>
      <c r="O719" s="2" t="s">
        <v>203</v>
      </c>
      <c r="P719" s="2" t="s">
        <v>204</v>
      </c>
      <c r="Q719" s="2" t="s">
        <v>205</v>
      </c>
      <c r="R719" s="2" t="s">
        <v>206</v>
      </c>
      <c r="S719" s="2" t="s">
        <v>4536</v>
      </c>
      <c r="T719" s="2" t="s">
        <v>234</v>
      </c>
      <c r="U719" s="2" t="s">
        <v>485</v>
      </c>
      <c r="V719" s="2" t="s">
        <v>209</v>
      </c>
      <c r="W719" s="2" t="s">
        <v>539</v>
      </c>
      <c r="X719" s="2" t="s">
        <v>206</v>
      </c>
      <c r="Y719" s="2" t="s">
        <v>4537</v>
      </c>
      <c r="Z719" s="4">
        <v>517</v>
      </c>
      <c r="AA719" s="4">
        <f>=ROUNDDOWN(86.1666666666667,0)</f>
      </c>
      <c r="AB719" s="5">
        <v>6</v>
      </c>
      <c r="AC719" s="2" t="s">
        <v>206</v>
      </c>
      <c r="AD719" s="4"/>
      <c r="AE719" s="4"/>
      <c r="AF719" s="6">
        <v>67</v>
      </c>
      <c r="AG719" s="6"/>
      <c r="AH719" s="7">
        <v>1</v>
      </c>
      <c r="AI719" s="4"/>
      <c r="AJ719" s="4">
        <f>=ROUNDDOWN({0},0)</f>
      </c>
      <c r="AK719" s="5"/>
      <c r="AL719" s="2" t="s">
        <v>206</v>
      </c>
      <c r="AM719" s="4"/>
      <c r="AN719" s="4"/>
      <c r="AO719" s="7"/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 t="s">
        <v>206</v>
      </c>
      <c r="BD719" s="8" t="s">
        <v>206</v>
      </c>
      <c r="BE719" s="4" t="s">
        <v>206</v>
      </c>
      <c r="BF719" s="8" t="s">
        <v>206</v>
      </c>
      <c r="BG719" s="7" t="s">
        <v>206</v>
      </c>
      <c r="BH719" s="7" t="s">
        <v>206</v>
      </c>
      <c r="BI719" s="7"/>
      <c r="BJ719" s="4">
        <v>23</v>
      </c>
      <c r="BK719" s="8">
        <v>985.08</v>
      </c>
      <c r="BL719" s="2" t="s">
        <v>4538</v>
      </c>
      <c r="BM719" s="7"/>
      <c r="BN719" s="7"/>
      <c r="BO719" s="4"/>
      <c r="BP719" s="8"/>
      <c r="BQ719" s="4"/>
      <c r="BR719" s="8"/>
      <c r="BS719" s="7"/>
      <c r="BT719" s="7"/>
      <c r="BU719" s="2" t="s">
        <v>1438</v>
      </c>
      <c r="BV719" s="2" t="s">
        <v>206</v>
      </c>
      <c r="BW719" s="2" t="s">
        <v>206</v>
      </c>
      <c r="BX719" s="2" t="s">
        <v>214</v>
      </c>
      <c r="BY719" s="2" t="s">
        <v>4539</v>
      </c>
      <c r="BZ719" s="2" t="s">
        <v>203</v>
      </c>
      <c r="CA719" s="2" t="s">
        <v>206</v>
      </c>
      <c r="CB719" s="2" t="s">
        <v>206</v>
      </c>
      <c r="CC719" s="2" t="s">
        <v>218</v>
      </c>
      <c r="CD719" s="2" t="s">
        <v>206</v>
      </c>
      <c r="CE719" s="4">
        <v>517</v>
      </c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  <c r="DE719" s="4"/>
      <c r="DF719" s="4"/>
      <c r="DG719" s="4"/>
      <c r="DH719" s="4"/>
      <c r="DI719" s="4"/>
      <c r="DJ719" s="4"/>
      <c r="DK719" s="4"/>
      <c r="DL719" s="4"/>
      <c r="DM719" s="4"/>
      <c r="DN719" s="4"/>
      <c r="DO719" s="4"/>
      <c r="DP719" s="4"/>
      <c r="DQ719" s="4"/>
      <c r="DR719" s="4"/>
      <c r="DS719" s="4"/>
      <c r="DT719" s="4"/>
      <c r="DU719" s="4"/>
      <c r="DV719" s="4"/>
      <c r="DW719" s="4"/>
      <c r="DX719" s="4"/>
      <c r="DY719" s="4"/>
      <c r="DZ719" s="4"/>
      <c r="EA719" s="4"/>
      <c r="EB719" s="4"/>
      <c r="EC719" s="4"/>
      <c r="ED719" s="4"/>
      <c r="EE719" s="4"/>
      <c r="EF719" s="4"/>
      <c r="EG719" s="4"/>
      <c r="EH719" s="4"/>
      <c r="EI719" s="4"/>
      <c r="EJ719" s="4"/>
      <c r="EK719" s="4"/>
      <c r="EL719" s="4"/>
      <c r="EM719" s="4"/>
      <c r="EN719" s="4"/>
      <c r="EO719" s="4"/>
      <c r="EP719" s="4"/>
      <c r="EQ719" s="4"/>
      <c r="ER719" s="4"/>
      <c r="ES719" s="4"/>
      <c r="ET719" s="4"/>
      <c r="EU719" s="4"/>
      <c r="EV719" s="4"/>
      <c r="EW719" s="4"/>
      <c r="EX719" s="4"/>
      <c r="EY719" s="4"/>
      <c r="EZ719" s="4"/>
      <c r="FA719" s="4"/>
      <c r="FB719" s="4"/>
      <c r="FC719" s="4"/>
      <c r="FD719" s="4"/>
      <c r="FE719" s="4"/>
      <c r="FF719" s="4"/>
      <c r="FG719" s="4"/>
      <c r="FH719" s="4"/>
      <c r="FI719" s="4"/>
      <c r="FJ719" s="4"/>
      <c r="FK719" s="4"/>
      <c r="FL719" s="4"/>
      <c r="FM719" s="4"/>
      <c r="FN719" s="4"/>
      <c r="FO719" s="4"/>
      <c r="FP719" s="4"/>
      <c r="FQ719" s="4"/>
      <c r="FR719" s="4"/>
      <c r="FS719" s="4"/>
      <c r="FT719" s="4"/>
      <c r="FU719" s="4"/>
      <c r="FV719" s="4"/>
      <c r="FW719" s="4"/>
      <c r="FX719" s="4"/>
      <c r="FY719" s="4"/>
      <c r="FZ719" s="4"/>
      <c r="GA719" s="4"/>
      <c r="GB719" s="4"/>
      <c r="GC719" s="4"/>
      <c r="GD719" s="4"/>
      <c r="GE719" s="4"/>
      <c r="GF719" s="4"/>
    </row>
    <row r="720">
      <c r="A720" s="2" t="s">
        <v>4540</v>
      </c>
      <c r="B720" s="2" t="s">
        <v>528</v>
      </c>
      <c r="C720" s="2" t="s">
        <v>462</v>
      </c>
      <c r="D720" s="2" t="s">
        <v>1612</v>
      </c>
      <c r="E720" s="2" t="s">
        <v>3231</v>
      </c>
      <c r="F720" s="2" t="s">
        <v>4541</v>
      </c>
      <c r="G720" s="2" t="s">
        <v>4541</v>
      </c>
      <c r="H720" s="2" t="s">
        <v>4541</v>
      </c>
      <c r="I720" s="2" t="s">
        <v>4542</v>
      </c>
      <c r="J720" s="2" t="s">
        <v>593</v>
      </c>
      <c r="K720" s="2" t="s">
        <v>483</v>
      </c>
      <c r="L720" s="3">
        <v>63.7</v>
      </c>
      <c r="M720" s="3">
        <v>66.89</v>
      </c>
      <c r="N720" s="3">
        <v>129.99</v>
      </c>
      <c r="O720" s="2" t="s">
        <v>203</v>
      </c>
      <c r="P720" s="2" t="s">
        <v>204</v>
      </c>
      <c r="Q720" s="2" t="s">
        <v>205</v>
      </c>
      <c r="R720" s="2" t="s">
        <v>206</v>
      </c>
      <c r="S720" s="2" t="s">
        <v>4543</v>
      </c>
      <c r="T720" s="2" t="s">
        <v>234</v>
      </c>
      <c r="U720" s="2" t="s">
        <v>556</v>
      </c>
      <c r="V720" s="2" t="s">
        <v>4124</v>
      </c>
      <c r="W720" s="2" t="s">
        <v>439</v>
      </c>
      <c r="X720" s="2" t="s">
        <v>206</v>
      </c>
      <c r="Y720" s="2" t="s">
        <v>4544</v>
      </c>
      <c r="Z720" s="4">
        <v>183</v>
      </c>
      <c r="AA720" s="4">
        <f>=ROUNDDOWN(45.75,0)</f>
      </c>
      <c r="AB720" s="5">
        <v>4</v>
      </c>
      <c r="AC720" s="2" t="s">
        <v>206</v>
      </c>
      <c r="AD720" s="4"/>
      <c r="AE720" s="4"/>
      <c r="AF720" s="6">
        <v>64</v>
      </c>
      <c r="AG720" s="6"/>
      <c r="AH720" s="7">
        <v>1</v>
      </c>
      <c r="AI720" s="4"/>
      <c r="AJ720" s="4">
        <f>=ROUNDDOWN({0},0)</f>
      </c>
      <c r="AK720" s="5"/>
      <c r="AL720" s="2" t="s">
        <v>206</v>
      </c>
      <c r="AM720" s="4"/>
      <c r="AN720" s="4"/>
      <c r="AO720" s="7"/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>
        <v>14</v>
      </c>
      <c r="BK720" s="8">
        <v>951.57</v>
      </c>
      <c r="BL720" s="2" t="s">
        <v>1351</v>
      </c>
      <c r="BM720" s="7"/>
      <c r="BN720" s="7"/>
      <c r="BO720" s="4"/>
      <c r="BP720" s="8"/>
      <c r="BQ720" s="4"/>
      <c r="BR720" s="8"/>
      <c r="BS720" s="7"/>
      <c r="BT720" s="7"/>
      <c r="BU720" s="2" t="s">
        <v>4545</v>
      </c>
      <c r="BV720" s="2" t="s">
        <v>206</v>
      </c>
      <c r="BW720" s="2" t="s">
        <v>206</v>
      </c>
      <c r="BX720" s="2" t="s">
        <v>214</v>
      </c>
      <c r="BY720" s="2" t="s">
        <v>215</v>
      </c>
      <c r="BZ720" s="2" t="s">
        <v>203</v>
      </c>
      <c r="CA720" s="2" t="s">
        <v>4546</v>
      </c>
      <c r="CB720" s="2" t="s">
        <v>4547</v>
      </c>
      <c r="CC720" s="2" t="s">
        <v>218</v>
      </c>
      <c r="CD720" s="2" t="s">
        <v>206</v>
      </c>
      <c r="CE720" s="4">
        <v>183</v>
      </c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  <c r="DE720" s="4"/>
      <c r="DF720" s="4"/>
      <c r="DG720" s="4"/>
      <c r="DH720" s="4"/>
      <c r="DI720" s="4"/>
      <c r="DJ720" s="4"/>
      <c r="DK720" s="4"/>
      <c r="DL720" s="4"/>
      <c r="DM720" s="4"/>
      <c r="DN720" s="4"/>
      <c r="DO720" s="4"/>
      <c r="DP720" s="4"/>
      <c r="DQ720" s="4"/>
      <c r="DR720" s="4"/>
      <c r="DS720" s="4"/>
      <c r="DT720" s="4"/>
      <c r="DU720" s="4"/>
      <c r="DV720" s="4"/>
      <c r="DW720" s="4"/>
      <c r="DX720" s="4"/>
      <c r="DY720" s="4"/>
      <c r="DZ720" s="4"/>
      <c r="EA720" s="4"/>
      <c r="EB720" s="4"/>
      <c r="EC720" s="4"/>
      <c r="ED720" s="4"/>
      <c r="EE720" s="4"/>
      <c r="EF720" s="4"/>
      <c r="EG720" s="4"/>
      <c r="EH720" s="4"/>
      <c r="EI720" s="4"/>
      <c r="EJ720" s="4"/>
      <c r="EK720" s="4"/>
      <c r="EL720" s="4"/>
      <c r="EM720" s="4"/>
      <c r="EN720" s="4"/>
      <c r="EO720" s="4"/>
      <c r="EP720" s="4"/>
      <c r="EQ720" s="4"/>
      <c r="ER720" s="4"/>
      <c r="ES720" s="4"/>
      <c r="ET720" s="4"/>
      <c r="EU720" s="4"/>
      <c r="EV720" s="4"/>
      <c r="EW720" s="4"/>
      <c r="EX720" s="4"/>
      <c r="EY720" s="4"/>
      <c r="EZ720" s="4"/>
      <c r="FA720" s="4"/>
      <c r="FB720" s="4"/>
      <c r="FC720" s="4"/>
      <c r="FD720" s="4"/>
      <c r="FE720" s="4"/>
      <c r="FF720" s="4"/>
      <c r="FG720" s="4"/>
      <c r="FH720" s="4"/>
      <c r="FI720" s="4"/>
      <c r="FJ720" s="4"/>
      <c r="FK720" s="4"/>
      <c r="FL720" s="4"/>
      <c r="FM720" s="4"/>
      <c r="FN720" s="4"/>
      <c r="FO720" s="4"/>
      <c r="FP720" s="4"/>
      <c r="FQ720" s="4"/>
      <c r="FR720" s="4"/>
      <c r="FS720" s="4"/>
      <c r="FT720" s="4"/>
      <c r="FU720" s="4"/>
      <c r="FV720" s="4"/>
      <c r="FW720" s="4"/>
      <c r="FX720" s="4"/>
      <c r="FY720" s="4"/>
      <c r="FZ720" s="4"/>
      <c r="GA720" s="4"/>
      <c r="GB720" s="4"/>
      <c r="GC720" s="4"/>
      <c r="GD720" s="4"/>
      <c r="GE720" s="4"/>
      <c r="GF720" s="4"/>
    </row>
    <row r="721">
      <c r="A721" s="2" t="s">
        <v>4548</v>
      </c>
      <c r="B721" s="2" t="s">
        <v>528</v>
      </c>
      <c r="C721" s="2" t="s">
        <v>287</v>
      </c>
      <c r="D721" s="2" t="s">
        <v>529</v>
      </c>
      <c r="E721" s="2" t="s">
        <v>816</v>
      </c>
      <c r="F721" s="2" t="s">
        <v>4549</v>
      </c>
      <c r="G721" s="2" t="s">
        <v>4550</v>
      </c>
      <c r="H721" s="2" t="s">
        <v>4551</v>
      </c>
      <c r="I721" s="2" t="s">
        <v>4552</v>
      </c>
      <c r="J721" s="2" t="s">
        <v>310</v>
      </c>
      <c r="K721" s="2" t="s">
        <v>674</v>
      </c>
      <c r="L721" s="3">
        <v>76.49</v>
      </c>
      <c r="M721" s="3">
        <v>80.32</v>
      </c>
      <c r="N721" s="3">
        <v>149.99</v>
      </c>
      <c r="O721" s="2" t="s">
        <v>203</v>
      </c>
      <c r="P721" s="2" t="s">
        <v>204</v>
      </c>
      <c r="Q721" s="2" t="s">
        <v>205</v>
      </c>
      <c r="R721" s="2" t="s">
        <v>206</v>
      </c>
      <c r="S721" s="2" t="s">
        <v>4553</v>
      </c>
      <c r="T721" s="2" t="s">
        <v>206</v>
      </c>
      <c r="U721" s="2" t="s">
        <v>537</v>
      </c>
      <c r="V721" s="2" t="s">
        <v>2811</v>
      </c>
      <c r="W721" s="2" t="s">
        <v>453</v>
      </c>
      <c r="X721" s="2" t="s">
        <v>4554</v>
      </c>
      <c r="Y721" s="2" t="s">
        <v>211</v>
      </c>
      <c r="Z721" s="4">
        <v>310</v>
      </c>
      <c r="AA721" s="4">
        <f>=ROUNDDOWN(62,0)</f>
      </c>
      <c r="AB721" s="5">
        <v>5</v>
      </c>
      <c r="AC721" s="2" t="s">
        <v>206</v>
      </c>
      <c r="AD721" s="4"/>
      <c r="AE721" s="4"/>
      <c r="AF721" s="6">
        <v>65</v>
      </c>
      <c r="AG721" s="6"/>
      <c r="AH721" s="7">
        <v>1</v>
      </c>
      <c r="AI721" s="4"/>
      <c r="AJ721" s="4">
        <f>=ROUNDDOWN({0},0)</f>
      </c>
      <c r="AK721" s="5"/>
      <c r="AL721" s="2" t="s">
        <v>206</v>
      </c>
      <c r="AM721" s="4"/>
      <c r="AN721" s="4"/>
      <c r="AO721" s="7"/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>
        <v>18</v>
      </c>
      <c r="BK721" s="8">
        <v>1330.27</v>
      </c>
      <c r="BL721" s="2" t="s">
        <v>4555</v>
      </c>
      <c r="BM721" s="7"/>
      <c r="BN721" s="7"/>
      <c r="BO721" s="4"/>
      <c r="BP721" s="8"/>
      <c r="BQ721" s="4"/>
      <c r="BR721" s="8"/>
      <c r="BS721" s="7"/>
      <c r="BT721" s="7"/>
      <c r="BU721" s="2" t="s">
        <v>4556</v>
      </c>
      <c r="BV721" s="2" t="s">
        <v>206</v>
      </c>
      <c r="BW721" s="2" t="s">
        <v>206</v>
      </c>
      <c r="BX721" s="2" t="s">
        <v>214</v>
      </c>
      <c r="BY721" s="2" t="s">
        <v>215</v>
      </c>
      <c r="BZ721" s="2" t="s">
        <v>203</v>
      </c>
      <c r="CA721" s="2" t="s">
        <v>216</v>
      </c>
      <c r="CB721" s="2" t="s">
        <v>4557</v>
      </c>
      <c r="CC721" s="2" t="s">
        <v>218</v>
      </c>
      <c r="CD721" s="2" t="s">
        <v>206</v>
      </c>
      <c r="CE721" s="4">
        <v>62</v>
      </c>
      <c r="CF721" s="4">
        <v>248</v>
      </c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  <c r="DE721" s="4"/>
      <c r="DF721" s="4"/>
      <c r="DG721" s="4"/>
      <c r="DH721" s="4"/>
      <c r="DI721" s="4"/>
      <c r="DJ721" s="4"/>
      <c r="DK721" s="4"/>
      <c r="DL721" s="4"/>
      <c r="DM721" s="4"/>
      <c r="DN721" s="4"/>
      <c r="DO721" s="4"/>
      <c r="DP721" s="4"/>
      <c r="DQ721" s="4"/>
      <c r="DR721" s="4"/>
      <c r="DS721" s="4"/>
      <c r="DT721" s="4"/>
      <c r="DU721" s="4"/>
      <c r="DV721" s="4"/>
      <c r="DW721" s="4"/>
      <c r="DX721" s="4"/>
      <c r="DY721" s="4"/>
      <c r="DZ721" s="4"/>
      <c r="EA721" s="4"/>
      <c r="EB721" s="4"/>
      <c r="EC721" s="4"/>
      <c r="ED721" s="4"/>
      <c r="EE721" s="4"/>
      <c r="EF721" s="4"/>
      <c r="EG721" s="4"/>
      <c r="EH721" s="4"/>
      <c r="EI721" s="4"/>
      <c r="EJ721" s="4"/>
      <c r="EK721" s="4"/>
      <c r="EL721" s="4"/>
      <c r="EM721" s="4"/>
      <c r="EN721" s="4"/>
      <c r="EO721" s="4"/>
      <c r="EP721" s="4"/>
      <c r="EQ721" s="4"/>
      <c r="ER721" s="4"/>
      <c r="ES721" s="4"/>
      <c r="ET721" s="4"/>
      <c r="EU721" s="4"/>
      <c r="EV721" s="4"/>
      <c r="EW721" s="4"/>
      <c r="EX721" s="4"/>
      <c r="EY721" s="4"/>
      <c r="EZ721" s="4"/>
      <c r="FA721" s="4"/>
      <c r="FB721" s="4"/>
      <c r="FC721" s="4"/>
      <c r="FD721" s="4"/>
      <c r="FE721" s="4"/>
      <c r="FF721" s="4"/>
      <c r="FG721" s="4"/>
      <c r="FH721" s="4"/>
      <c r="FI721" s="4"/>
      <c r="FJ721" s="4"/>
      <c r="FK721" s="4"/>
      <c r="FL721" s="4"/>
      <c r="FM721" s="4"/>
      <c r="FN721" s="4"/>
      <c r="FO721" s="4"/>
      <c r="FP721" s="4"/>
      <c r="FQ721" s="4"/>
      <c r="FR721" s="4"/>
      <c r="FS721" s="4"/>
      <c r="FT721" s="4"/>
      <c r="FU721" s="4"/>
      <c r="FV721" s="4"/>
      <c r="FW721" s="4"/>
      <c r="FX721" s="4"/>
      <c r="FY721" s="4"/>
      <c r="FZ721" s="4"/>
      <c r="GA721" s="4"/>
      <c r="GB721" s="4"/>
      <c r="GC721" s="4"/>
      <c r="GD721" s="4"/>
      <c r="GE721" s="4"/>
      <c r="GF721" s="4"/>
    </row>
    <row r="722">
      <c r="A722" s="2" t="s">
        <v>4558</v>
      </c>
      <c r="B722" s="2" t="s">
        <v>225</v>
      </c>
      <c r="C722" s="2" t="s">
        <v>1145</v>
      </c>
      <c r="D722" s="2" t="s">
        <v>227</v>
      </c>
      <c r="E722" s="2" t="s">
        <v>228</v>
      </c>
      <c r="F722" s="2" t="s">
        <v>4559</v>
      </c>
      <c r="G722" s="2" t="s">
        <v>4559</v>
      </c>
      <c r="H722" s="2" t="s">
        <v>4559</v>
      </c>
      <c r="I722" s="2" t="s">
        <v>230</v>
      </c>
      <c r="J722" s="2" t="s">
        <v>201</v>
      </c>
      <c r="K722" s="2" t="s">
        <v>4560</v>
      </c>
      <c r="L722" s="3">
        <v>11.95</v>
      </c>
      <c r="M722" s="3">
        <v>12.55</v>
      </c>
      <c r="N722" s="3">
        <v>24.99</v>
      </c>
      <c r="O722" s="2" t="s">
        <v>203</v>
      </c>
      <c r="P722" s="2" t="s">
        <v>204</v>
      </c>
      <c r="Q722" s="2" t="s">
        <v>205</v>
      </c>
      <c r="R722" s="2" t="s">
        <v>206</v>
      </c>
      <c r="S722" s="2" t="s">
        <v>4561</v>
      </c>
      <c r="T722" s="2" t="s">
        <v>292</v>
      </c>
      <c r="U722" s="2" t="s">
        <v>556</v>
      </c>
      <c r="V722" s="2" t="s">
        <v>538</v>
      </c>
      <c r="W722" s="2" t="s">
        <v>210</v>
      </c>
      <c r="X722" s="2" t="s">
        <v>206</v>
      </c>
      <c r="Y722" s="2" t="s">
        <v>4562</v>
      </c>
      <c r="Z722" s="4">
        <v>136</v>
      </c>
      <c r="AA722" s="4">
        <f>=ROUNDDOWN(45.3333333333333,0)</f>
      </c>
      <c r="AB722" s="5">
        <v>3</v>
      </c>
      <c r="AC722" s="2" t="s">
        <v>206</v>
      </c>
      <c r="AD722" s="4"/>
      <c r="AE722" s="4"/>
      <c r="AF722" s="6">
        <v>65</v>
      </c>
      <c r="AG722" s="6"/>
      <c r="AH722" s="7">
        <v>1</v>
      </c>
      <c r="AI722" s="4"/>
      <c r="AJ722" s="4">
        <f>=ROUNDDOWN({0},0)</f>
      </c>
      <c r="AK722" s="5"/>
      <c r="AL722" s="2" t="s">
        <v>206</v>
      </c>
      <c r="AM722" s="4"/>
      <c r="AN722" s="4"/>
      <c r="AO722" s="7"/>
      <c r="AP722" s="4"/>
      <c r="AQ722" s="8"/>
      <c r="AR722" s="4"/>
      <c r="AS722" s="8"/>
      <c r="AT722" s="7"/>
      <c r="AU722" s="7"/>
      <c r="AV722" s="4" t="s">
        <v>206</v>
      </c>
      <c r="AW722" s="8" t="s">
        <v>206</v>
      </c>
      <c r="AX722" s="4" t="s">
        <v>206</v>
      </c>
      <c r="AY722" s="8" t="s">
        <v>206</v>
      </c>
      <c r="AZ722" s="7" t="s">
        <v>206</v>
      </c>
      <c r="BA722" s="7" t="s">
        <v>206</v>
      </c>
      <c r="BB722" s="7"/>
      <c r="BC722" s="4" t="s">
        <v>206</v>
      </c>
      <c r="BD722" s="8" t="s">
        <v>206</v>
      </c>
      <c r="BE722" s="4" t="s">
        <v>206</v>
      </c>
      <c r="BF722" s="8" t="s">
        <v>206</v>
      </c>
      <c r="BG722" s="7" t="s">
        <v>206</v>
      </c>
      <c r="BH722" s="7" t="s">
        <v>206</v>
      </c>
      <c r="BI722" s="7"/>
      <c r="BJ722" s="4">
        <v>14</v>
      </c>
      <c r="BK722" s="8">
        <v>190.43</v>
      </c>
      <c r="BL722" s="2" t="s">
        <v>4563</v>
      </c>
      <c r="BM722" s="7"/>
      <c r="BN722" s="7"/>
      <c r="BO722" s="4"/>
      <c r="BP722" s="8"/>
      <c r="BQ722" s="4"/>
      <c r="BR722" s="8"/>
      <c r="BS722" s="7"/>
      <c r="BT722" s="7"/>
      <c r="BU722" s="2" t="s">
        <v>4564</v>
      </c>
      <c r="BV722" s="2" t="s">
        <v>206</v>
      </c>
      <c r="BW722" s="2" t="s">
        <v>206</v>
      </c>
      <c r="BX722" s="2" t="s">
        <v>214</v>
      </c>
      <c r="BY722" s="2" t="s">
        <v>215</v>
      </c>
      <c r="BZ722" s="2" t="s">
        <v>203</v>
      </c>
      <c r="CA722" s="2" t="s">
        <v>240</v>
      </c>
      <c r="CB722" s="2" t="s">
        <v>1314</v>
      </c>
      <c r="CC722" s="2" t="s">
        <v>218</v>
      </c>
      <c r="CD722" s="2" t="s">
        <v>206</v>
      </c>
      <c r="CE722" s="4">
        <v>136</v>
      </c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  <c r="DE722" s="4"/>
      <c r="DF722" s="4"/>
      <c r="DG722" s="4"/>
      <c r="DH722" s="4"/>
      <c r="DI722" s="4"/>
      <c r="DJ722" s="4"/>
      <c r="DK722" s="4"/>
      <c r="DL722" s="4"/>
      <c r="DM722" s="4"/>
      <c r="DN722" s="4"/>
      <c r="DO722" s="4"/>
      <c r="DP722" s="4"/>
      <c r="DQ722" s="4"/>
      <c r="DR722" s="4"/>
      <c r="DS722" s="4"/>
      <c r="DT722" s="4"/>
      <c r="DU722" s="4"/>
      <c r="DV722" s="4"/>
      <c r="DW722" s="4"/>
      <c r="DX722" s="4"/>
      <c r="DY722" s="4"/>
      <c r="DZ722" s="4"/>
      <c r="EA722" s="4"/>
      <c r="EB722" s="4"/>
      <c r="EC722" s="4"/>
      <c r="ED722" s="4"/>
      <c r="EE722" s="4"/>
      <c r="EF722" s="4"/>
      <c r="EG722" s="4"/>
      <c r="EH722" s="4"/>
      <c r="EI722" s="4"/>
      <c r="EJ722" s="4"/>
      <c r="EK722" s="4"/>
      <c r="EL722" s="4"/>
      <c r="EM722" s="4"/>
      <c r="EN722" s="4"/>
      <c r="EO722" s="4"/>
      <c r="EP722" s="4"/>
      <c r="EQ722" s="4"/>
      <c r="ER722" s="4"/>
      <c r="ES722" s="4"/>
      <c r="ET722" s="4"/>
      <c r="EU722" s="4"/>
      <c r="EV722" s="4"/>
      <c r="EW722" s="4"/>
      <c r="EX722" s="4"/>
      <c r="EY722" s="4"/>
      <c r="EZ722" s="4"/>
      <c r="FA722" s="4"/>
      <c r="FB722" s="4"/>
      <c r="FC722" s="4"/>
      <c r="FD722" s="4"/>
      <c r="FE722" s="4"/>
      <c r="FF722" s="4"/>
      <c r="FG722" s="4"/>
      <c r="FH722" s="4"/>
      <c r="FI722" s="4"/>
      <c r="FJ722" s="4"/>
      <c r="FK722" s="4"/>
      <c r="FL722" s="4"/>
      <c r="FM722" s="4"/>
      <c r="FN722" s="4"/>
      <c r="FO722" s="4"/>
      <c r="FP722" s="4"/>
      <c r="FQ722" s="4"/>
      <c r="FR722" s="4"/>
      <c r="FS722" s="4"/>
      <c r="FT722" s="4"/>
      <c r="FU722" s="4"/>
      <c r="FV722" s="4"/>
      <c r="FW722" s="4"/>
      <c r="FX722" s="4"/>
      <c r="FY722" s="4"/>
      <c r="FZ722" s="4"/>
      <c r="GA722" s="4"/>
      <c r="GB722" s="4"/>
      <c r="GC722" s="4"/>
      <c r="GD722" s="4"/>
      <c r="GE722" s="4"/>
      <c r="GF722" s="4"/>
    </row>
    <row r="723">
      <c r="A723" s="2" t="s">
        <v>4565</v>
      </c>
      <c r="B723" s="2" t="s">
        <v>225</v>
      </c>
      <c r="C723" s="2" t="s">
        <v>1145</v>
      </c>
      <c r="D723" s="2" t="s">
        <v>227</v>
      </c>
      <c r="E723" s="2" t="s">
        <v>228</v>
      </c>
      <c r="F723" s="2" t="s">
        <v>4559</v>
      </c>
      <c r="G723" s="2" t="s">
        <v>4559</v>
      </c>
      <c r="H723" s="2" t="s">
        <v>4559</v>
      </c>
      <c r="I723" s="2" t="s">
        <v>230</v>
      </c>
      <c r="J723" s="2" t="s">
        <v>220</v>
      </c>
      <c r="K723" s="2" t="s">
        <v>4560</v>
      </c>
      <c r="L723" s="3">
        <v>13.55</v>
      </c>
      <c r="M723" s="3">
        <v>14.23</v>
      </c>
      <c r="N723" s="3">
        <v>27.99</v>
      </c>
      <c r="O723" s="2" t="s">
        <v>203</v>
      </c>
      <c r="P723" s="2" t="s">
        <v>204</v>
      </c>
      <c r="Q723" s="2" t="s">
        <v>205</v>
      </c>
      <c r="R723" s="2" t="s">
        <v>206</v>
      </c>
      <c r="S723" s="2" t="s">
        <v>4561</v>
      </c>
      <c r="T723" s="2" t="s">
        <v>292</v>
      </c>
      <c r="U723" s="2" t="s">
        <v>235</v>
      </c>
      <c r="V723" s="2" t="s">
        <v>538</v>
      </c>
      <c r="W723" s="2" t="s">
        <v>210</v>
      </c>
      <c r="X723" s="2" t="s">
        <v>206</v>
      </c>
      <c r="Y723" s="2" t="s">
        <v>4562</v>
      </c>
      <c r="Z723" s="4">
        <v>96</v>
      </c>
      <c r="AA723" s="4">
        <f>=ROUNDDOWN(16,0)</f>
      </c>
      <c r="AB723" s="5">
        <v>6</v>
      </c>
      <c r="AC723" s="2" t="s">
        <v>113</v>
      </c>
      <c r="AD723" s="4">
        <v>80</v>
      </c>
      <c r="AE723" s="4">
        <v>80</v>
      </c>
      <c r="AF723" s="6">
        <v>65</v>
      </c>
      <c r="AG723" s="6"/>
      <c r="AH723" s="7">
        <v>1</v>
      </c>
      <c r="AI723" s="4"/>
      <c r="AJ723" s="4">
        <f>=ROUNDDOWN({0},0)</f>
      </c>
      <c r="AK723" s="5"/>
      <c r="AL723" s="2" t="s">
        <v>206</v>
      </c>
      <c r="AM723" s="4"/>
      <c r="AN723" s="4"/>
      <c r="AO723" s="7"/>
      <c r="AP723" s="4"/>
      <c r="AQ723" s="8"/>
      <c r="AR723" s="4"/>
      <c r="AS723" s="8"/>
      <c r="AT723" s="7"/>
      <c r="AU723" s="7"/>
      <c r="AV723" s="4" t="s">
        <v>206</v>
      </c>
      <c r="AW723" s="8" t="s">
        <v>206</v>
      </c>
      <c r="AX723" s="4" t="s">
        <v>206</v>
      </c>
      <c r="AY723" s="8" t="s">
        <v>206</v>
      </c>
      <c r="AZ723" s="7" t="s">
        <v>206</v>
      </c>
      <c r="BA723" s="7" t="s">
        <v>206</v>
      </c>
      <c r="BB723" s="7"/>
      <c r="BC723" s="4" t="s">
        <v>206</v>
      </c>
      <c r="BD723" s="8" t="s">
        <v>206</v>
      </c>
      <c r="BE723" s="4" t="s">
        <v>206</v>
      </c>
      <c r="BF723" s="8" t="s">
        <v>206</v>
      </c>
      <c r="BG723" s="7" t="s">
        <v>206</v>
      </c>
      <c r="BH723" s="7" t="s">
        <v>206</v>
      </c>
      <c r="BI723" s="7"/>
      <c r="BJ723" s="4">
        <v>32</v>
      </c>
      <c r="BK723" s="8">
        <v>482</v>
      </c>
      <c r="BL723" s="2" t="s">
        <v>4566</v>
      </c>
      <c r="BM723" s="7"/>
      <c r="BN723" s="7"/>
      <c r="BO723" s="4"/>
      <c r="BP723" s="8"/>
      <c r="BQ723" s="4"/>
      <c r="BR723" s="8"/>
      <c r="BS723" s="7"/>
      <c r="BT723" s="7"/>
      <c r="BU723" s="2" t="s">
        <v>4567</v>
      </c>
      <c r="BV723" s="2" t="s">
        <v>206</v>
      </c>
      <c r="BW723" s="2" t="s">
        <v>206</v>
      </c>
      <c r="BX723" s="2" t="s">
        <v>214</v>
      </c>
      <c r="BY723" s="2" t="s">
        <v>215</v>
      </c>
      <c r="BZ723" s="2" t="s">
        <v>203</v>
      </c>
      <c r="CA723" s="2" t="s">
        <v>240</v>
      </c>
      <c r="CB723" s="2" t="s">
        <v>3034</v>
      </c>
      <c r="CC723" s="2" t="s">
        <v>218</v>
      </c>
      <c r="CD723" s="2" t="s">
        <v>206</v>
      </c>
      <c r="CE723" s="4">
        <v>96</v>
      </c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>
        <v>80</v>
      </c>
      <c r="DB723" s="4"/>
      <c r="DC723" s="4"/>
      <c r="DD723" s="4"/>
      <c r="DE723" s="4"/>
      <c r="DF723" s="4"/>
      <c r="DG723" s="4"/>
      <c r="DH723" s="4"/>
      <c r="DI723" s="4"/>
      <c r="DJ723" s="4"/>
      <c r="DK723" s="4"/>
      <c r="DL723" s="4"/>
      <c r="DM723" s="4"/>
      <c r="DN723" s="4"/>
      <c r="DO723" s="4"/>
      <c r="DP723" s="4"/>
      <c r="DQ723" s="4"/>
      <c r="DR723" s="4"/>
      <c r="DS723" s="4"/>
      <c r="DT723" s="4"/>
      <c r="DU723" s="4"/>
      <c r="DV723" s="4"/>
      <c r="DW723" s="4"/>
      <c r="DX723" s="4"/>
      <c r="DY723" s="4"/>
      <c r="DZ723" s="4"/>
      <c r="EA723" s="4"/>
      <c r="EB723" s="4"/>
      <c r="EC723" s="4"/>
      <c r="ED723" s="4"/>
      <c r="EE723" s="4"/>
      <c r="EF723" s="4"/>
      <c r="EG723" s="4"/>
      <c r="EH723" s="4"/>
      <c r="EI723" s="4"/>
      <c r="EJ723" s="4"/>
      <c r="EK723" s="4"/>
      <c r="EL723" s="4"/>
      <c r="EM723" s="4"/>
      <c r="EN723" s="4"/>
      <c r="EO723" s="4"/>
      <c r="EP723" s="4"/>
      <c r="EQ723" s="4"/>
      <c r="ER723" s="4"/>
      <c r="ES723" s="4"/>
      <c r="ET723" s="4"/>
      <c r="EU723" s="4"/>
      <c r="EV723" s="4"/>
      <c r="EW723" s="4"/>
      <c r="EX723" s="4"/>
      <c r="EY723" s="4"/>
      <c r="EZ723" s="4"/>
      <c r="FA723" s="4"/>
      <c r="FB723" s="4"/>
      <c r="FC723" s="4"/>
      <c r="FD723" s="4"/>
      <c r="FE723" s="4"/>
      <c r="FF723" s="4"/>
      <c r="FG723" s="4"/>
      <c r="FH723" s="4"/>
      <c r="FI723" s="4"/>
      <c r="FJ723" s="4"/>
      <c r="FK723" s="4"/>
      <c r="FL723" s="4"/>
      <c r="FM723" s="4"/>
      <c r="FN723" s="4"/>
      <c r="FO723" s="4"/>
      <c r="FP723" s="4"/>
      <c r="FQ723" s="4"/>
      <c r="FR723" s="4"/>
      <c r="FS723" s="4"/>
      <c r="FT723" s="4"/>
      <c r="FU723" s="4"/>
      <c r="FV723" s="4"/>
      <c r="FW723" s="4"/>
      <c r="FX723" s="4"/>
      <c r="FY723" s="4"/>
      <c r="FZ723" s="4"/>
      <c r="GA723" s="4"/>
      <c r="GB723" s="4"/>
      <c r="GC723" s="4"/>
      <c r="GD723" s="4"/>
      <c r="GE723" s="4"/>
      <c r="GF723" s="4"/>
    </row>
    <row r="724">
      <c r="A724" s="2" t="s">
        <v>4568</v>
      </c>
      <c r="B724" s="2" t="s">
        <v>225</v>
      </c>
      <c r="C724" s="2" t="s">
        <v>1145</v>
      </c>
      <c r="D724" s="2" t="s">
        <v>227</v>
      </c>
      <c r="E724" s="2" t="s">
        <v>228</v>
      </c>
      <c r="F724" s="2" t="s">
        <v>4559</v>
      </c>
      <c r="G724" s="2" t="s">
        <v>4559</v>
      </c>
      <c r="H724" s="2" t="s">
        <v>4559</v>
      </c>
      <c r="I724" s="2" t="s">
        <v>230</v>
      </c>
      <c r="J724" s="2" t="s">
        <v>231</v>
      </c>
      <c r="K724" s="2" t="s">
        <v>4560</v>
      </c>
      <c r="L724" s="3">
        <v>16.35</v>
      </c>
      <c r="M724" s="3">
        <v>17.17</v>
      </c>
      <c r="N724" s="3">
        <v>34.99</v>
      </c>
      <c r="O724" s="2" t="s">
        <v>203</v>
      </c>
      <c r="P724" s="2" t="s">
        <v>204</v>
      </c>
      <c r="Q724" s="2" t="s">
        <v>205</v>
      </c>
      <c r="R724" s="2" t="s">
        <v>206</v>
      </c>
      <c r="S724" s="2" t="s">
        <v>4561</v>
      </c>
      <c r="T724" s="2" t="s">
        <v>292</v>
      </c>
      <c r="U724" s="2" t="s">
        <v>235</v>
      </c>
      <c r="V724" s="2" t="s">
        <v>538</v>
      </c>
      <c r="W724" s="2" t="s">
        <v>210</v>
      </c>
      <c r="X724" s="2" t="s">
        <v>206</v>
      </c>
      <c r="Y724" s="2" t="s">
        <v>4562</v>
      </c>
      <c r="Z724" s="4">
        <v>72</v>
      </c>
      <c r="AA724" s="4">
        <f>=ROUNDDOWN(9.72972972972973,0)</f>
      </c>
      <c r="AB724" s="5">
        <v>7.4</v>
      </c>
      <c r="AC724" s="2" t="s">
        <v>113</v>
      </c>
      <c r="AD724" s="4">
        <v>100</v>
      </c>
      <c r="AE724" s="4">
        <v>100</v>
      </c>
      <c r="AF724" s="6">
        <v>65</v>
      </c>
      <c r="AG724" s="6"/>
      <c r="AH724" s="7">
        <v>1</v>
      </c>
      <c r="AI724" s="4"/>
      <c r="AJ724" s="4">
        <f>=ROUNDDOWN({0},0)</f>
      </c>
      <c r="AK724" s="5"/>
      <c r="AL724" s="2" t="s">
        <v>206</v>
      </c>
      <c r="AM724" s="4"/>
      <c r="AN724" s="4"/>
      <c r="AO724" s="7"/>
      <c r="AP724" s="4"/>
      <c r="AQ724" s="8"/>
      <c r="AR724" s="4"/>
      <c r="AS724" s="8"/>
      <c r="AT724" s="7"/>
      <c r="AU724" s="7"/>
      <c r="AV724" s="4" t="s">
        <v>206</v>
      </c>
      <c r="AW724" s="8" t="s">
        <v>206</v>
      </c>
      <c r="AX724" s="4" t="s">
        <v>206</v>
      </c>
      <c r="AY724" s="8" t="s">
        <v>206</v>
      </c>
      <c r="AZ724" s="7" t="s">
        <v>206</v>
      </c>
      <c r="BA724" s="7" t="s">
        <v>206</v>
      </c>
      <c r="BB724" s="7"/>
      <c r="BC724" s="4" t="s">
        <v>206</v>
      </c>
      <c r="BD724" s="8" t="s">
        <v>206</v>
      </c>
      <c r="BE724" s="4" t="s">
        <v>206</v>
      </c>
      <c r="BF724" s="8" t="s">
        <v>206</v>
      </c>
      <c r="BG724" s="7" t="s">
        <v>206</v>
      </c>
      <c r="BH724" s="7" t="s">
        <v>206</v>
      </c>
      <c r="BI724" s="7"/>
      <c r="BJ724" s="4">
        <v>42</v>
      </c>
      <c r="BK724" s="8">
        <v>779.31</v>
      </c>
      <c r="BL724" s="2" t="s">
        <v>4569</v>
      </c>
      <c r="BM724" s="7"/>
      <c r="BN724" s="7"/>
      <c r="BO724" s="4"/>
      <c r="BP724" s="8"/>
      <c r="BQ724" s="4"/>
      <c r="BR724" s="8"/>
      <c r="BS724" s="7"/>
      <c r="BT724" s="7"/>
      <c r="BU724" s="2" t="s">
        <v>4570</v>
      </c>
      <c r="BV724" s="2" t="s">
        <v>206</v>
      </c>
      <c r="BW724" s="2" t="s">
        <v>206</v>
      </c>
      <c r="BX724" s="2" t="s">
        <v>214</v>
      </c>
      <c r="BY724" s="2" t="s">
        <v>215</v>
      </c>
      <c r="BZ724" s="2" t="s">
        <v>203</v>
      </c>
      <c r="CA724" s="2" t="s">
        <v>240</v>
      </c>
      <c r="CB724" s="2" t="s">
        <v>4571</v>
      </c>
      <c r="CC724" s="2" t="s">
        <v>218</v>
      </c>
      <c r="CD724" s="2" t="s">
        <v>206</v>
      </c>
      <c r="CE724" s="4">
        <v>72</v>
      </c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>
        <v>100</v>
      </c>
      <c r="DB724" s="4"/>
      <c r="DC724" s="4"/>
      <c r="DD724" s="4"/>
      <c r="DE724" s="4"/>
      <c r="DF724" s="4"/>
      <c r="DG724" s="4"/>
      <c r="DH724" s="4"/>
      <c r="DI724" s="4"/>
      <c r="DJ724" s="4"/>
      <c r="DK724" s="4"/>
      <c r="DL724" s="4"/>
      <c r="DM724" s="4"/>
      <c r="DN724" s="4"/>
      <c r="DO724" s="4"/>
      <c r="DP724" s="4"/>
      <c r="DQ724" s="4"/>
      <c r="DR724" s="4"/>
      <c r="DS724" s="4"/>
      <c r="DT724" s="4"/>
      <c r="DU724" s="4"/>
      <c r="DV724" s="4"/>
      <c r="DW724" s="4"/>
      <c r="DX724" s="4"/>
      <c r="DY724" s="4"/>
      <c r="DZ724" s="4"/>
      <c r="EA724" s="4"/>
      <c r="EB724" s="4"/>
      <c r="EC724" s="4"/>
      <c r="ED724" s="4"/>
      <c r="EE724" s="4"/>
      <c r="EF724" s="4"/>
      <c r="EG724" s="4"/>
      <c r="EH724" s="4"/>
      <c r="EI724" s="4"/>
      <c r="EJ724" s="4"/>
      <c r="EK724" s="4"/>
      <c r="EL724" s="4"/>
      <c r="EM724" s="4"/>
      <c r="EN724" s="4"/>
      <c r="EO724" s="4"/>
      <c r="EP724" s="4"/>
      <c r="EQ724" s="4"/>
      <c r="ER724" s="4"/>
      <c r="ES724" s="4"/>
      <c r="ET724" s="4"/>
      <c r="EU724" s="4"/>
      <c r="EV724" s="4"/>
      <c r="EW724" s="4"/>
      <c r="EX724" s="4"/>
      <c r="EY724" s="4"/>
      <c r="EZ724" s="4"/>
      <c r="FA724" s="4"/>
      <c r="FB724" s="4"/>
      <c r="FC724" s="4"/>
      <c r="FD724" s="4"/>
      <c r="FE724" s="4"/>
      <c r="FF724" s="4"/>
      <c r="FG724" s="4"/>
      <c r="FH724" s="4"/>
      <c r="FI724" s="4"/>
      <c r="FJ724" s="4"/>
      <c r="FK724" s="4"/>
      <c r="FL724" s="4"/>
      <c r="FM724" s="4"/>
      <c r="FN724" s="4"/>
      <c r="FO724" s="4"/>
      <c r="FP724" s="4"/>
      <c r="FQ724" s="4"/>
      <c r="FR724" s="4"/>
      <c r="FS724" s="4"/>
      <c r="FT724" s="4"/>
      <c r="FU724" s="4"/>
      <c r="FV724" s="4"/>
      <c r="FW724" s="4"/>
      <c r="FX724" s="4"/>
      <c r="FY724" s="4"/>
      <c r="FZ724" s="4"/>
      <c r="GA724" s="4"/>
      <c r="GB724" s="4"/>
      <c r="GC724" s="4"/>
      <c r="GD724" s="4"/>
      <c r="GE724" s="4"/>
      <c r="GF724" s="4"/>
    </row>
    <row r="725">
      <c r="A725" s="2" t="s">
        <v>4572</v>
      </c>
      <c r="B725" s="2" t="s">
        <v>225</v>
      </c>
      <c r="C725" s="2" t="s">
        <v>1145</v>
      </c>
      <c r="D725" s="2" t="s">
        <v>227</v>
      </c>
      <c r="E725" s="2" t="s">
        <v>228</v>
      </c>
      <c r="F725" s="2" t="s">
        <v>4559</v>
      </c>
      <c r="G725" s="2" t="s">
        <v>4559</v>
      </c>
      <c r="H725" s="2" t="s">
        <v>4559</v>
      </c>
      <c r="I725" s="2" t="s">
        <v>230</v>
      </c>
      <c r="J725" s="2" t="s">
        <v>282</v>
      </c>
      <c r="K725" s="2" t="s">
        <v>4573</v>
      </c>
      <c r="L725" s="3">
        <v>14.75</v>
      </c>
      <c r="M725" s="3">
        <v>15.49</v>
      </c>
      <c r="N725" s="3">
        <v>29.99</v>
      </c>
      <c r="O725" s="2" t="s">
        <v>203</v>
      </c>
      <c r="P725" s="2" t="s">
        <v>204</v>
      </c>
      <c r="Q725" s="2" t="s">
        <v>205</v>
      </c>
      <c r="R725" s="2" t="s">
        <v>206</v>
      </c>
      <c r="S725" s="2" t="s">
        <v>4574</v>
      </c>
      <c r="T725" s="2" t="s">
        <v>292</v>
      </c>
      <c r="U725" s="2" t="s">
        <v>235</v>
      </c>
      <c r="V725" s="2" t="s">
        <v>4124</v>
      </c>
      <c r="W725" s="2" t="s">
        <v>210</v>
      </c>
      <c r="X725" s="2" t="s">
        <v>206</v>
      </c>
      <c r="Y725" s="2" t="s">
        <v>4562</v>
      </c>
      <c r="Z725" s="4">
        <v>240</v>
      </c>
      <c r="AA725" s="4">
        <f>=ROUNDDOWN(26.6666666666667,0)</f>
      </c>
      <c r="AB725" s="5">
        <v>9</v>
      </c>
      <c r="AC725" s="2" t="s">
        <v>441</v>
      </c>
      <c r="AD725" s="4">
        <v>100</v>
      </c>
      <c r="AE725" s="4">
        <v>390</v>
      </c>
      <c r="AF725" s="6">
        <v>65</v>
      </c>
      <c r="AG725" s="6"/>
      <c r="AH725" s="7">
        <v>1</v>
      </c>
      <c r="AI725" s="4"/>
      <c r="AJ725" s="4">
        <f>=ROUNDDOWN({0},0)</f>
      </c>
      <c r="AK725" s="5"/>
      <c r="AL725" s="2" t="s">
        <v>206</v>
      </c>
      <c r="AM725" s="4"/>
      <c r="AN725" s="4"/>
      <c r="AO725" s="7"/>
      <c r="AP725" s="4"/>
      <c r="AQ725" s="8"/>
      <c r="AR725" s="4"/>
      <c r="AS725" s="8"/>
      <c r="AT725" s="7"/>
      <c r="AU725" s="7"/>
      <c r="AV725" s="4" t="s">
        <v>206</v>
      </c>
      <c r="AW725" s="8" t="s">
        <v>206</v>
      </c>
      <c r="AX725" s="4" t="s">
        <v>206</v>
      </c>
      <c r="AY725" s="8" t="s">
        <v>206</v>
      </c>
      <c r="AZ725" s="7" t="s">
        <v>206</v>
      </c>
      <c r="BA725" s="7" t="s">
        <v>206</v>
      </c>
      <c r="BB725" s="7"/>
      <c r="BC725" s="4" t="s">
        <v>206</v>
      </c>
      <c r="BD725" s="8" t="s">
        <v>206</v>
      </c>
      <c r="BE725" s="4" t="s">
        <v>206</v>
      </c>
      <c r="BF725" s="8" t="s">
        <v>206</v>
      </c>
      <c r="BG725" s="7" t="s">
        <v>206</v>
      </c>
      <c r="BH725" s="7" t="s">
        <v>206</v>
      </c>
      <c r="BI725" s="7"/>
      <c r="BJ725" s="4">
        <v>22</v>
      </c>
      <c r="BK725" s="8">
        <v>359.85</v>
      </c>
      <c r="BL725" s="2" t="s">
        <v>4575</v>
      </c>
      <c r="BM725" s="7"/>
      <c r="BN725" s="7"/>
      <c r="BO725" s="4"/>
      <c r="BP725" s="8"/>
      <c r="BQ725" s="4"/>
      <c r="BR725" s="8"/>
      <c r="BS725" s="7"/>
      <c r="BT725" s="7"/>
      <c r="BU725" s="2" t="s">
        <v>4576</v>
      </c>
      <c r="BV725" s="2" t="s">
        <v>206</v>
      </c>
      <c r="BW725" s="2" t="s">
        <v>206</v>
      </c>
      <c r="BX725" s="2" t="s">
        <v>214</v>
      </c>
      <c r="BY725" s="2" t="s">
        <v>215</v>
      </c>
      <c r="BZ725" s="2" t="s">
        <v>203</v>
      </c>
      <c r="CA725" s="2" t="s">
        <v>240</v>
      </c>
      <c r="CB725" s="2" t="s">
        <v>4577</v>
      </c>
      <c r="CC725" s="2" t="s">
        <v>218</v>
      </c>
      <c r="CD725" s="2" t="s">
        <v>206</v>
      </c>
      <c r="CE725" s="4">
        <v>140</v>
      </c>
      <c r="CF725" s="4">
        <v>100</v>
      </c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  <c r="DE725" s="4"/>
      <c r="DF725" s="4"/>
      <c r="DG725" s="4"/>
      <c r="DH725" s="4"/>
      <c r="DI725" s="4"/>
      <c r="DJ725" s="4"/>
      <c r="DK725" s="4"/>
      <c r="DL725" s="4"/>
      <c r="DM725" s="4"/>
      <c r="DN725" s="4"/>
      <c r="DO725" s="4"/>
      <c r="DP725" s="4"/>
      <c r="DQ725" s="4"/>
      <c r="DR725" s="4">
        <v>100</v>
      </c>
      <c r="DS725" s="4"/>
      <c r="DT725" s="4"/>
      <c r="DU725" s="4"/>
      <c r="DV725" s="4"/>
      <c r="DW725" s="4"/>
      <c r="DX725" s="4"/>
      <c r="DY725" s="4"/>
      <c r="DZ725" s="4"/>
      <c r="EA725" s="4"/>
      <c r="EB725" s="4"/>
      <c r="EC725" s="4"/>
      <c r="ED725" s="4"/>
      <c r="EE725" s="4"/>
      <c r="EF725" s="4"/>
      <c r="EG725" s="4"/>
      <c r="EH725" s="4"/>
      <c r="EI725" s="4"/>
      <c r="EJ725" s="4"/>
      <c r="EK725" s="4"/>
      <c r="EL725" s="4"/>
      <c r="EM725" s="4"/>
      <c r="EN725" s="4"/>
      <c r="EO725" s="4"/>
      <c r="EP725" s="4"/>
      <c r="EQ725" s="4"/>
      <c r="ER725" s="4"/>
      <c r="ES725" s="4"/>
      <c r="ET725" s="4"/>
      <c r="EU725" s="4"/>
      <c r="EV725" s="4"/>
      <c r="EW725" s="4"/>
      <c r="EX725" s="4"/>
      <c r="EY725" s="4"/>
      <c r="EZ725" s="4"/>
      <c r="FA725" s="4"/>
      <c r="FB725" s="4"/>
      <c r="FC725" s="4"/>
      <c r="FD725" s="4"/>
      <c r="FE725" s="4"/>
      <c r="FF725" s="4"/>
      <c r="FG725" s="4"/>
      <c r="FH725" s="4"/>
      <c r="FI725" s="4">
        <v>290</v>
      </c>
      <c r="FJ725" s="4"/>
      <c r="FK725" s="4"/>
      <c r="FL725" s="4"/>
      <c r="FM725" s="4"/>
      <c r="FN725" s="4"/>
      <c r="FO725" s="4"/>
      <c r="FP725" s="4"/>
      <c r="FQ725" s="4"/>
      <c r="FR725" s="4"/>
      <c r="FS725" s="4"/>
      <c r="FT725" s="4"/>
      <c r="FU725" s="4"/>
      <c r="FV725" s="4"/>
      <c r="FW725" s="4"/>
      <c r="FX725" s="4"/>
      <c r="FY725" s="4"/>
      <c r="FZ725" s="4"/>
      <c r="GA725" s="4"/>
      <c r="GB725" s="4"/>
      <c r="GC725" s="4"/>
      <c r="GD725" s="4"/>
      <c r="GE725" s="4"/>
      <c r="GF725" s="4"/>
    </row>
    <row r="726">
      <c r="A726" s="2" t="s">
        <v>4578</v>
      </c>
      <c r="B726" s="2" t="s">
        <v>225</v>
      </c>
      <c r="C726" s="2" t="s">
        <v>1145</v>
      </c>
      <c r="D726" s="2" t="s">
        <v>227</v>
      </c>
      <c r="E726" s="2" t="s">
        <v>228</v>
      </c>
      <c r="F726" s="2" t="s">
        <v>4559</v>
      </c>
      <c r="G726" s="2" t="s">
        <v>4559</v>
      </c>
      <c r="H726" s="2" t="s">
        <v>4559</v>
      </c>
      <c r="I726" s="2" t="s">
        <v>230</v>
      </c>
      <c r="J726" s="2" t="s">
        <v>231</v>
      </c>
      <c r="K726" s="2" t="s">
        <v>4573</v>
      </c>
      <c r="L726" s="3">
        <v>16.35</v>
      </c>
      <c r="M726" s="3">
        <v>17.17</v>
      </c>
      <c r="N726" s="3">
        <v>34.99</v>
      </c>
      <c r="O726" s="2" t="s">
        <v>203</v>
      </c>
      <c r="P726" s="2" t="s">
        <v>204</v>
      </c>
      <c r="Q726" s="2" t="s">
        <v>205</v>
      </c>
      <c r="R726" s="2" t="s">
        <v>206</v>
      </c>
      <c r="S726" s="2" t="s">
        <v>4574</v>
      </c>
      <c r="T726" s="2" t="s">
        <v>292</v>
      </c>
      <c r="U726" s="2" t="s">
        <v>235</v>
      </c>
      <c r="V726" s="2" t="s">
        <v>4124</v>
      </c>
      <c r="W726" s="2" t="s">
        <v>210</v>
      </c>
      <c r="X726" s="2" t="s">
        <v>206</v>
      </c>
      <c r="Y726" s="2" t="s">
        <v>4562</v>
      </c>
      <c r="Z726" s="4">
        <v>79</v>
      </c>
      <c r="AA726" s="4">
        <f>=ROUNDDOWN(23.2352941176471,0)</f>
      </c>
      <c r="AB726" s="5">
        <v>3.4</v>
      </c>
      <c r="AC726" s="2" t="s">
        <v>441</v>
      </c>
      <c r="AD726" s="4">
        <v>50</v>
      </c>
      <c r="AE726" s="4">
        <v>150</v>
      </c>
      <c r="AF726" s="6">
        <v>65</v>
      </c>
      <c r="AG726" s="6"/>
      <c r="AH726" s="7">
        <v>1</v>
      </c>
      <c r="AI726" s="4"/>
      <c r="AJ726" s="4">
        <f>=ROUNDDOWN({0},0)</f>
      </c>
      <c r="AK726" s="5"/>
      <c r="AL726" s="2" t="s">
        <v>206</v>
      </c>
      <c r="AM726" s="4"/>
      <c r="AN726" s="4"/>
      <c r="AO726" s="7"/>
      <c r="AP726" s="4"/>
      <c r="AQ726" s="8"/>
      <c r="AR726" s="4"/>
      <c r="AS726" s="8"/>
      <c r="AT726" s="7"/>
      <c r="AU726" s="7"/>
      <c r="AV726" s="4" t="s">
        <v>206</v>
      </c>
      <c r="AW726" s="8" t="s">
        <v>206</v>
      </c>
      <c r="AX726" s="4" t="s">
        <v>206</v>
      </c>
      <c r="AY726" s="8" t="s">
        <v>206</v>
      </c>
      <c r="AZ726" s="7" t="s">
        <v>206</v>
      </c>
      <c r="BA726" s="7" t="s">
        <v>206</v>
      </c>
      <c r="BB726" s="7"/>
      <c r="BC726" s="4" t="s">
        <v>206</v>
      </c>
      <c r="BD726" s="8" t="s">
        <v>206</v>
      </c>
      <c r="BE726" s="4" t="s">
        <v>206</v>
      </c>
      <c r="BF726" s="8" t="s">
        <v>206</v>
      </c>
      <c r="BG726" s="7" t="s">
        <v>206</v>
      </c>
      <c r="BH726" s="7" t="s">
        <v>206</v>
      </c>
      <c r="BI726" s="7"/>
      <c r="BJ726" s="4">
        <v>12</v>
      </c>
      <c r="BK726" s="8">
        <v>211.36</v>
      </c>
      <c r="BL726" s="2" t="s">
        <v>4579</v>
      </c>
      <c r="BM726" s="7"/>
      <c r="BN726" s="7"/>
      <c r="BO726" s="4"/>
      <c r="BP726" s="8"/>
      <c r="BQ726" s="4"/>
      <c r="BR726" s="8"/>
      <c r="BS726" s="7"/>
      <c r="BT726" s="7"/>
      <c r="BU726" s="2" t="s">
        <v>4580</v>
      </c>
      <c r="BV726" s="2" t="s">
        <v>206</v>
      </c>
      <c r="BW726" s="2" t="s">
        <v>206</v>
      </c>
      <c r="BX726" s="2" t="s">
        <v>214</v>
      </c>
      <c r="BY726" s="2" t="s">
        <v>215</v>
      </c>
      <c r="BZ726" s="2" t="s">
        <v>203</v>
      </c>
      <c r="CA726" s="2" t="s">
        <v>240</v>
      </c>
      <c r="CB726" s="2" t="s">
        <v>3229</v>
      </c>
      <c r="CC726" s="2" t="s">
        <v>218</v>
      </c>
      <c r="CD726" s="2" t="s">
        <v>206</v>
      </c>
      <c r="CE726" s="4">
        <v>79</v>
      </c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  <c r="DE726" s="4"/>
      <c r="DF726" s="4"/>
      <c r="DG726" s="4"/>
      <c r="DH726" s="4"/>
      <c r="DI726" s="4"/>
      <c r="DJ726" s="4"/>
      <c r="DK726" s="4"/>
      <c r="DL726" s="4"/>
      <c r="DM726" s="4"/>
      <c r="DN726" s="4"/>
      <c r="DO726" s="4"/>
      <c r="DP726" s="4"/>
      <c r="DQ726" s="4"/>
      <c r="DR726" s="4">
        <v>50</v>
      </c>
      <c r="DS726" s="4"/>
      <c r="DT726" s="4"/>
      <c r="DU726" s="4"/>
      <c r="DV726" s="4"/>
      <c r="DW726" s="4"/>
      <c r="DX726" s="4"/>
      <c r="DY726" s="4"/>
      <c r="DZ726" s="4"/>
      <c r="EA726" s="4"/>
      <c r="EB726" s="4"/>
      <c r="EC726" s="4"/>
      <c r="ED726" s="4"/>
      <c r="EE726" s="4"/>
      <c r="EF726" s="4"/>
      <c r="EG726" s="4"/>
      <c r="EH726" s="4"/>
      <c r="EI726" s="4"/>
      <c r="EJ726" s="4"/>
      <c r="EK726" s="4"/>
      <c r="EL726" s="4"/>
      <c r="EM726" s="4"/>
      <c r="EN726" s="4"/>
      <c r="EO726" s="4"/>
      <c r="EP726" s="4"/>
      <c r="EQ726" s="4"/>
      <c r="ER726" s="4"/>
      <c r="ES726" s="4"/>
      <c r="ET726" s="4"/>
      <c r="EU726" s="4"/>
      <c r="EV726" s="4"/>
      <c r="EW726" s="4"/>
      <c r="EX726" s="4"/>
      <c r="EY726" s="4"/>
      <c r="EZ726" s="4"/>
      <c r="FA726" s="4"/>
      <c r="FB726" s="4"/>
      <c r="FC726" s="4"/>
      <c r="FD726" s="4"/>
      <c r="FE726" s="4"/>
      <c r="FF726" s="4"/>
      <c r="FG726" s="4"/>
      <c r="FH726" s="4"/>
      <c r="FI726" s="4">
        <v>100</v>
      </c>
      <c r="FJ726" s="4"/>
      <c r="FK726" s="4"/>
      <c r="FL726" s="4"/>
      <c r="FM726" s="4"/>
      <c r="FN726" s="4"/>
      <c r="FO726" s="4"/>
      <c r="FP726" s="4"/>
      <c r="FQ726" s="4"/>
      <c r="FR726" s="4"/>
      <c r="FS726" s="4"/>
      <c r="FT726" s="4"/>
      <c r="FU726" s="4"/>
      <c r="FV726" s="4"/>
      <c r="FW726" s="4"/>
      <c r="FX726" s="4"/>
      <c r="FY726" s="4"/>
      <c r="FZ726" s="4"/>
      <c r="GA726" s="4"/>
      <c r="GB726" s="4"/>
      <c r="GC726" s="4"/>
      <c r="GD726" s="4"/>
      <c r="GE726" s="4"/>
      <c r="GF726" s="4"/>
    </row>
    <row r="727">
      <c r="A727" s="2" t="s">
        <v>4581</v>
      </c>
      <c r="B727" s="2" t="s">
        <v>225</v>
      </c>
      <c r="C727" s="2" t="s">
        <v>226</v>
      </c>
      <c r="D727" s="2" t="s">
        <v>227</v>
      </c>
      <c r="E727" s="2" t="s">
        <v>228</v>
      </c>
      <c r="F727" s="2" t="s">
        <v>4582</v>
      </c>
      <c r="G727" s="2" t="s">
        <v>4582</v>
      </c>
      <c r="H727" s="2" t="s">
        <v>4582</v>
      </c>
      <c r="I727" s="2" t="s">
        <v>230</v>
      </c>
      <c r="J727" s="2" t="s">
        <v>220</v>
      </c>
      <c r="K727" s="2" t="s">
        <v>4583</v>
      </c>
      <c r="L727" s="3">
        <v>16.5</v>
      </c>
      <c r="M727" s="3">
        <v>17.33</v>
      </c>
      <c r="N727" s="3">
        <v>32.99</v>
      </c>
      <c r="O727" s="2" t="s">
        <v>203</v>
      </c>
      <c r="P727" s="2" t="s">
        <v>204</v>
      </c>
      <c r="Q727" s="2" t="s">
        <v>205</v>
      </c>
      <c r="R727" s="2" t="s">
        <v>206</v>
      </c>
      <c r="S727" s="2" t="s">
        <v>4584</v>
      </c>
      <c r="T727" s="2" t="s">
        <v>4585</v>
      </c>
      <c r="U727" s="2" t="s">
        <v>235</v>
      </c>
      <c r="V727" s="2" t="s">
        <v>958</v>
      </c>
      <c r="W727" s="2" t="s">
        <v>914</v>
      </c>
      <c r="X727" s="2" t="s">
        <v>210</v>
      </c>
      <c r="Y727" s="2" t="s">
        <v>3647</v>
      </c>
      <c r="Z727" s="4">
        <v>74</v>
      </c>
      <c r="AA727" s="4">
        <f>=ROUNDDOWN(9.25,0)</f>
      </c>
      <c r="AB727" s="5">
        <v>8</v>
      </c>
      <c r="AC727" s="2" t="s">
        <v>113</v>
      </c>
      <c r="AD727" s="4">
        <v>140</v>
      </c>
      <c r="AE727" s="4">
        <v>140</v>
      </c>
      <c r="AF727" s="6">
        <v>65</v>
      </c>
      <c r="AG727" s="6"/>
      <c r="AH727" s="7">
        <v>1</v>
      </c>
      <c r="AI727" s="4"/>
      <c r="AJ727" s="4">
        <f>=ROUNDDOWN({0},0)</f>
      </c>
      <c r="AK727" s="5"/>
      <c r="AL727" s="2" t="s">
        <v>206</v>
      </c>
      <c r="AM727" s="4"/>
      <c r="AN727" s="4"/>
      <c r="AO727" s="7"/>
      <c r="AP727" s="4"/>
      <c r="AQ727" s="8"/>
      <c r="AR727" s="4"/>
      <c r="AS727" s="8"/>
      <c r="AT727" s="7"/>
      <c r="AU727" s="7"/>
      <c r="AV727" s="4" t="s">
        <v>206</v>
      </c>
      <c r="AW727" s="8" t="s">
        <v>206</v>
      </c>
      <c r="AX727" s="4" t="s">
        <v>206</v>
      </c>
      <c r="AY727" s="8" t="s">
        <v>206</v>
      </c>
      <c r="AZ727" s="7" t="s">
        <v>206</v>
      </c>
      <c r="BA727" s="7" t="s">
        <v>206</v>
      </c>
      <c r="BB727" s="7"/>
      <c r="BC727" s="4" t="s">
        <v>206</v>
      </c>
      <c r="BD727" s="8" t="s">
        <v>206</v>
      </c>
      <c r="BE727" s="4" t="s">
        <v>206</v>
      </c>
      <c r="BF727" s="8" t="s">
        <v>206</v>
      </c>
      <c r="BG727" s="7" t="s">
        <v>206</v>
      </c>
      <c r="BH727" s="7" t="s">
        <v>206</v>
      </c>
      <c r="BI727" s="7"/>
      <c r="BJ727" s="4">
        <v>28</v>
      </c>
      <c r="BK727" s="8">
        <v>505.76</v>
      </c>
      <c r="BL727" s="2" t="s">
        <v>1881</v>
      </c>
      <c r="BM727" s="7"/>
      <c r="BN727" s="7"/>
      <c r="BO727" s="4"/>
      <c r="BP727" s="8"/>
      <c r="BQ727" s="4"/>
      <c r="BR727" s="8"/>
      <c r="BS727" s="7"/>
      <c r="BT727" s="7"/>
      <c r="BU727" s="2" t="s">
        <v>4586</v>
      </c>
      <c r="BV727" s="2" t="s">
        <v>206</v>
      </c>
      <c r="BW727" s="2" t="s">
        <v>206</v>
      </c>
      <c r="BX727" s="2" t="s">
        <v>214</v>
      </c>
      <c r="BY727" s="2" t="s">
        <v>215</v>
      </c>
      <c r="BZ727" s="2" t="s">
        <v>203</v>
      </c>
      <c r="CA727" s="2" t="s">
        <v>1593</v>
      </c>
      <c r="CB727" s="2" t="s">
        <v>4587</v>
      </c>
      <c r="CC727" s="2" t="s">
        <v>218</v>
      </c>
      <c r="CD727" s="2" t="s">
        <v>206</v>
      </c>
      <c r="CE727" s="4">
        <v>74</v>
      </c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>
        <v>140</v>
      </c>
      <c r="DB727" s="4"/>
      <c r="DC727" s="4"/>
      <c r="DD727" s="4"/>
      <c r="DE727" s="4"/>
      <c r="DF727" s="4"/>
      <c r="DG727" s="4"/>
      <c r="DH727" s="4"/>
      <c r="DI727" s="4"/>
      <c r="DJ727" s="4"/>
      <c r="DK727" s="4"/>
      <c r="DL727" s="4"/>
      <c r="DM727" s="4"/>
      <c r="DN727" s="4"/>
      <c r="DO727" s="4"/>
      <c r="DP727" s="4"/>
      <c r="DQ727" s="4"/>
      <c r="DR727" s="4"/>
      <c r="DS727" s="4"/>
      <c r="DT727" s="4"/>
      <c r="DU727" s="4"/>
      <c r="DV727" s="4"/>
      <c r="DW727" s="4"/>
      <c r="DX727" s="4"/>
      <c r="DY727" s="4"/>
      <c r="DZ727" s="4"/>
      <c r="EA727" s="4"/>
      <c r="EB727" s="4"/>
      <c r="EC727" s="4"/>
      <c r="ED727" s="4"/>
      <c r="EE727" s="4"/>
      <c r="EF727" s="4"/>
      <c r="EG727" s="4"/>
      <c r="EH727" s="4"/>
      <c r="EI727" s="4"/>
      <c r="EJ727" s="4"/>
      <c r="EK727" s="4"/>
      <c r="EL727" s="4"/>
      <c r="EM727" s="4"/>
      <c r="EN727" s="4"/>
      <c r="EO727" s="4"/>
      <c r="EP727" s="4"/>
      <c r="EQ727" s="4"/>
      <c r="ER727" s="4"/>
      <c r="ES727" s="4"/>
      <c r="ET727" s="4"/>
      <c r="EU727" s="4"/>
      <c r="EV727" s="4"/>
      <c r="EW727" s="4"/>
      <c r="EX727" s="4"/>
      <c r="EY727" s="4"/>
      <c r="EZ727" s="4"/>
      <c r="FA727" s="4"/>
      <c r="FB727" s="4"/>
      <c r="FC727" s="4"/>
      <c r="FD727" s="4"/>
      <c r="FE727" s="4"/>
      <c r="FF727" s="4"/>
      <c r="FG727" s="4"/>
      <c r="FH727" s="4"/>
      <c r="FI727" s="4"/>
      <c r="FJ727" s="4"/>
      <c r="FK727" s="4"/>
      <c r="FL727" s="4"/>
      <c r="FM727" s="4"/>
      <c r="FN727" s="4"/>
      <c r="FO727" s="4"/>
      <c r="FP727" s="4"/>
      <c r="FQ727" s="4"/>
      <c r="FR727" s="4"/>
      <c r="FS727" s="4"/>
      <c r="FT727" s="4"/>
      <c r="FU727" s="4"/>
      <c r="FV727" s="4"/>
      <c r="FW727" s="4"/>
      <c r="FX727" s="4"/>
      <c r="FY727" s="4"/>
      <c r="FZ727" s="4"/>
      <c r="GA727" s="4"/>
      <c r="GB727" s="4"/>
      <c r="GC727" s="4"/>
      <c r="GD727" s="4"/>
      <c r="GE727" s="4"/>
      <c r="GF727" s="4"/>
    </row>
    <row r="728">
      <c r="A728" s="2" t="s">
        <v>4588</v>
      </c>
      <c r="B728" s="2" t="s">
        <v>225</v>
      </c>
      <c r="C728" s="2" t="s">
        <v>226</v>
      </c>
      <c r="D728" s="2" t="s">
        <v>227</v>
      </c>
      <c r="E728" s="2" t="s">
        <v>228</v>
      </c>
      <c r="F728" s="2" t="s">
        <v>4582</v>
      </c>
      <c r="G728" s="2" t="s">
        <v>4582</v>
      </c>
      <c r="H728" s="2" t="s">
        <v>4582</v>
      </c>
      <c r="I728" s="2" t="s">
        <v>230</v>
      </c>
      <c r="J728" s="2" t="s">
        <v>231</v>
      </c>
      <c r="K728" s="2" t="s">
        <v>4583</v>
      </c>
      <c r="L728" s="3">
        <v>21.5</v>
      </c>
      <c r="M728" s="3">
        <v>22.58</v>
      </c>
      <c r="N728" s="3">
        <v>42.99</v>
      </c>
      <c r="O728" s="2" t="s">
        <v>203</v>
      </c>
      <c r="P728" s="2" t="s">
        <v>204</v>
      </c>
      <c r="Q728" s="2" t="s">
        <v>205</v>
      </c>
      <c r="R728" s="2" t="s">
        <v>206</v>
      </c>
      <c r="S728" s="2" t="s">
        <v>4584</v>
      </c>
      <c r="T728" s="2" t="s">
        <v>4585</v>
      </c>
      <c r="U728" s="2" t="s">
        <v>235</v>
      </c>
      <c r="V728" s="2" t="s">
        <v>958</v>
      </c>
      <c r="W728" s="2" t="s">
        <v>914</v>
      </c>
      <c r="X728" s="2" t="s">
        <v>210</v>
      </c>
      <c r="Y728" s="2" t="s">
        <v>3647</v>
      </c>
      <c r="Z728" s="4">
        <v>85</v>
      </c>
      <c r="AA728" s="4">
        <f>=ROUNDDOWN(9.77011494252874,0)</f>
      </c>
      <c r="AB728" s="5">
        <v>8.7</v>
      </c>
      <c r="AC728" s="2" t="s">
        <v>113</v>
      </c>
      <c r="AD728" s="4">
        <v>130</v>
      </c>
      <c r="AE728" s="4">
        <v>390</v>
      </c>
      <c r="AF728" s="6">
        <v>65</v>
      </c>
      <c r="AG728" s="6"/>
      <c r="AH728" s="7">
        <v>1</v>
      </c>
      <c r="AI728" s="4"/>
      <c r="AJ728" s="4">
        <f>=ROUNDDOWN({0},0)</f>
      </c>
      <c r="AK728" s="5"/>
      <c r="AL728" s="2" t="s">
        <v>206</v>
      </c>
      <c r="AM728" s="4"/>
      <c r="AN728" s="4"/>
      <c r="AO728" s="7"/>
      <c r="AP728" s="4"/>
      <c r="AQ728" s="8"/>
      <c r="AR728" s="4"/>
      <c r="AS728" s="8"/>
      <c r="AT728" s="7"/>
      <c r="AU728" s="7"/>
      <c r="AV728" s="4" t="s">
        <v>206</v>
      </c>
      <c r="AW728" s="8" t="s">
        <v>206</v>
      </c>
      <c r="AX728" s="4" t="s">
        <v>206</v>
      </c>
      <c r="AY728" s="8" t="s">
        <v>206</v>
      </c>
      <c r="AZ728" s="7" t="s">
        <v>206</v>
      </c>
      <c r="BA728" s="7" t="s">
        <v>206</v>
      </c>
      <c r="BB728" s="7"/>
      <c r="BC728" s="4" t="s">
        <v>206</v>
      </c>
      <c r="BD728" s="8" t="s">
        <v>206</v>
      </c>
      <c r="BE728" s="4" t="s">
        <v>206</v>
      </c>
      <c r="BF728" s="8" t="s">
        <v>206</v>
      </c>
      <c r="BG728" s="7" t="s">
        <v>206</v>
      </c>
      <c r="BH728" s="7" t="s">
        <v>206</v>
      </c>
      <c r="BI728" s="7"/>
      <c r="BJ728" s="4">
        <v>26</v>
      </c>
      <c r="BK728" s="8">
        <v>608.45</v>
      </c>
      <c r="BL728" s="2" t="s">
        <v>424</v>
      </c>
      <c r="BM728" s="7"/>
      <c r="BN728" s="7"/>
      <c r="BO728" s="4"/>
      <c r="BP728" s="8"/>
      <c r="BQ728" s="4"/>
      <c r="BR728" s="8"/>
      <c r="BS728" s="7"/>
      <c r="BT728" s="7"/>
      <c r="BU728" s="2" t="s">
        <v>4589</v>
      </c>
      <c r="BV728" s="2" t="s">
        <v>206</v>
      </c>
      <c r="BW728" s="2" t="s">
        <v>206</v>
      </c>
      <c r="BX728" s="2" t="s">
        <v>214</v>
      </c>
      <c r="BY728" s="2" t="s">
        <v>215</v>
      </c>
      <c r="BZ728" s="2" t="s">
        <v>203</v>
      </c>
      <c r="CA728" s="2" t="s">
        <v>1593</v>
      </c>
      <c r="CB728" s="2" t="s">
        <v>1300</v>
      </c>
      <c r="CC728" s="2" t="s">
        <v>218</v>
      </c>
      <c r="CD728" s="2" t="s">
        <v>206</v>
      </c>
      <c r="CE728" s="4">
        <v>85</v>
      </c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>
        <v>130</v>
      </c>
      <c r="DB728" s="4"/>
      <c r="DC728" s="4"/>
      <c r="DD728" s="4"/>
      <c r="DE728" s="4"/>
      <c r="DF728" s="4"/>
      <c r="DG728" s="4"/>
      <c r="DH728" s="4"/>
      <c r="DI728" s="4"/>
      <c r="DJ728" s="4"/>
      <c r="DK728" s="4"/>
      <c r="DL728" s="4"/>
      <c r="DM728" s="4"/>
      <c r="DN728" s="4"/>
      <c r="DO728" s="4"/>
      <c r="DP728" s="4"/>
      <c r="DQ728" s="4"/>
      <c r="DR728" s="4"/>
      <c r="DS728" s="4"/>
      <c r="DT728" s="4"/>
      <c r="DU728" s="4"/>
      <c r="DV728" s="4"/>
      <c r="DW728" s="4"/>
      <c r="DX728" s="4">
        <v>70</v>
      </c>
      <c r="DY728" s="4"/>
      <c r="DZ728" s="4"/>
      <c r="EA728" s="4"/>
      <c r="EB728" s="4"/>
      <c r="EC728" s="4"/>
      <c r="ED728" s="4"/>
      <c r="EE728" s="4"/>
      <c r="EF728" s="4"/>
      <c r="EG728" s="4"/>
      <c r="EH728" s="4"/>
      <c r="EI728" s="4"/>
      <c r="EJ728" s="4"/>
      <c r="EK728" s="4"/>
      <c r="EL728" s="4"/>
      <c r="EM728" s="4"/>
      <c r="EN728" s="4"/>
      <c r="EO728" s="4"/>
      <c r="EP728" s="4"/>
      <c r="EQ728" s="4"/>
      <c r="ER728" s="4"/>
      <c r="ES728" s="4"/>
      <c r="ET728" s="4"/>
      <c r="EU728" s="4"/>
      <c r="EV728" s="4"/>
      <c r="EW728" s="4"/>
      <c r="EX728" s="4"/>
      <c r="EY728" s="4"/>
      <c r="EZ728" s="4"/>
      <c r="FA728" s="4"/>
      <c r="FB728" s="4"/>
      <c r="FC728" s="4"/>
      <c r="FD728" s="4"/>
      <c r="FE728" s="4">
        <v>190</v>
      </c>
      <c r="FF728" s="4"/>
      <c r="FG728" s="4"/>
      <c r="FH728" s="4"/>
      <c r="FI728" s="4"/>
      <c r="FJ728" s="4"/>
      <c r="FK728" s="4"/>
      <c r="FL728" s="4"/>
      <c r="FM728" s="4"/>
      <c r="FN728" s="4"/>
      <c r="FO728" s="4"/>
      <c r="FP728" s="4"/>
      <c r="FQ728" s="4"/>
      <c r="FR728" s="4"/>
      <c r="FS728" s="4"/>
      <c r="FT728" s="4"/>
      <c r="FU728" s="4"/>
      <c r="FV728" s="4"/>
      <c r="FW728" s="4"/>
      <c r="FX728" s="4"/>
      <c r="FY728" s="4"/>
      <c r="FZ728" s="4"/>
      <c r="GA728" s="4"/>
      <c r="GB728" s="4"/>
      <c r="GC728" s="4"/>
      <c r="GD728" s="4"/>
      <c r="GE728" s="4"/>
      <c r="GF728" s="4"/>
    </row>
    <row r="729">
      <c r="A729" s="2" t="s">
        <v>4590</v>
      </c>
      <c r="B729" s="2" t="s">
        <v>225</v>
      </c>
      <c r="C729" s="2" t="s">
        <v>226</v>
      </c>
      <c r="D729" s="2" t="s">
        <v>227</v>
      </c>
      <c r="E729" s="2" t="s">
        <v>228</v>
      </c>
      <c r="F729" s="2" t="s">
        <v>4582</v>
      </c>
      <c r="G729" s="2" t="s">
        <v>4582</v>
      </c>
      <c r="H729" s="2" t="s">
        <v>4582</v>
      </c>
      <c r="I729" s="2" t="s">
        <v>230</v>
      </c>
      <c r="J729" s="2" t="s">
        <v>201</v>
      </c>
      <c r="K729" s="2" t="s">
        <v>4591</v>
      </c>
      <c r="L729" s="3">
        <v>15</v>
      </c>
      <c r="M729" s="3">
        <v>15.75</v>
      </c>
      <c r="N729" s="3">
        <v>29.99</v>
      </c>
      <c r="O729" s="2" t="s">
        <v>203</v>
      </c>
      <c r="P729" s="2" t="s">
        <v>204</v>
      </c>
      <c r="Q729" s="2" t="s">
        <v>205</v>
      </c>
      <c r="R729" s="2" t="s">
        <v>206</v>
      </c>
      <c r="S729" s="2" t="s">
        <v>4592</v>
      </c>
      <c r="T729" s="2" t="s">
        <v>4585</v>
      </c>
      <c r="U729" s="2" t="s">
        <v>556</v>
      </c>
      <c r="V729" s="2" t="s">
        <v>1002</v>
      </c>
      <c r="W729" s="2" t="s">
        <v>914</v>
      </c>
      <c r="X729" s="2" t="s">
        <v>210</v>
      </c>
      <c r="Y729" s="2" t="s">
        <v>4593</v>
      </c>
      <c r="Z729" s="4">
        <v>118</v>
      </c>
      <c r="AA729" s="4">
        <f>=ROUNDDOWN(16.8571428571429,0)</f>
      </c>
      <c r="AB729" s="5">
        <v>7</v>
      </c>
      <c r="AC729" s="2" t="s">
        <v>318</v>
      </c>
      <c r="AD729" s="4">
        <v>200</v>
      </c>
      <c r="AE729" s="4">
        <v>240</v>
      </c>
      <c r="AF729" s="6">
        <v>65</v>
      </c>
      <c r="AG729" s="6"/>
      <c r="AH729" s="7">
        <v>1</v>
      </c>
      <c r="AI729" s="4"/>
      <c r="AJ729" s="4">
        <f>=ROUNDDOWN({0},0)</f>
      </c>
      <c r="AK729" s="5"/>
      <c r="AL729" s="2" t="s">
        <v>206</v>
      </c>
      <c r="AM729" s="4"/>
      <c r="AN729" s="4"/>
      <c r="AO729" s="7"/>
      <c r="AP729" s="4"/>
      <c r="AQ729" s="8"/>
      <c r="AR729" s="4"/>
      <c r="AS729" s="8"/>
      <c r="AT729" s="7"/>
      <c r="AU729" s="7"/>
      <c r="AV729" s="4" t="s">
        <v>206</v>
      </c>
      <c r="AW729" s="8" t="s">
        <v>206</v>
      </c>
      <c r="AX729" s="4" t="s">
        <v>206</v>
      </c>
      <c r="AY729" s="8" t="s">
        <v>206</v>
      </c>
      <c r="AZ729" s="7" t="s">
        <v>206</v>
      </c>
      <c r="BA729" s="7" t="s">
        <v>206</v>
      </c>
      <c r="BB729" s="7"/>
      <c r="BC729" s="4" t="s">
        <v>206</v>
      </c>
      <c r="BD729" s="8" t="s">
        <v>206</v>
      </c>
      <c r="BE729" s="4" t="s">
        <v>206</v>
      </c>
      <c r="BF729" s="8" t="s">
        <v>206</v>
      </c>
      <c r="BG729" s="7" t="s">
        <v>206</v>
      </c>
      <c r="BH729" s="7" t="s">
        <v>206</v>
      </c>
      <c r="BI729" s="7"/>
      <c r="BJ729" s="4">
        <v>28</v>
      </c>
      <c r="BK729" s="8">
        <v>475.46</v>
      </c>
      <c r="BL729" s="2" t="s">
        <v>3238</v>
      </c>
      <c r="BM729" s="7"/>
      <c r="BN729" s="7"/>
      <c r="BO729" s="4"/>
      <c r="BP729" s="8"/>
      <c r="BQ729" s="4"/>
      <c r="BR729" s="8"/>
      <c r="BS729" s="7"/>
      <c r="BT729" s="7"/>
      <c r="BU729" s="2" t="s">
        <v>4594</v>
      </c>
      <c r="BV729" s="2" t="s">
        <v>206</v>
      </c>
      <c r="BW729" s="2" t="s">
        <v>206</v>
      </c>
      <c r="BX729" s="2" t="s">
        <v>214</v>
      </c>
      <c r="BY729" s="2" t="s">
        <v>215</v>
      </c>
      <c r="BZ729" s="2" t="s">
        <v>203</v>
      </c>
      <c r="CA729" s="2" t="s">
        <v>4595</v>
      </c>
      <c r="CB729" s="2" t="s">
        <v>1593</v>
      </c>
      <c r="CC729" s="2" t="s">
        <v>218</v>
      </c>
      <c r="CD729" s="2" t="s">
        <v>206</v>
      </c>
      <c r="CE729" s="4">
        <v>118</v>
      </c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  <c r="DE729" s="4"/>
      <c r="DF729" s="4"/>
      <c r="DG729" s="4"/>
      <c r="DH729" s="4"/>
      <c r="DI729" s="4"/>
      <c r="DJ729" s="4"/>
      <c r="DK729" s="4"/>
      <c r="DL729" s="4"/>
      <c r="DM729" s="4"/>
      <c r="DN729" s="4"/>
      <c r="DO729" s="4"/>
      <c r="DP729" s="4"/>
      <c r="DQ729" s="4"/>
      <c r="DR729" s="4"/>
      <c r="DS729" s="4"/>
      <c r="DT729" s="4"/>
      <c r="DU729" s="4"/>
      <c r="DV729" s="4"/>
      <c r="DW729" s="4"/>
      <c r="DX729" s="4">
        <v>200</v>
      </c>
      <c r="DY729" s="4"/>
      <c r="DZ729" s="4"/>
      <c r="EA729" s="4"/>
      <c r="EB729" s="4"/>
      <c r="EC729" s="4"/>
      <c r="ED729" s="4"/>
      <c r="EE729" s="4"/>
      <c r="EF729" s="4"/>
      <c r="EG729" s="4"/>
      <c r="EH729" s="4"/>
      <c r="EI729" s="4"/>
      <c r="EJ729" s="4"/>
      <c r="EK729" s="4"/>
      <c r="EL729" s="4"/>
      <c r="EM729" s="4"/>
      <c r="EN729" s="4"/>
      <c r="EO729" s="4"/>
      <c r="EP729" s="4"/>
      <c r="EQ729" s="4"/>
      <c r="ER729" s="4"/>
      <c r="ES729" s="4"/>
      <c r="ET729" s="4"/>
      <c r="EU729" s="4"/>
      <c r="EV729" s="4"/>
      <c r="EW729" s="4"/>
      <c r="EX729" s="4"/>
      <c r="EY729" s="4"/>
      <c r="EZ729" s="4"/>
      <c r="FA729" s="4"/>
      <c r="FB729" s="4"/>
      <c r="FC729" s="4"/>
      <c r="FD729" s="4"/>
      <c r="FE729" s="4">
        <v>40</v>
      </c>
      <c r="FF729" s="4"/>
      <c r="FG729" s="4"/>
      <c r="FH729" s="4"/>
      <c r="FI729" s="4"/>
      <c r="FJ729" s="4"/>
      <c r="FK729" s="4"/>
      <c r="FL729" s="4"/>
      <c r="FM729" s="4"/>
      <c r="FN729" s="4"/>
      <c r="FO729" s="4"/>
      <c r="FP729" s="4"/>
      <c r="FQ729" s="4"/>
      <c r="FR729" s="4"/>
      <c r="FS729" s="4"/>
      <c r="FT729" s="4"/>
      <c r="FU729" s="4"/>
      <c r="FV729" s="4"/>
      <c r="FW729" s="4"/>
      <c r="FX729" s="4"/>
      <c r="FY729" s="4"/>
      <c r="FZ729" s="4"/>
      <c r="GA729" s="4"/>
      <c r="GB729" s="4"/>
      <c r="GC729" s="4"/>
      <c r="GD729" s="4"/>
      <c r="GE729" s="4"/>
      <c r="GF729" s="4"/>
    </row>
    <row r="730">
      <c r="A730" s="2" t="s">
        <v>4596</v>
      </c>
      <c r="B730" s="2" t="s">
        <v>225</v>
      </c>
      <c r="C730" s="2" t="s">
        <v>226</v>
      </c>
      <c r="D730" s="2" t="s">
        <v>227</v>
      </c>
      <c r="E730" s="2" t="s">
        <v>228</v>
      </c>
      <c r="F730" s="2" t="s">
        <v>4582</v>
      </c>
      <c r="G730" s="2" t="s">
        <v>4582</v>
      </c>
      <c r="H730" s="2" t="s">
        <v>4582</v>
      </c>
      <c r="I730" s="2" t="s">
        <v>230</v>
      </c>
      <c r="J730" s="2" t="s">
        <v>220</v>
      </c>
      <c r="K730" s="2" t="s">
        <v>4591</v>
      </c>
      <c r="L730" s="3">
        <v>16.5</v>
      </c>
      <c r="M730" s="3">
        <v>17.33</v>
      </c>
      <c r="N730" s="3">
        <v>32.99</v>
      </c>
      <c r="O730" s="2" t="s">
        <v>203</v>
      </c>
      <c r="P730" s="2" t="s">
        <v>204</v>
      </c>
      <c r="Q730" s="2" t="s">
        <v>205</v>
      </c>
      <c r="R730" s="2" t="s">
        <v>206</v>
      </c>
      <c r="S730" s="2" t="s">
        <v>4592</v>
      </c>
      <c r="T730" s="2" t="s">
        <v>4585</v>
      </c>
      <c r="U730" s="2" t="s">
        <v>235</v>
      </c>
      <c r="V730" s="2" t="s">
        <v>1002</v>
      </c>
      <c r="W730" s="2" t="s">
        <v>914</v>
      </c>
      <c r="X730" s="2" t="s">
        <v>210</v>
      </c>
      <c r="Y730" s="2" t="s">
        <v>4593</v>
      </c>
      <c r="Z730" s="4">
        <v>77</v>
      </c>
      <c r="AA730" s="4">
        <f>=ROUNDDOWN(7,0)</f>
      </c>
      <c r="AB730" s="5">
        <v>11</v>
      </c>
      <c r="AC730" s="2" t="s">
        <v>115</v>
      </c>
      <c r="AD730" s="4">
        <v>60</v>
      </c>
      <c r="AE730" s="4">
        <v>280</v>
      </c>
      <c r="AF730" s="6">
        <v>65</v>
      </c>
      <c r="AG730" s="6"/>
      <c r="AH730" s="7">
        <v>1</v>
      </c>
      <c r="AI730" s="4"/>
      <c r="AJ730" s="4">
        <f>=ROUNDDOWN({0},0)</f>
      </c>
      <c r="AK730" s="5"/>
      <c r="AL730" s="2" t="s">
        <v>206</v>
      </c>
      <c r="AM730" s="4"/>
      <c r="AN730" s="4"/>
      <c r="AO730" s="7"/>
      <c r="AP730" s="4"/>
      <c r="AQ730" s="8"/>
      <c r="AR730" s="4"/>
      <c r="AS730" s="8"/>
      <c r="AT730" s="7"/>
      <c r="AU730" s="7"/>
      <c r="AV730" s="4" t="s">
        <v>206</v>
      </c>
      <c r="AW730" s="8" t="s">
        <v>206</v>
      </c>
      <c r="AX730" s="4" t="s">
        <v>206</v>
      </c>
      <c r="AY730" s="8" t="s">
        <v>206</v>
      </c>
      <c r="AZ730" s="7" t="s">
        <v>206</v>
      </c>
      <c r="BA730" s="7" t="s">
        <v>206</v>
      </c>
      <c r="BB730" s="7"/>
      <c r="BC730" s="4" t="s">
        <v>206</v>
      </c>
      <c r="BD730" s="8" t="s">
        <v>206</v>
      </c>
      <c r="BE730" s="4" t="s">
        <v>206</v>
      </c>
      <c r="BF730" s="8" t="s">
        <v>206</v>
      </c>
      <c r="BG730" s="7" t="s">
        <v>206</v>
      </c>
      <c r="BH730" s="7" t="s">
        <v>206</v>
      </c>
      <c r="BI730" s="7"/>
      <c r="BJ730" s="4">
        <v>79</v>
      </c>
      <c r="BK730" s="8">
        <v>1467.25</v>
      </c>
      <c r="BL730" s="2" t="s">
        <v>3490</v>
      </c>
      <c r="BM730" s="7"/>
      <c r="BN730" s="7"/>
      <c r="BO730" s="4"/>
      <c r="BP730" s="8"/>
      <c r="BQ730" s="4"/>
      <c r="BR730" s="8"/>
      <c r="BS730" s="7"/>
      <c r="BT730" s="7"/>
      <c r="BU730" s="2" t="s">
        <v>4597</v>
      </c>
      <c r="BV730" s="2" t="s">
        <v>206</v>
      </c>
      <c r="BW730" s="2" t="s">
        <v>206</v>
      </c>
      <c r="BX730" s="2" t="s">
        <v>214</v>
      </c>
      <c r="BY730" s="2" t="s">
        <v>215</v>
      </c>
      <c r="BZ730" s="2" t="s">
        <v>203</v>
      </c>
      <c r="CA730" s="2" t="s">
        <v>4595</v>
      </c>
      <c r="CB730" s="2" t="s">
        <v>4598</v>
      </c>
      <c r="CC730" s="2" t="s">
        <v>218</v>
      </c>
      <c r="CD730" s="2" t="s">
        <v>206</v>
      </c>
      <c r="CE730" s="4">
        <v>77</v>
      </c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>
        <v>60</v>
      </c>
      <c r="DD730" s="4"/>
      <c r="DE730" s="4"/>
      <c r="DF730" s="4"/>
      <c r="DG730" s="4"/>
      <c r="DH730" s="4"/>
      <c r="DI730" s="4"/>
      <c r="DJ730" s="4"/>
      <c r="DK730" s="4"/>
      <c r="DL730" s="4"/>
      <c r="DM730" s="4"/>
      <c r="DN730" s="4"/>
      <c r="DO730" s="4"/>
      <c r="DP730" s="4"/>
      <c r="DQ730" s="4"/>
      <c r="DR730" s="4"/>
      <c r="DS730" s="4"/>
      <c r="DT730" s="4"/>
      <c r="DU730" s="4"/>
      <c r="DV730" s="4"/>
      <c r="DW730" s="4"/>
      <c r="DX730" s="4">
        <v>170</v>
      </c>
      <c r="DY730" s="4"/>
      <c r="DZ730" s="4"/>
      <c r="EA730" s="4"/>
      <c r="EB730" s="4"/>
      <c r="EC730" s="4"/>
      <c r="ED730" s="4"/>
      <c r="EE730" s="4"/>
      <c r="EF730" s="4"/>
      <c r="EG730" s="4"/>
      <c r="EH730" s="4"/>
      <c r="EI730" s="4"/>
      <c r="EJ730" s="4"/>
      <c r="EK730" s="4"/>
      <c r="EL730" s="4"/>
      <c r="EM730" s="4"/>
      <c r="EN730" s="4"/>
      <c r="EO730" s="4"/>
      <c r="EP730" s="4"/>
      <c r="EQ730" s="4"/>
      <c r="ER730" s="4"/>
      <c r="ES730" s="4"/>
      <c r="ET730" s="4"/>
      <c r="EU730" s="4"/>
      <c r="EV730" s="4"/>
      <c r="EW730" s="4"/>
      <c r="EX730" s="4"/>
      <c r="EY730" s="4"/>
      <c r="EZ730" s="4"/>
      <c r="FA730" s="4"/>
      <c r="FB730" s="4"/>
      <c r="FC730" s="4"/>
      <c r="FD730" s="4"/>
      <c r="FE730" s="4">
        <v>50</v>
      </c>
      <c r="FF730" s="4"/>
      <c r="FG730" s="4"/>
      <c r="FH730" s="4"/>
      <c r="FI730" s="4"/>
      <c r="FJ730" s="4"/>
      <c r="FK730" s="4"/>
      <c r="FL730" s="4"/>
      <c r="FM730" s="4"/>
      <c r="FN730" s="4"/>
      <c r="FO730" s="4"/>
      <c r="FP730" s="4"/>
      <c r="FQ730" s="4"/>
      <c r="FR730" s="4"/>
      <c r="FS730" s="4"/>
      <c r="FT730" s="4"/>
      <c r="FU730" s="4"/>
      <c r="FV730" s="4"/>
      <c r="FW730" s="4"/>
      <c r="FX730" s="4"/>
      <c r="FY730" s="4"/>
      <c r="FZ730" s="4"/>
      <c r="GA730" s="4"/>
      <c r="GB730" s="4"/>
      <c r="GC730" s="4"/>
      <c r="GD730" s="4"/>
      <c r="GE730" s="4"/>
      <c r="GF730" s="4"/>
    </row>
    <row r="731">
      <c r="A731" s="2" t="s">
        <v>4599</v>
      </c>
      <c r="B731" s="2" t="s">
        <v>225</v>
      </c>
      <c r="C731" s="2" t="s">
        <v>226</v>
      </c>
      <c r="D731" s="2" t="s">
        <v>227</v>
      </c>
      <c r="E731" s="2" t="s">
        <v>228</v>
      </c>
      <c r="F731" s="2" t="s">
        <v>4582</v>
      </c>
      <c r="G731" s="2" t="s">
        <v>4582</v>
      </c>
      <c r="H731" s="2" t="s">
        <v>4582</v>
      </c>
      <c r="I731" s="2" t="s">
        <v>230</v>
      </c>
      <c r="J731" s="2" t="s">
        <v>201</v>
      </c>
      <c r="K731" s="2" t="s">
        <v>4600</v>
      </c>
      <c r="L731" s="3">
        <v>15</v>
      </c>
      <c r="M731" s="3">
        <v>15.75</v>
      </c>
      <c r="N731" s="3">
        <v>29.99</v>
      </c>
      <c r="O731" s="2" t="s">
        <v>203</v>
      </c>
      <c r="P731" s="2" t="s">
        <v>204</v>
      </c>
      <c r="Q731" s="2" t="s">
        <v>205</v>
      </c>
      <c r="R731" s="2" t="s">
        <v>206</v>
      </c>
      <c r="S731" s="2" t="s">
        <v>4601</v>
      </c>
      <c r="T731" s="2" t="s">
        <v>4585</v>
      </c>
      <c r="U731" s="2" t="s">
        <v>556</v>
      </c>
      <c r="V731" s="2" t="s">
        <v>1002</v>
      </c>
      <c r="W731" s="2" t="s">
        <v>914</v>
      </c>
      <c r="X731" s="2" t="s">
        <v>210</v>
      </c>
      <c r="Y731" s="2" t="s">
        <v>4593</v>
      </c>
      <c r="Z731" s="4">
        <v>59</v>
      </c>
      <c r="AA731" s="4">
        <f>=ROUNDDOWN(11.8,0)</f>
      </c>
      <c r="AB731" s="5">
        <v>5</v>
      </c>
      <c r="AC731" s="2" t="s">
        <v>113</v>
      </c>
      <c r="AD731" s="4">
        <v>110</v>
      </c>
      <c r="AE731" s="4">
        <v>210</v>
      </c>
      <c r="AF731" s="6">
        <v>65</v>
      </c>
      <c r="AG731" s="6"/>
      <c r="AH731" s="7">
        <v>1</v>
      </c>
      <c r="AI731" s="4"/>
      <c r="AJ731" s="4">
        <f>=ROUNDDOWN({0},0)</f>
      </c>
      <c r="AK731" s="5"/>
      <c r="AL731" s="2" t="s">
        <v>206</v>
      </c>
      <c r="AM731" s="4"/>
      <c r="AN731" s="4"/>
      <c r="AO731" s="7"/>
      <c r="AP731" s="4"/>
      <c r="AQ731" s="8"/>
      <c r="AR731" s="4"/>
      <c r="AS731" s="8"/>
      <c r="AT731" s="7"/>
      <c r="AU731" s="7"/>
      <c r="AV731" s="4" t="s">
        <v>206</v>
      </c>
      <c r="AW731" s="8" t="s">
        <v>206</v>
      </c>
      <c r="AX731" s="4" t="s">
        <v>206</v>
      </c>
      <c r="AY731" s="8" t="s">
        <v>206</v>
      </c>
      <c r="AZ731" s="7" t="s">
        <v>206</v>
      </c>
      <c r="BA731" s="7" t="s">
        <v>206</v>
      </c>
      <c r="BB731" s="7"/>
      <c r="BC731" s="4" t="s">
        <v>206</v>
      </c>
      <c r="BD731" s="8" t="s">
        <v>206</v>
      </c>
      <c r="BE731" s="4" t="s">
        <v>206</v>
      </c>
      <c r="BF731" s="8" t="s">
        <v>206</v>
      </c>
      <c r="BG731" s="7" t="s">
        <v>206</v>
      </c>
      <c r="BH731" s="7" t="s">
        <v>206</v>
      </c>
      <c r="BI731" s="7"/>
      <c r="BJ731" s="4">
        <v>26</v>
      </c>
      <c r="BK731" s="8">
        <v>440.72</v>
      </c>
      <c r="BL731" s="2" t="s">
        <v>1924</v>
      </c>
      <c r="BM731" s="7"/>
      <c r="BN731" s="7"/>
      <c r="BO731" s="4"/>
      <c r="BP731" s="8"/>
      <c r="BQ731" s="4"/>
      <c r="BR731" s="8"/>
      <c r="BS731" s="7"/>
      <c r="BT731" s="7"/>
      <c r="BU731" s="2" t="s">
        <v>4602</v>
      </c>
      <c r="BV731" s="2" t="s">
        <v>206</v>
      </c>
      <c r="BW731" s="2" t="s">
        <v>206</v>
      </c>
      <c r="BX731" s="2" t="s">
        <v>214</v>
      </c>
      <c r="BY731" s="2" t="s">
        <v>215</v>
      </c>
      <c r="BZ731" s="2" t="s">
        <v>203</v>
      </c>
      <c r="CA731" s="2" t="s">
        <v>4595</v>
      </c>
      <c r="CB731" s="2" t="s">
        <v>2912</v>
      </c>
      <c r="CC731" s="2" t="s">
        <v>218</v>
      </c>
      <c r="CD731" s="2" t="s">
        <v>206</v>
      </c>
      <c r="CE731" s="4">
        <v>59</v>
      </c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>
        <v>110</v>
      </c>
      <c r="DB731" s="4"/>
      <c r="DC731" s="4">
        <v>20</v>
      </c>
      <c r="DD731" s="4"/>
      <c r="DE731" s="4"/>
      <c r="DF731" s="4"/>
      <c r="DG731" s="4"/>
      <c r="DH731" s="4"/>
      <c r="DI731" s="4"/>
      <c r="DJ731" s="4"/>
      <c r="DK731" s="4"/>
      <c r="DL731" s="4"/>
      <c r="DM731" s="4"/>
      <c r="DN731" s="4"/>
      <c r="DO731" s="4"/>
      <c r="DP731" s="4"/>
      <c r="DQ731" s="4"/>
      <c r="DR731" s="4"/>
      <c r="DS731" s="4"/>
      <c r="DT731" s="4"/>
      <c r="DU731" s="4"/>
      <c r="DV731" s="4"/>
      <c r="DW731" s="4"/>
      <c r="DX731" s="4">
        <v>50</v>
      </c>
      <c r="DY731" s="4"/>
      <c r="DZ731" s="4"/>
      <c r="EA731" s="4"/>
      <c r="EB731" s="4"/>
      <c r="EC731" s="4"/>
      <c r="ED731" s="4"/>
      <c r="EE731" s="4"/>
      <c r="EF731" s="4"/>
      <c r="EG731" s="4"/>
      <c r="EH731" s="4"/>
      <c r="EI731" s="4"/>
      <c r="EJ731" s="4"/>
      <c r="EK731" s="4"/>
      <c r="EL731" s="4"/>
      <c r="EM731" s="4"/>
      <c r="EN731" s="4"/>
      <c r="EO731" s="4"/>
      <c r="EP731" s="4"/>
      <c r="EQ731" s="4"/>
      <c r="ER731" s="4"/>
      <c r="ES731" s="4"/>
      <c r="ET731" s="4"/>
      <c r="EU731" s="4"/>
      <c r="EV731" s="4"/>
      <c r="EW731" s="4"/>
      <c r="EX731" s="4"/>
      <c r="EY731" s="4"/>
      <c r="EZ731" s="4"/>
      <c r="FA731" s="4"/>
      <c r="FB731" s="4"/>
      <c r="FC731" s="4"/>
      <c r="FD731" s="4"/>
      <c r="FE731" s="4">
        <v>30</v>
      </c>
      <c r="FF731" s="4"/>
      <c r="FG731" s="4"/>
      <c r="FH731" s="4"/>
      <c r="FI731" s="4"/>
      <c r="FJ731" s="4"/>
      <c r="FK731" s="4"/>
      <c r="FL731" s="4"/>
      <c r="FM731" s="4"/>
      <c r="FN731" s="4"/>
      <c r="FO731" s="4"/>
      <c r="FP731" s="4"/>
      <c r="FQ731" s="4"/>
      <c r="FR731" s="4"/>
      <c r="FS731" s="4"/>
      <c r="FT731" s="4"/>
      <c r="FU731" s="4"/>
      <c r="FV731" s="4"/>
      <c r="FW731" s="4"/>
      <c r="FX731" s="4"/>
      <c r="FY731" s="4"/>
      <c r="FZ731" s="4"/>
      <c r="GA731" s="4"/>
      <c r="GB731" s="4"/>
      <c r="GC731" s="4"/>
      <c r="GD731" s="4"/>
      <c r="GE731" s="4"/>
      <c r="GF731" s="4"/>
    </row>
    <row r="732">
      <c r="A732" s="2" t="s">
        <v>4603</v>
      </c>
      <c r="B732" s="2" t="s">
        <v>225</v>
      </c>
      <c r="C732" s="2" t="s">
        <v>226</v>
      </c>
      <c r="D732" s="2" t="s">
        <v>227</v>
      </c>
      <c r="E732" s="2" t="s">
        <v>228</v>
      </c>
      <c r="F732" s="2" t="s">
        <v>4582</v>
      </c>
      <c r="G732" s="2" t="s">
        <v>4582</v>
      </c>
      <c r="H732" s="2" t="s">
        <v>4582</v>
      </c>
      <c r="I732" s="2" t="s">
        <v>230</v>
      </c>
      <c r="J732" s="2" t="s">
        <v>220</v>
      </c>
      <c r="K732" s="2" t="s">
        <v>4600</v>
      </c>
      <c r="L732" s="3">
        <v>16.5</v>
      </c>
      <c r="M732" s="3">
        <v>17.33</v>
      </c>
      <c r="N732" s="3">
        <v>32.99</v>
      </c>
      <c r="O732" s="2" t="s">
        <v>203</v>
      </c>
      <c r="P732" s="2" t="s">
        <v>204</v>
      </c>
      <c r="Q732" s="2" t="s">
        <v>205</v>
      </c>
      <c r="R732" s="2" t="s">
        <v>206</v>
      </c>
      <c r="S732" s="2" t="s">
        <v>4601</v>
      </c>
      <c r="T732" s="2" t="s">
        <v>4585</v>
      </c>
      <c r="U732" s="2" t="s">
        <v>235</v>
      </c>
      <c r="V732" s="2" t="s">
        <v>1002</v>
      </c>
      <c r="W732" s="2" t="s">
        <v>914</v>
      </c>
      <c r="X732" s="2" t="s">
        <v>210</v>
      </c>
      <c r="Y732" s="2" t="s">
        <v>4593</v>
      </c>
      <c r="Z732" s="4"/>
      <c r="AA732" s="4">
        <f>=ROUNDDOWN({0},0)</f>
      </c>
      <c r="AB732" s="5">
        <v>12</v>
      </c>
      <c r="AC732" s="2" t="s">
        <v>113</v>
      </c>
      <c r="AD732" s="4">
        <v>160</v>
      </c>
      <c r="AE732" s="4">
        <v>600</v>
      </c>
      <c r="AF732" s="6">
        <v>65</v>
      </c>
      <c r="AG732" s="6"/>
      <c r="AH732" s="7">
        <v>0.4194</v>
      </c>
      <c r="AI732" s="4"/>
      <c r="AJ732" s="4">
        <f>=ROUNDDOWN({0},0)</f>
      </c>
      <c r="AK732" s="5"/>
      <c r="AL732" s="2" t="s">
        <v>206</v>
      </c>
      <c r="AM732" s="4"/>
      <c r="AN732" s="4"/>
      <c r="AO732" s="7"/>
      <c r="AP732" s="4"/>
      <c r="AQ732" s="8"/>
      <c r="AR732" s="4"/>
      <c r="AS732" s="8"/>
      <c r="AT732" s="7"/>
      <c r="AU732" s="7"/>
      <c r="AV732" s="4" t="s">
        <v>206</v>
      </c>
      <c r="AW732" s="8" t="s">
        <v>206</v>
      </c>
      <c r="AX732" s="4" t="s">
        <v>206</v>
      </c>
      <c r="AY732" s="8" t="s">
        <v>206</v>
      </c>
      <c r="AZ732" s="7" t="s">
        <v>206</v>
      </c>
      <c r="BA732" s="7" t="s">
        <v>206</v>
      </c>
      <c r="BB732" s="7"/>
      <c r="BC732" s="4" t="s">
        <v>206</v>
      </c>
      <c r="BD732" s="8" t="s">
        <v>206</v>
      </c>
      <c r="BE732" s="4" t="s">
        <v>206</v>
      </c>
      <c r="BF732" s="8" t="s">
        <v>206</v>
      </c>
      <c r="BG732" s="7" t="s">
        <v>206</v>
      </c>
      <c r="BH732" s="7" t="s">
        <v>206</v>
      </c>
      <c r="BI732" s="7"/>
      <c r="BJ732" s="4">
        <v>45</v>
      </c>
      <c r="BK732" s="8">
        <v>851.06</v>
      </c>
      <c r="BL732" s="2" t="s">
        <v>1917</v>
      </c>
      <c r="BM732" s="7"/>
      <c r="BN732" s="7"/>
      <c r="BO732" s="4"/>
      <c r="BP732" s="8"/>
      <c r="BQ732" s="4"/>
      <c r="BR732" s="8"/>
      <c r="BS732" s="7"/>
      <c r="BT732" s="7"/>
      <c r="BU732" s="2" t="s">
        <v>4604</v>
      </c>
      <c r="BV732" s="2" t="s">
        <v>206</v>
      </c>
      <c r="BW732" s="2" t="s">
        <v>206</v>
      </c>
      <c r="BX732" s="2" t="s">
        <v>214</v>
      </c>
      <c r="BY732" s="2" t="s">
        <v>215</v>
      </c>
      <c r="BZ732" s="2" t="s">
        <v>203</v>
      </c>
      <c r="CA732" s="2" t="s">
        <v>4595</v>
      </c>
      <c r="CB732" s="2" t="s">
        <v>2007</v>
      </c>
      <c r="CC732" s="2" t="s">
        <v>218</v>
      </c>
      <c r="CD732" s="2" t="s">
        <v>206</v>
      </c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>
        <v>160</v>
      </c>
      <c r="DB732" s="4"/>
      <c r="DC732" s="4">
        <v>170</v>
      </c>
      <c r="DD732" s="4"/>
      <c r="DE732" s="4"/>
      <c r="DF732" s="4"/>
      <c r="DG732" s="4"/>
      <c r="DH732" s="4"/>
      <c r="DI732" s="4"/>
      <c r="DJ732" s="4"/>
      <c r="DK732" s="4"/>
      <c r="DL732" s="4"/>
      <c r="DM732" s="4"/>
      <c r="DN732" s="4"/>
      <c r="DO732" s="4"/>
      <c r="DP732" s="4"/>
      <c r="DQ732" s="4"/>
      <c r="DR732" s="4"/>
      <c r="DS732" s="4"/>
      <c r="DT732" s="4"/>
      <c r="DU732" s="4"/>
      <c r="DV732" s="4"/>
      <c r="DW732" s="4"/>
      <c r="DX732" s="4">
        <v>220</v>
      </c>
      <c r="DY732" s="4"/>
      <c r="DZ732" s="4"/>
      <c r="EA732" s="4"/>
      <c r="EB732" s="4"/>
      <c r="EC732" s="4"/>
      <c r="ED732" s="4"/>
      <c r="EE732" s="4"/>
      <c r="EF732" s="4"/>
      <c r="EG732" s="4"/>
      <c r="EH732" s="4"/>
      <c r="EI732" s="4"/>
      <c r="EJ732" s="4"/>
      <c r="EK732" s="4"/>
      <c r="EL732" s="4"/>
      <c r="EM732" s="4"/>
      <c r="EN732" s="4"/>
      <c r="EO732" s="4"/>
      <c r="EP732" s="4"/>
      <c r="EQ732" s="4"/>
      <c r="ER732" s="4"/>
      <c r="ES732" s="4"/>
      <c r="ET732" s="4"/>
      <c r="EU732" s="4"/>
      <c r="EV732" s="4"/>
      <c r="EW732" s="4"/>
      <c r="EX732" s="4"/>
      <c r="EY732" s="4"/>
      <c r="EZ732" s="4"/>
      <c r="FA732" s="4"/>
      <c r="FB732" s="4"/>
      <c r="FC732" s="4"/>
      <c r="FD732" s="4"/>
      <c r="FE732" s="4">
        <v>50</v>
      </c>
      <c r="FF732" s="4"/>
      <c r="FG732" s="4"/>
      <c r="FH732" s="4"/>
      <c r="FI732" s="4"/>
      <c r="FJ732" s="4"/>
      <c r="FK732" s="4"/>
      <c r="FL732" s="4"/>
      <c r="FM732" s="4"/>
      <c r="FN732" s="4"/>
      <c r="FO732" s="4"/>
      <c r="FP732" s="4"/>
      <c r="FQ732" s="4"/>
      <c r="FR732" s="4"/>
      <c r="FS732" s="4"/>
      <c r="FT732" s="4"/>
      <c r="FU732" s="4"/>
      <c r="FV732" s="4"/>
      <c r="FW732" s="4"/>
      <c r="FX732" s="4"/>
      <c r="FY732" s="4"/>
      <c r="FZ732" s="4"/>
      <c r="GA732" s="4"/>
      <c r="GB732" s="4"/>
      <c r="GC732" s="4"/>
      <c r="GD732" s="4"/>
      <c r="GE732" s="4"/>
      <c r="GF732" s="4"/>
    </row>
    <row r="733">
      <c r="A733" s="2" t="s">
        <v>4605</v>
      </c>
      <c r="B733" s="2" t="s">
        <v>429</v>
      </c>
      <c r="C733" s="2" t="s">
        <v>287</v>
      </c>
      <c r="D733" s="2" t="s">
        <v>4606</v>
      </c>
      <c r="E733" s="2" t="s">
        <v>4607</v>
      </c>
      <c r="F733" s="2" t="s">
        <v>4608</v>
      </c>
      <c r="G733" s="2" t="s">
        <v>4609</v>
      </c>
      <c r="H733" s="2" t="s">
        <v>4610</v>
      </c>
      <c r="I733" s="2" t="s">
        <v>4611</v>
      </c>
      <c r="J733" s="2" t="s">
        <v>434</v>
      </c>
      <c r="K733" s="2" t="s">
        <v>2756</v>
      </c>
      <c r="L733" s="3">
        <v>34.24</v>
      </c>
      <c r="M733" s="3">
        <v>35.95</v>
      </c>
      <c r="N733" s="3">
        <v>69.69</v>
      </c>
      <c r="O733" s="2" t="s">
        <v>203</v>
      </c>
      <c r="P733" s="2" t="s">
        <v>204</v>
      </c>
      <c r="Q733" s="2" t="s">
        <v>205</v>
      </c>
      <c r="R733" s="2" t="s">
        <v>206</v>
      </c>
      <c r="S733" s="2" t="s">
        <v>4612</v>
      </c>
      <c r="T733" s="2" t="s">
        <v>206</v>
      </c>
      <c r="U733" s="2" t="s">
        <v>556</v>
      </c>
      <c r="V733" s="2" t="s">
        <v>209</v>
      </c>
      <c r="W733" s="2" t="s">
        <v>539</v>
      </c>
      <c r="X733" s="2" t="s">
        <v>206</v>
      </c>
      <c r="Y733" s="2" t="s">
        <v>322</v>
      </c>
      <c r="Z733" s="4">
        <v>108</v>
      </c>
      <c r="AA733" s="4">
        <f>=ROUNDDOWN(21.6,0)</f>
      </c>
      <c r="AB733" s="5">
        <v>5</v>
      </c>
      <c r="AC733" s="2" t="s">
        <v>206</v>
      </c>
      <c r="AD733" s="4"/>
      <c r="AE733" s="4"/>
      <c r="AF733" s="6">
        <v>65</v>
      </c>
      <c r="AG733" s="6"/>
      <c r="AH733" s="7">
        <v>1</v>
      </c>
      <c r="AI733" s="4"/>
      <c r="AJ733" s="4">
        <f>=ROUNDDOWN({0},0)</f>
      </c>
      <c r="AK733" s="5"/>
      <c r="AL733" s="2" t="s">
        <v>206</v>
      </c>
      <c r="AM733" s="4"/>
      <c r="AN733" s="4"/>
      <c r="AO733" s="7"/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/>
      <c r="BD733" s="8"/>
      <c r="BE733" s="4"/>
      <c r="BF733" s="8"/>
      <c r="BG733" s="7"/>
      <c r="BH733" s="7"/>
      <c r="BI733" s="7"/>
      <c r="BJ733" s="4">
        <v>21</v>
      </c>
      <c r="BK733" s="8">
        <v>643.15</v>
      </c>
      <c r="BL733" s="2" t="s">
        <v>4613</v>
      </c>
      <c r="BM733" s="7"/>
      <c r="BN733" s="7"/>
      <c r="BO733" s="4"/>
      <c r="BP733" s="8"/>
      <c r="BQ733" s="4"/>
      <c r="BR733" s="8"/>
      <c r="BS733" s="7"/>
      <c r="BT733" s="7"/>
      <c r="BU733" s="2" t="s">
        <v>4614</v>
      </c>
      <c r="BV733" s="2" t="s">
        <v>206</v>
      </c>
      <c r="BW733" s="2" t="s">
        <v>206</v>
      </c>
      <c r="BX733" s="2" t="s">
        <v>214</v>
      </c>
      <c r="BY733" s="2" t="s">
        <v>215</v>
      </c>
      <c r="BZ733" s="2" t="s">
        <v>203</v>
      </c>
      <c r="CA733" s="2" t="s">
        <v>4615</v>
      </c>
      <c r="CB733" s="2" t="s">
        <v>4616</v>
      </c>
      <c r="CC733" s="2" t="s">
        <v>218</v>
      </c>
      <c r="CD733" s="2" t="s">
        <v>206</v>
      </c>
      <c r="CE733" s="4"/>
      <c r="CF733" s="4">
        <v>108</v>
      </c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  <c r="DE733" s="4"/>
      <c r="DF733" s="4"/>
      <c r="DG733" s="4"/>
      <c r="DH733" s="4"/>
      <c r="DI733" s="4"/>
      <c r="DJ733" s="4"/>
      <c r="DK733" s="4"/>
      <c r="DL733" s="4"/>
      <c r="DM733" s="4"/>
      <c r="DN733" s="4"/>
      <c r="DO733" s="4"/>
      <c r="DP733" s="4"/>
      <c r="DQ733" s="4"/>
      <c r="DR733" s="4"/>
      <c r="DS733" s="4"/>
      <c r="DT733" s="4"/>
      <c r="DU733" s="4"/>
      <c r="DV733" s="4"/>
      <c r="DW733" s="4"/>
      <c r="DX733" s="4"/>
      <c r="DY733" s="4"/>
      <c r="DZ733" s="4"/>
      <c r="EA733" s="4"/>
      <c r="EB733" s="4"/>
      <c r="EC733" s="4"/>
      <c r="ED733" s="4"/>
      <c r="EE733" s="4"/>
      <c r="EF733" s="4"/>
      <c r="EG733" s="4"/>
      <c r="EH733" s="4"/>
      <c r="EI733" s="4"/>
      <c r="EJ733" s="4"/>
      <c r="EK733" s="4"/>
      <c r="EL733" s="4"/>
      <c r="EM733" s="4"/>
      <c r="EN733" s="4"/>
      <c r="EO733" s="4"/>
      <c r="EP733" s="4"/>
      <c r="EQ733" s="4"/>
      <c r="ER733" s="4"/>
      <c r="ES733" s="4"/>
      <c r="ET733" s="4"/>
      <c r="EU733" s="4"/>
      <c r="EV733" s="4"/>
      <c r="EW733" s="4"/>
      <c r="EX733" s="4"/>
      <c r="EY733" s="4"/>
      <c r="EZ733" s="4"/>
      <c r="FA733" s="4"/>
      <c r="FB733" s="4"/>
      <c r="FC733" s="4"/>
      <c r="FD733" s="4"/>
      <c r="FE733" s="4"/>
      <c r="FF733" s="4"/>
      <c r="FG733" s="4"/>
      <c r="FH733" s="4"/>
      <c r="FI733" s="4"/>
      <c r="FJ733" s="4"/>
      <c r="FK733" s="4"/>
      <c r="FL733" s="4"/>
      <c r="FM733" s="4"/>
      <c r="FN733" s="4"/>
      <c r="FO733" s="4"/>
      <c r="FP733" s="4"/>
      <c r="FQ733" s="4"/>
      <c r="FR733" s="4"/>
      <c r="FS733" s="4"/>
      <c r="FT733" s="4"/>
      <c r="FU733" s="4"/>
      <c r="FV733" s="4"/>
      <c r="FW733" s="4"/>
      <c r="FX733" s="4"/>
      <c r="FY733" s="4"/>
      <c r="FZ733" s="4"/>
      <c r="GA733" s="4"/>
      <c r="GB733" s="4"/>
      <c r="GC733" s="4"/>
      <c r="GD733" s="4"/>
      <c r="GE733" s="4"/>
      <c r="GF733" s="4"/>
    </row>
    <row r="734">
      <c r="A734" s="2" t="s">
        <v>4617</v>
      </c>
      <c r="B734" s="2" t="s">
        <v>528</v>
      </c>
      <c r="C734" s="2" t="s">
        <v>287</v>
      </c>
      <c r="D734" s="2" t="s">
        <v>1612</v>
      </c>
      <c r="E734" s="2" t="s">
        <v>3280</v>
      </c>
      <c r="F734" s="2" t="s">
        <v>4618</v>
      </c>
      <c r="G734" s="2" t="s">
        <v>4619</v>
      </c>
      <c r="H734" s="2" t="s">
        <v>4620</v>
      </c>
      <c r="I734" s="2" t="s">
        <v>4621</v>
      </c>
      <c r="J734" s="2" t="s">
        <v>582</v>
      </c>
      <c r="K734" s="2" t="s">
        <v>262</v>
      </c>
      <c r="L734" s="3">
        <v>39.69</v>
      </c>
      <c r="M734" s="3">
        <v>41.67</v>
      </c>
      <c r="N734" s="3">
        <v>79.99</v>
      </c>
      <c r="O734" s="2" t="s">
        <v>203</v>
      </c>
      <c r="P734" s="2" t="s">
        <v>492</v>
      </c>
      <c r="Q734" s="2" t="s">
        <v>205</v>
      </c>
      <c r="R734" s="2" t="s">
        <v>206</v>
      </c>
      <c r="S734" s="2" t="s">
        <v>4622</v>
      </c>
      <c r="T734" s="2" t="s">
        <v>206</v>
      </c>
      <c r="U734" s="2" t="s">
        <v>556</v>
      </c>
      <c r="V734" s="2" t="s">
        <v>209</v>
      </c>
      <c r="W734" s="2" t="s">
        <v>539</v>
      </c>
      <c r="X734" s="2" t="s">
        <v>210</v>
      </c>
      <c r="Y734" s="2" t="s">
        <v>211</v>
      </c>
      <c r="Z734" s="4">
        <v>797</v>
      </c>
      <c r="AA734" s="4">
        <f>=ROUNDDOWN(33.2083333333333,0)</f>
      </c>
      <c r="AB734" s="5">
        <v>24</v>
      </c>
      <c r="AC734" s="2" t="s">
        <v>114</v>
      </c>
      <c r="AD734" s="4">
        <v>140</v>
      </c>
      <c r="AE734" s="4">
        <v>330</v>
      </c>
      <c r="AF734" s="6">
        <v>65</v>
      </c>
      <c r="AG734" s="6">
        <v>48</v>
      </c>
      <c r="AH734" s="7">
        <v>1</v>
      </c>
      <c r="AI734" s="4"/>
      <c r="AJ734" s="4">
        <f>=ROUNDDOWN({0},0)</f>
      </c>
      <c r="AK734" s="5"/>
      <c r="AL734" s="2" t="s">
        <v>206</v>
      </c>
      <c r="AM734" s="4"/>
      <c r="AN734" s="4"/>
      <c r="AO734" s="7"/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 t="s">
        <v>206</v>
      </c>
      <c r="BD734" s="8" t="s">
        <v>206</v>
      </c>
      <c r="BE734" s="4" t="s">
        <v>206</v>
      </c>
      <c r="BF734" s="8" t="s">
        <v>206</v>
      </c>
      <c r="BG734" s="7" t="s">
        <v>206</v>
      </c>
      <c r="BH734" s="7" t="s">
        <v>206</v>
      </c>
      <c r="BI734" s="7"/>
      <c r="BJ734" s="4">
        <v>98</v>
      </c>
      <c r="BK734" s="8">
        <v>4101.21</v>
      </c>
      <c r="BL734" s="2" t="s">
        <v>4623</v>
      </c>
      <c r="BM734" s="7"/>
      <c r="BN734" s="7"/>
      <c r="BO734" s="4"/>
      <c r="BP734" s="8"/>
      <c r="BQ734" s="4"/>
      <c r="BR734" s="8"/>
      <c r="BS734" s="7"/>
      <c r="BT734" s="7"/>
      <c r="BU734" s="2" t="s">
        <v>4624</v>
      </c>
      <c r="BV734" s="2" t="s">
        <v>206</v>
      </c>
      <c r="BW734" s="2" t="s">
        <v>206</v>
      </c>
      <c r="BX734" s="2" t="s">
        <v>214</v>
      </c>
      <c r="BY734" s="2" t="s">
        <v>215</v>
      </c>
      <c r="BZ734" s="2" t="s">
        <v>203</v>
      </c>
      <c r="CA734" s="2" t="s">
        <v>216</v>
      </c>
      <c r="CB734" s="2" t="s">
        <v>767</v>
      </c>
      <c r="CC734" s="2" t="s">
        <v>218</v>
      </c>
      <c r="CD734" s="2" t="s">
        <v>206</v>
      </c>
      <c r="CE734" s="4">
        <v>493</v>
      </c>
      <c r="CF734" s="4"/>
      <c r="CG734" s="4"/>
      <c r="CH734" s="4">
        <v>304</v>
      </c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>
        <v>140</v>
      </c>
      <c r="DC734" s="4">
        <v>120</v>
      </c>
      <c r="DD734" s="4"/>
      <c r="DE734" s="4"/>
      <c r="DF734" s="4"/>
      <c r="DG734" s="4"/>
      <c r="DH734" s="4"/>
      <c r="DI734" s="4"/>
      <c r="DJ734" s="4"/>
      <c r="DK734" s="4"/>
      <c r="DL734" s="4"/>
      <c r="DM734" s="4"/>
      <c r="DN734" s="4"/>
      <c r="DO734" s="4"/>
      <c r="DP734" s="4">
        <v>70</v>
      </c>
      <c r="DQ734" s="4"/>
      <c r="DR734" s="4"/>
      <c r="DS734" s="4"/>
      <c r="DT734" s="4"/>
      <c r="DU734" s="4"/>
      <c r="DV734" s="4"/>
      <c r="DW734" s="4"/>
      <c r="DX734" s="4"/>
      <c r="DY734" s="4"/>
      <c r="DZ734" s="4"/>
      <c r="EA734" s="4"/>
      <c r="EB734" s="4"/>
      <c r="EC734" s="4"/>
      <c r="ED734" s="4"/>
      <c r="EE734" s="4"/>
      <c r="EF734" s="4"/>
      <c r="EG734" s="4"/>
      <c r="EH734" s="4"/>
      <c r="EI734" s="4"/>
      <c r="EJ734" s="4"/>
      <c r="EK734" s="4"/>
      <c r="EL734" s="4"/>
      <c r="EM734" s="4"/>
      <c r="EN734" s="4"/>
      <c r="EO734" s="4"/>
      <c r="EP734" s="4"/>
      <c r="EQ734" s="4"/>
      <c r="ER734" s="4"/>
      <c r="ES734" s="4"/>
      <c r="ET734" s="4"/>
      <c r="EU734" s="4"/>
      <c r="EV734" s="4"/>
      <c r="EW734" s="4"/>
      <c r="EX734" s="4"/>
      <c r="EY734" s="4"/>
      <c r="EZ734" s="4"/>
      <c r="FA734" s="4"/>
      <c r="FB734" s="4"/>
      <c r="FC734" s="4"/>
      <c r="FD734" s="4"/>
      <c r="FE734" s="4"/>
      <c r="FF734" s="4"/>
      <c r="FG734" s="4"/>
      <c r="FH734" s="4"/>
      <c r="FI734" s="4"/>
      <c r="FJ734" s="4"/>
      <c r="FK734" s="4"/>
      <c r="FL734" s="4"/>
      <c r="FM734" s="4"/>
      <c r="FN734" s="4"/>
      <c r="FO734" s="4"/>
      <c r="FP734" s="4"/>
      <c r="FQ734" s="4"/>
      <c r="FR734" s="4"/>
      <c r="FS734" s="4"/>
      <c r="FT734" s="4"/>
      <c r="FU734" s="4"/>
      <c r="FV734" s="4"/>
      <c r="FW734" s="4"/>
      <c r="FX734" s="4"/>
      <c r="FY734" s="4"/>
      <c r="FZ734" s="4"/>
      <c r="GA734" s="4"/>
      <c r="GB734" s="4"/>
      <c r="GC734" s="4"/>
      <c r="GD734" s="4"/>
      <c r="GE734" s="4"/>
      <c r="GF734" s="4"/>
    </row>
    <row r="735">
      <c r="A735" s="2" t="s">
        <v>4625</v>
      </c>
      <c r="B735" s="2" t="s">
        <v>528</v>
      </c>
      <c r="C735" s="2" t="s">
        <v>287</v>
      </c>
      <c r="D735" s="2" t="s">
        <v>1612</v>
      </c>
      <c r="E735" s="2" t="s">
        <v>3280</v>
      </c>
      <c r="F735" s="2" t="s">
        <v>4618</v>
      </c>
      <c r="G735" s="2" t="s">
        <v>4619</v>
      </c>
      <c r="H735" s="2" t="s">
        <v>4620</v>
      </c>
      <c r="I735" s="2" t="s">
        <v>4621</v>
      </c>
      <c r="J735" s="2" t="s">
        <v>821</v>
      </c>
      <c r="K735" s="2" t="s">
        <v>336</v>
      </c>
      <c r="L735" s="3">
        <v>26.9</v>
      </c>
      <c r="M735" s="3">
        <v>28.24</v>
      </c>
      <c r="N735" s="3">
        <v>54.99</v>
      </c>
      <c r="O735" s="2" t="s">
        <v>203</v>
      </c>
      <c r="P735" s="2" t="s">
        <v>492</v>
      </c>
      <c r="Q735" s="2" t="s">
        <v>205</v>
      </c>
      <c r="R735" s="2" t="s">
        <v>206</v>
      </c>
      <c r="S735" s="2" t="s">
        <v>4626</v>
      </c>
      <c r="T735" s="2" t="s">
        <v>206</v>
      </c>
      <c r="U735" s="2" t="s">
        <v>900</v>
      </c>
      <c r="V735" s="2" t="s">
        <v>209</v>
      </c>
      <c r="W735" s="2" t="s">
        <v>539</v>
      </c>
      <c r="X735" s="2" t="s">
        <v>210</v>
      </c>
      <c r="Y735" s="2" t="s">
        <v>211</v>
      </c>
      <c r="Z735" s="4">
        <v>182</v>
      </c>
      <c r="AA735" s="4">
        <f>=ROUNDDOWN(26,0)</f>
      </c>
      <c r="AB735" s="5">
        <v>7</v>
      </c>
      <c r="AC735" s="2" t="s">
        <v>114</v>
      </c>
      <c r="AD735" s="4">
        <v>220</v>
      </c>
      <c r="AE735" s="4">
        <v>300</v>
      </c>
      <c r="AF735" s="6">
        <v>65</v>
      </c>
      <c r="AG735" s="6">
        <v>48</v>
      </c>
      <c r="AH735" s="7">
        <v>1</v>
      </c>
      <c r="AI735" s="4"/>
      <c r="AJ735" s="4">
        <f>=ROUNDDOWN({0},0)</f>
      </c>
      <c r="AK735" s="5"/>
      <c r="AL735" s="2" t="s">
        <v>206</v>
      </c>
      <c r="AM735" s="4"/>
      <c r="AN735" s="4"/>
      <c r="AO735" s="7"/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206</v>
      </c>
      <c r="BD735" s="8" t="s">
        <v>206</v>
      </c>
      <c r="BE735" s="4" t="s">
        <v>206</v>
      </c>
      <c r="BF735" s="8" t="s">
        <v>206</v>
      </c>
      <c r="BG735" s="7" t="s">
        <v>206</v>
      </c>
      <c r="BH735" s="7" t="s">
        <v>206</v>
      </c>
      <c r="BI735" s="7"/>
      <c r="BJ735" s="4">
        <v>18</v>
      </c>
      <c r="BK735" s="8">
        <v>498.2</v>
      </c>
      <c r="BL735" s="2" t="s">
        <v>4323</v>
      </c>
      <c r="BM735" s="7"/>
      <c r="BN735" s="7"/>
      <c r="BO735" s="4"/>
      <c r="BP735" s="8"/>
      <c r="BQ735" s="4"/>
      <c r="BR735" s="8"/>
      <c r="BS735" s="7"/>
      <c r="BT735" s="7"/>
      <c r="BU735" s="2" t="s">
        <v>4627</v>
      </c>
      <c r="BV735" s="2" t="s">
        <v>206</v>
      </c>
      <c r="BW735" s="2" t="s">
        <v>206</v>
      </c>
      <c r="BX735" s="2" t="s">
        <v>214</v>
      </c>
      <c r="BY735" s="2" t="s">
        <v>215</v>
      </c>
      <c r="BZ735" s="2" t="s">
        <v>203</v>
      </c>
      <c r="CA735" s="2" t="s">
        <v>216</v>
      </c>
      <c r="CB735" s="2" t="s">
        <v>4628</v>
      </c>
      <c r="CC735" s="2" t="s">
        <v>218</v>
      </c>
      <c r="CD735" s="2" t="s">
        <v>206</v>
      </c>
      <c r="CE735" s="4">
        <v>113</v>
      </c>
      <c r="CF735" s="4"/>
      <c r="CG735" s="4"/>
      <c r="CH735" s="4">
        <v>69</v>
      </c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>
        <v>220</v>
      </c>
      <c r="DC735" s="4"/>
      <c r="DD735" s="4"/>
      <c r="DE735" s="4"/>
      <c r="DF735" s="4"/>
      <c r="DG735" s="4"/>
      <c r="DH735" s="4"/>
      <c r="DI735" s="4"/>
      <c r="DJ735" s="4"/>
      <c r="DK735" s="4"/>
      <c r="DL735" s="4"/>
      <c r="DM735" s="4"/>
      <c r="DN735" s="4"/>
      <c r="DO735" s="4"/>
      <c r="DP735" s="4">
        <v>80</v>
      </c>
      <c r="DQ735" s="4"/>
      <c r="DR735" s="4"/>
      <c r="DS735" s="4"/>
      <c r="DT735" s="4"/>
      <c r="DU735" s="4"/>
      <c r="DV735" s="4"/>
      <c r="DW735" s="4"/>
      <c r="DX735" s="4"/>
      <c r="DY735" s="4"/>
      <c r="DZ735" s="4"/>
      <c r="EA735" s="4"/>
      <c r="EB735" s="4"/>
      <c r="EC735" s="4"/>
      <c r="ED735" s="4"/>
      <c r="EE735" s="4"/>
      <c r="EF735" s="4"/>
      <c r="EG735" s="4"/>
      <c r="EH735" s="4"/>
      <c r="EI735" s="4"/>
      <c r="EJ735" s="4"/>
      <c r="EK735" s="4"/>
      <c r="EL735" s="4"/>
      <c r="EM735" s="4"/>
      <c r="EN735" s="4"/>
      <c r="EO735" s="4"/>
      <c r="EP735" s="4"/>
      <c r="EQ735" s="4"/>
      <c r="ER735" s="4"/>
      <c r="ES735" s="4"/>
      <c r="ET735" s="4"/>
      <c r="EU735" s="4"/>
      <c r="EV735" s="4"/>
      <c r="EW735" s="4"/>
      <c r="EX735" s="4"/>
      <c r="EY735" s="4"/>
      <c r="EZ735" s="4"/>
      <c r="FA735" s="4"/>
      <c r="FB735" s="4"/>
      <c r="FC735" s="4"/>
      <c r="FD735" s="4"/>
      <c r="FE735" s="4"/>
      <c r="FF735" s="4"/>
      <c r="FG735" s="4"/>
      <c r="FH735" s="4"/>
      <c r="FI735" s="4"/>
      <c r="FJ735" s="4"/>
      <c r="FK735" s="4"/>
      <c r="FL735" s="4"/>
      <c r="FM735" s="4"/>
      <c r="FN735" s="4"/>
      <c r="FO735" s="4"/>
      <c r="FP735" s="4"/>
      <c r="FQ735" s="4"/>
      <c r="FR735" s="4"/>
      <c r="FS735" s="4"/>
      <c r="FT735" s="4"/>
      <c r="FU735" s="4"/>
      <c r="FV735" s="4"/>
      <c r="FW735" s="4"/>
      <c r="FX735" s="4"/>
      <c r="FY735" s="4"/>
      <c r="FZ735" s="4"/>
      <c r="GA735" s="4"/>
      <c r="GB735" s="4"/>
      <c r="GC735" s="4"/>
      <c r="GD735" s="4"/>
      <c r="GE735" s="4"/>
      <c r="GF735" s="4"/>
    </row>
    <row r="736">
      <c r="A736" s="2" t="s">
        <v>4629</v>
      </c>
      <c r="B736" s="2" t="s">
        <v>528</v>
      </c>
      <c r="C736" s="2" t="s">
        <v>287</v>
      </c>
      <c r="D736" s="2" t="s">
        <v>1612</v>
      </c>
      <c r="E736" s="2" t="s">
        <v>3280</v>
      </c>
      <c r="F736" s="2" t="s">
        <v>4618</v>
      </c>
      <c r="G736" s="2" t="s">
        <v>4619</v>
      </c>
      <c r="H736" s="2" t="s">
        <v>4620</v>
      </c>
      <c r="I736" s="2" t="s">
        <v>4621</v>
      </c>
      <c r="J736" s="2" t="s">
        <v>582</v>
      </c>
      <c r="K736" s="2" t="s">
        <v>605</v>
      </c>
      <c r="L736" s="3">
        <v>39.69</v>
      </c>
      <c r="M736" s="3">
        <v>41.67</v>
      </c>
      <c r="N736" s="3">
        <v>79.99</v>
      </c>
      <c r="O736" s="2" t="s">
        <v>203</v>
      </c>
      <c r="P736" s="2" t="s">
        <v>492</v>
      </c>
      <c r="Q736" s="2" t="s">
        <v>205</v>
      </c>
      <c r="R736" s="2" t="s">
        <v>206</v>
      </c>
      <c r="S736" s="2" t="s">
        <v>4630</v>
      </c>
      <c r="T736" s="2" t="s">
        <v>206</v>
      </c>
      <c r="U736" s="2" t="s">
        <v>556</v>
      </c>
      <c r="V736" s="2" t="s">
        <v>209</v>
      </c>
      <c r="W736" s="2" t="s">
        <v>539</v>
      </c>
      <c r="X736" s="2" t="s">
        <v>210</v>
      </c>
      <c r="Y736" s="2" t="s">
        <v>211</v>
      </c>
      <c r="Z736" s="4">
        <v>526</v>
      </c>
      <c r="AA736" s="4">
        <f>=ROUNDDOWN(27.6842105263158,0)</f>
      </c>
      <c r="AB736" s="5">
        <v>19</v>
      </c>
      <c r="AC736" s="2" t="s">
        <v>114</v>
      </c>
      <c r="AD736" s="4">
        <v>60</v>
      </c>
      <c r="AE736" s="4">
        <v>240</v>
      </c>
      <c r="AF736" s="6">
        <v>65</v>
      </c>
      <c r="AG736" s="6">
        <v>48</v>
      </c>
      <c r="AH736" s="7">
        <v>1</v>
      </c>
      <c r="AI736" s="4"/>
      <c r="AJ736" s="4">
        <f>=ROUNDDOWN({0},0)</f>
      </c>
      <c r="AK736" s="5"/>
      <c r="AL736" s="2" t="s">
        <v>206</v>
      </c>
      <c r="AM736" s="4"/>
      <c r="AN736" s="4"/>
      <c r="AO736" s="7"/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 t="s">
        <v>206</v>
      </c>
      <c r="BD736" s="8" t="s">
        <v>206</v>
      </c>
      <c r="BE736" s="4" t="s">
        <v>206</v>
      </c>
      <c r="BF736" s="8" t="s">
        <v>206</v>
      </c>
      <c r="BG736" s="7" t="s">
        <v>206</v>
      </c>
      <c r="BH736" s="7" t="s">
        <v>206</v>
      </c>
      <c r="BI736" s="7"/>
      <c r="BJ736" s="4">
        <v>88</v>
      </c>
      <c r="BK736" s="8">
        <v>3703.92</v>
      </c>
      <c r="BL736" s="2" t="s">
        <v>4631</v>
      </c>
      <c r="BM736" s="7"/>
      <c r="BN736" s="7"/>
      <c r="BO736" s="4"/>
      <c r="BP736" s="8"/>
      <c r="BQ736" s="4"/>
      <c r="BR736" s="8"/>
      <c r="BS736" s="7"/>
      <c r="BT736" s="7"/>
      <c r="BU736" s="2" t="s">
        <v>4632</v>
      </c>
      <c r="BV736" s="2" t="s">
        <v>206</v>
      </c>
      <c r="BW736" s="2" t="s">
        <v>206</v>
      </c>
      <c r="BX736" s="2" t="s">
        <v>214</v>
      </c>
      <c r="BY736" s="2" t="s">
        <v>215</v>
      </c>
      <c r="BZ736" s="2" t="s">
        <v>203</v>
      </c>
      <c r="CA736" s="2" t="s">
        <v>216</v>
      </c>
      <c r="CB736" s="2" t="s">
        <v>4633</v>
      </c>
      <c r="CC736" s="2" t="s">
        <v>218</v>
      </c>
      <c r="CD736" s="2" t="s">
        <v>206</v>
      </c>
      <c r="CE736" s="4">
        <v>147</v>
      </c>
      <c r="CF736" s="4">
        <v>169</v>
      </c>
      <c r="CG736" s="4"/>
      <c r="CH736" s="4">
        <v>210</v>
      </c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>
        <v>60</v>
      </c>
      <c r="DC736" s="4">
        <v>90</v>
      </c>
      <c r="DD736" s="4"/>
      <c r="DE736" s="4"/>
      <c r="DF736" s="4"/>
      <c r="DG736" s="4"/>
      <c r="DH736" s="4"/>
      <c r="DI736" s="4"/>
      <c r="DJ736" s="4"/>
      <c r="DK736" s="4"/>
      <c r="DL736" s="4"/>
      <c r="DM736" s="4"/>
      <c r="DN736" s="4"/>
      <c r="DO736" s="4"/>
      <c r="DP736" s="4">
        <v>90</v>
      </c>
      <c r="DQ736" s="4"/>
      <c r="DR736" s="4"/>
      <c r="DS736" s="4"/>
      <c r="DT736" s="4"/>
      <c r="DU736" s="4"/>
      <c r="DV736" s="4"/>
      <c r="DW736" s="4"/>
      <c r="DX736" s="4"/>
      <c r="DY736" s="4"/>
      <c r="DZ736" s="4"/>
      <c r="EA736" s="4"/>
      <c r="EB736" s="4"/>
      <c r="EC736" s="4"/>
      <c r="ED736" s="4"/>
      <c r="EE736" s="4"/>
      <c r="EF736" s="4"/>
      <c r="EG736" s="4"/>
      <c r="EH736" s="4"/>
      <c r="EI736" s="4"/>
      <c r="EJ736" s="4"/>
      <c r="EK736" s="4"/>
      <c r="EL736" s="4"/>
      <c r="EM736" s="4"/>
      <c r="EN736" s="4"/>
      <c r="EO736" s="4"/>
      <c r="EP736" s="4"/>
      <c r="EQ736" s="4"/>
      <c r="ER736" s="4"/>
      <c r="ES736" s="4"/>
      <c r="ET736" s="4"/>
      <c r="EU736" s="4"/>
      <c r="EV736" s="4"/>
      <c r="EW736" s="4"/>
      <c r="EX736" s="4"/>
      <c r="EY736" s="4"/>
      <c r="EZ736" s="4"/>
      <c r="FA736" s="4"/>
      <c r="FB736" s="4"/>
      <c r="FC736" s="4"/>
      <c r="FD736" s="4"/>
      <c r="FE736" s="4"/>
      <c r="FF736" s="4"/>
      <c r="FG736" s="4"/>
      <c r="FH736" s="4"/>
      <c r="FI736" s="4"/>
      <c r="FJ736" s="4"/>
      <c r="FK736" s="4"/>
      <c r="FL736" s="4"/>
      <c r="FM736" s="4"/>
      <c r="FN736" s="4"/>
      <c r="FO736" s="4"/>
      <c r="FP736" s="4"/>
      <c r="FQ736" s="4"/>
      <c r="FR736" s="4"/>
      <c r="FS736" s="4"/>
      <c r="FT736" s="4"/>
      <c r="FU736" s="4"/>
      <c r="FV736" s="4"/>
      <c r="FW736" s="4"/>
      <c r="FX736" s="4"/>
      <c r="FY736" s="4"/>
      <c r="FZ736" s="4"/>
      <c r="GA736" s="4"/>
      <c r="GB736" s="4"/>
      <c r="GC736" s="4"/>
      <c r="GD736" s="4"/>
      <c r="GE736" s="4"/>
      <c r="GF736" s="4"/>
    </row>
    <row r="737">
      <c r="A737" s="2" t="s">
        <v>4634</v>
      </c>
      <c r="B737" s="2" t="s">
        <v>528</v>
      </c>
      <c r="C737" s="2" t="s">
        <v>287</v>
      </c>
      <c r="D737" s="2" t="s">
        <v>1612</v>
      </c>
      <c r="E737" s="2" t="s">
        <v>3280</v>
      </c>
      <c r="F737" s="2" t="s">
        <v>4618</v>
      </c>
      <c r="G737" s="2" t="s">
        <v>4619</v>
      </c>
      <c r="H737" s="2" t="s">
        <v>4620</v>
      </c>
      <c r="I737" s="2" t="s">
        <v>4621</v>
      </c>
      <c r="J737" s="2" t="s">
        <v>821</v>
      </c>
      <c r="K737" s="2" t="s">
        <v>392</v>
      </c>
      <c r="L737" s="3">
        <v>26.9</v>
      </c>
      <c r="M737" s="3">
        <v>28.24</v>
      </c>
      <c r="N737" s="3">
        <v>54.99</v>
      </c>
      <c r="O737" s="2" t="s">
        <v>203</v>
      </c>
      <c r="P737" s="2" t="s">
        <v>492</v>
      </c>
      <c r="Q737" s="2" t="s">
        <v>205</v>
      </c>
      <c r="R737" s="2" t="s">
        <v>206</v>
      </c>
      <c r="S737" s="2" t="s">
        <v>4635</v>
      </c>
      <c r="T737" s="2" t="s">
        <v>206</v>
      </c>
      <c r="U737" s="2" t="s">
        <v>900</v>
      </c>
      <c r="V737" s="2" t="s">
        <v>209</v>
      </c>
      <c r="W737" s="2" t="s">
        <v>539</v>
      </c>
      <c r="X737" s="2" t="s">
        <v>210</v>
      </c>
      <c r="Y737" s="2" t="s">
        <v>211</v>
      </c>
      <c r="Z737" s="4">
        <v>538</v>
      </c>
      <c r="AA737" s="4">
        <f>=ROUNDDOWN(48.9090909090909,0)</f>
      </c>
      <c r="AB737" s="5">
        <v>11</v>
      </c>
      <c r="AC737" s="2" t="s">
        <v>114</v>
      </c>
      <c r="AD737" s="4">
        <v>100</v>
      </c>
      <c r="AE737" s="4">
        <v>100</v>
      </c>
      <c r="AF737" s="6">
        <v>65</v>
      </c>
      <c r="AG737" s="6">
        <v>48</v>
      </c>
      <c r="AH737" s="7">
        <v>1</v>
      </c>
      <c r="AI737" s="4"/>
      <c r="AJ737" s="4">
        <f>=ROUNDDOWN({0},0)</f>
      </c>
      <c r="AK737" s="5"/>
      <c r="AL737" s="2" t="s">
        <v>206</v>
      </c>
      <c r="AM737" s="4"/>
      <c r="AN737" s="4"/>
      <c r="AO737" s="7"/>
      <c r="AP737" s="4"/>
      <c r="AQ737" s="8"/>
      <c r="AR737" s="4"/>
      <c r="AS737" s="8"/>
      <c r="AT737" s="7"/>
      <c r="AU737" s="7"/>
      <c r="AV737" s="4" t="s">
        <v>206</v>
      </c>
      <c r="AW737" s="8" t="s">
        <v>206</v>
      </c>
      <c r="AX737" s="4" t="s">
        <v>206</v>
      </c>
      <c r="AY737" s="8" t="s">
        <v>206</v>
      </c>
      <c r="AZ737" s="7" t="s">
        <v>206</v>
      </c>
      <c r="BA737" s="7" t="s">
        <v>206</v>
      </c>
      <c r="BB737" s="7"/>
      <c r="BC737" s="4" t="s">
        <v>206</v>
      </c>
      <c r="BD737" s="8" t="s">
        <v>206</v>
      </c>
      <c r="BE737" s="4" t="s">
        <v>206</v>
      </c>
      <c r="BF737" s="8" t="s">
        <v>206</v>
      </c>
      <c r="BG737" s="7" t="s">
        <v>206</v>
      </c>
      <c r="BH737" s="7" t="s">
        <v>206</v>
      </c>
      <c r="BI737" s="7"/>
      <c r="BJ737" s="4">
        <v>36</v>
      </c>
      <c r="BK737" s="8">
        <v>1043.6</v>
      </c>
      <c r="BL737" s="2" t="s">
        <v>4623</v>
      </c>
      <c r="BM737" s="7"/>
      <c r="BN737" s="7"/>
      <c r="BO737" s="4"/>
      <c r="BP737" s="8"/>
      <c r="BQ737" s="4"/>
      <c r="BR737" s="8"/>
      <c r="BS737" s="7"/>
      <c r="BT737" s="7"/>
      <c r="BU737" s="2" t="s">
        <v>4636</v>
      </c>
      <c r="BV737" s="2" t="s">
        <v>206</v>
      </c>
      <c r="BW737" s="2" t="s">
        <v>206</v>
      </c>
      <c r="BX737" s="2" t="s">
        <v>214</v>
      </c>
      <c r="BY737" s="2" t="s">
        <v>215</v>
      </c>
      <c r="BZ737" s="2" t="s">
        <v>203</v>
      </c>
      <c r="CA737" s="2" t="s">
        <v>216</v>
      </c>
      <c r="CB737" s="2" t="s">
        <v>826</v>
      </c>
      <c r="CC737" s="2" t="s">
        <v>218</v>
      </c>
      <c r="CD737" s="2" t="s">
        <v>206</v>
      </c>
      <c r="CE737" s="4">
        <v>137</v>
      </c>
      <c r="CF737" s="4">
        <v>200</v>
      </c>
      <c r="CG737" s="4"/>
      <c r="CH737" s="4">
        <v>201</v>
      </c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>
        <v>100</v>
      </c>
      <c r="DC737" s="4"/>
      <c r="DD737" s="4"/>
      <c r="DE737" s="4"/>
      <c r="DF737" s="4"/>
      <c r="DG737" s="4"/>
      <c r="DH737" s="4"/>
      <c r="DI737" s="4"/>
      <c r="DJ737" s="4"/>
      <c r="DK737" s="4"/>
      <c r="DL737" s="4"/>
      <c r="DM737" s="4"/>
      <c r="DN737" s="4"/>
      <c r="DO737" s="4"/>
      <c r="DP737" s="4"/>
      <c r="DQ737" s="4"/>
      <c r="DR737" s="4"/>
      <c r="DS737" s="4"/>
      <c r="DT737" s="4"/>
      <c r="DU737" s="4"/>
      <c r="DV737" s="4"/>
      <c r="DW737" s="4"/>
      <c r="DX737" s="4"/>
      <c r="DY737" s="4"/>
      <c r="DZ737" s="4"/>
      <c r="EA737" s="4"/>
      <c r="EB737" s="4"/>
      <c r="EC737" s="4"/>
      <c r="ED737" s="4"/>
      <c r="EE737" s="4"/>
      <c r="EF737" s="4"/>
      <c r="EG737" s="4"/>
      <c r="EH737" s="4"/>
      <c r="EI737" s="4"/>
      <c r="EJ737" s="4"/>
      <c r="EK737" s="4"/>
      <c r="EL737" s="4"/>
      <c r="EM737" s="4"/>
      <c r="EN737" s="4"/>
      <c r="EO737" s="4"/>
      <c r="EP737" s="4"/>
      <c r="EQ737" s="4"/>
      <c r="ER737" s="4"/>
      <c r="ES737" s="4"/>
      <c r="ET737" s="4"/>
      <c r="EU737" s="4"/>
      <c r="EV737" s="4"/>
      <c r="EW737" s="4"/>
      <c r="EX737" s="4"/>
      <c r="EY737" s="4"/>
      <c r="EZ737" s="4"/>
      <c r="FA737" s="4"/>
      <c r="FB737" s="4"/>
      <c r="FC737" s="4"/>
      <c r="FD737" s="4"/>
      <c r="FE737" s="4"/>
      <c r="FF737" s="4"/>
      <c r="FG737" s="4"/>
      <c r="FH737" s="4"/>
      <c r="FI737" s="4"/>
      <c r="FJ737" s="4"/>
      <c r="FK737" s="4"/>
      <c r="FL737" s="4"/>
      <c r="FM737" s="4"/>
      <c r="FN737" s="4"/>
      <c r="FO737" s="4"/>
      <c r="FP737" s="4"/>
      <c r="FQ737" s="4"/>
      <c r="FR737" s="4"/>
      <c r="FS737" s="4"/>
      <c r="FT737" s="4"/>
      <c r="FU737" s="4"/>
      <c r="FV737" s="4"/>
      <c r="FW737" s="4"/>
      <c r="FX737" s="4"/>
      <c r="FY737" s="4"/>
      <c r="FZ737" s="4"/>
      <c r="GA737" s="4"/>
      <c r="GB737" s="4"/>
      <c r="GC737" s="4"/>
      <c r="GD737" s="4"/>
      <c r="GE737" s="4"/>
      <c r="GF737" s="4"/>
    </row>
    <row r="738">
      <c r="A738" s="2" t="s">
        <v>4637</v>
      </c>
      <c r="B738" s="2" t="s">
        <v>528</v>
      </c>
      <c r="C738" s="2" t="s">
        <v>287</v>
      </c>
      <c r="D738" s="2" t="s">
        <v>1612</v>
      </c>
      <c r="E738" s="2" t="s">
        <v>3280</v>
      </c>
      <c r="F738" s="2" t="s">
        <v>4618</v>
      </c>
      <c r="G738" s="2" t="s">
        <v>4619</v>
      </c>
      <c r="H738" s="2" t="s">
        <v>4620</v>
      </c>
      <c r="I738" s="2" t="s">
        <v>4621</v>
      </c>
      <c r="J738" s="2" t="s">
        <v>593</v>
      </c>
      <c r="K738" s="2" t="s">
        <v>392</v>
      </c>
      <c r="L738" s="3">
        <v>34.55</v>
      </c>
      <c r="M738" s="3">
        <v>36.28</v>
      </c>
      <c r="N738" s="3">
        <v>69.99</v>
      </c>
      <c r="O738" s="2" t="s">
        <v>203</v>
      </c>
      <c r="P738" s="2" t="s">
        <v>492</v>
      </c>
      <c r="Q738" s="2" t="s">
        <v>205</v>
      </c>
      <c r="R738" s="2" t="s">
        <v>206</v>
      </c>
      <c r="S738" s="2" t="s">
        <v>4635</v>
      </c>
      <c r="T738" s="2" t="s">
        <v>206</v>
      </c>
      <c r="U738" s="2" t="s">
        <v>556</v>
      </c>
      <c r="V738" s="2" t="s">
        <v>209</v>
      </c>
      <c r="W738" s="2" t="s">
        <v>539</v>
      </c>
      <c r="X738" s="2" t="s">
        <v>210</v>
      </c>
      <c r="Y738" s="2" t="s">
        <v>211</v>
      </c>
      <c r="Z738" s="4">
        <v>522</v>
      </c>
      <c r="AA738" s="4">
        <f>=ROUNDDOWN(30.7058823529412,0)</f>
      </c>
      <c r="AB738" s="5">
        <v>17</v>
      </c>
      <c r="AC738" s="2" t="s">
        <v>114</v>
      </c>
      <c r="AD738" s="4">
        <v>110</v>
      </c>
      <c r="AE738" s="4">
        <v>270</v>
      </c>
      <c r="AF738" s="6">
        <v>65</v>
      </c>
      <c r="AG738" s="6">
        <v>48</v>
      </c>
      <c r="AH738" s="7">
        <v>1</v>
      </c>
      <c r="AI738" s="4"/>
      <c r="AJ738" s="4">
        <f>=ROUNDDOWN({0},0)</f>
      </c>
      <c r="AK738" s="5"/>
      <c r="AL738" s="2" t="s">
        <v>206</v>
      </c>
      <c r="AM738" s="4"/>
      <c r="AN738" s="4"/>
      <c r="AO738" s="7"/>
      <c r="AP738" s="4"/>
      <c r="AQ738" s="8"/>
      <c r="AR738" s="4"/>
      <c r="AS738" s="8"/>
      <c r="AT738" s="7"/>
      <c r="AU738" s="7"/>
      <c r="AV738" s="4" t="s">
        <v>206</v>
      </c>
      <c r="AW738" s="8" t="s">
        <v>206</v>
      </c>
      <c r="AX738" s="4" t="s">
        <v>206</v>
      </c>
      <c r="AY738" s="8" t="s">
        <v>206</v>
      </c>
      <c r="AZ738" s="7" t="s">
        <v>206</v>
      </c>
      <c r="BA738" s="7" t="s">
        <v>206</v>
      </c>
      <c r="BB738" s="7"/>
      <c r="BC738" s="4" t="s">
        <v>206</v>
      </c>
      <c r="BD738" s="8" t="s">
        <v>206</v>
      </c>
      <c r="BE738" s="4" t="s">
        <v>206</v>
      </c>
      <c r="BF738" s="8" t="s">
        <v>206</v>
      </c>
      <c r="BG738" s="7" t="s">
        <v>206</v>
      </c>
      <c r="BH738" s="7" t="s">
        <v>206</v>
      </c>
      <c r="BI738" s="7"/>
      <c r="BJ738" s="4">
        <v>56</v>
      </c>
      <c r="BK738" s="8">
        <v>2030.07</v>
      </c>
      <c r="BL738" s="2" t="s">
        <v>4638</v>
      </c>
      <c r="BM738" s="7"/>
      <c r="BN738" s="7"/>
      <c r="BO738" s="4"/>
      <c r="BP738" s="8"/>
      <c r="BQ738" s="4"/>
      <c r="BR738" s="8"/>
      <c r="BS738" s="7"/>
      <c r="BT738" s="7"/>
      <c r="BU738" s="2" t="s">
        <v>4639</v>
      </c>
      <c r="BV738" s="2" t="s">
        <v>206</v>
      </c>
      <c r="BW738" s="2" t="s">
        <v>206</v>
      </c>
      <c r="BX738" s="2" t="s">
        <v>214</v>
      </c>
      <c r="BY738" s="2" t="s">
        <v>215</v>
      </c>
      <c r="BZ738" s="2" t="s">
        <v>203</v>
      </c>
      <c r="CA738" s="2" t="s">
        <v>216</v>
      </c>
      <c r="CB738" s="2" t="s">
        <v>826</v>
      </c>
      <c r="CC738" s="2" t="s">
        <v>218</v>
      </c>
      <c r="CD738" s="2" t="s">
        <v>206</v>
      </c>
      <c r="CE738" s="4">
        <v>132</v>
      </c>
      <c r="CF738" s="4">
        <v>290</v>
      </c>
      <c r="CG738" s="4"/>
      <c r="CH738" s="4">
        <v>100</v>
      </c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>
        <v>110</v>
      </c>
      <c r="DC738" s="4">
        <v>130</v>
      </c>
      <c r="DD738" s="4"/>
      <c r="DE738" s="4"/>
      <c r="DF738" s="4"/>
      <c r="DG738" s="4"/>
      <c r="DH738" s="4"/>
      <c r="DI738" s="4"/>
      <c r="DJ738" s="4"/>
      <c r="DK738" s="4"/>
      <c r="DL738" s="4"/>
      <c r="DM738" s="4"/>
      <c r="DN738" s="4"/>
      <c r="DO738" s="4"/>
      <c r="DP738" s="4">
        <v>30</v>
      </c>
      <c r="DQ738" s="4"/>
      <c r="DR738" s="4"/>
      <c r="DS738" s="4"/>
      <c r="DT738" s="4"/>
      <c r="DU738" s="4"/>
      <c r="DV738" s="4"/>
      <c r="DW738" s="4"/>
      <c r="DX738" s="4"/>
      <c r="DY738" s="4"/>
      <c r="DZ738" s="4"/>
      <c r="EA738" s="4"/>
      <c r="EB738" s="4"/>
      <c r="EC738" s="4"/>
      <c r="ED738" s="4"/>
      <c r="EE738" s="4"/>
      <c r="EF738" s="4"/>
      <c r="EG738" s="4"/>
      <c r="EH738" s="4"/>
      <c r="EI738" s="4"/>
      <c r="EJ738" s="4"/>
      <c r="EK738" s="4"/>
      <c r="EL738" s="4"/>
      <c r="EM738" s="4"/>
      <c r="EN738" s="4"/>
      <c r="EO738" s="4"/>
      <c r="EP738" s="4"/>
      <c r="EQ738" s="4"/>
      <c r="ER738" s="4"/>
      <c r="ES738" s="4"/>
      <c r="ET738" s="4"/>
      <c r="EU738" s="4"/>
      <c r="EV738" s="4"/>
      <c r="EW738" s="4"/>
      <c r="EX738" s="4"/>
      <c r="EY738" s="4"/>
      <c r="EZ738" s="4"/>
      <c r="FA738" s="4"/>
      <c r="FB738" s="4"/>
      <c r="FC738" s="4"/>
      <c r="FD738" s="4"/>
      <c r="FE738" s="4"/>
      <c r="FF738" s="4"/>
      <c r="FG738" s="4"/>
      <c r="FH738" s="4"/>
      <c r="FI738" s="4"/>
      <c r="FJ738" s="4"/>
      <c r="FK738" s="4"/>
      <c r="FL738" s="4"/>
      <c r="FM738" s="4"/>
      <c r="FN738" s="4"/>
      <c r="FO738" s="4"/>
      <c r="FP738" s="4"/>
      <c r="FQ738" s="4"/>
      <c r="FR738" s="4"/>
      <c r="FS738" s="4"/>
      <c r="FT738" s="4"/>
      <c r="FU738" s="4"/>
      <c r="FV738" s="4"/>
      <c r="FW738" s="4"/>
      <c r="FX738" s="4"/>
      <c r="FY738" s="4"/>
      <c r="FZ738" s="4"/>
      <c r="GA738" s="4"/>
      <c r="GB738" s="4"/>
      <c r="GC738" s="4"/>
      <c r="GD738" s="4"/>
      <c r="GE738" s="4"/>
      <c r="GF738" s="4"/>
    </row>
    <row r="739">
      <c r="A739" s="2" t="s">
        <v>4640</v>
      </c>
      <c r="B739" s="2" t="s">
        <v>528</v>
      </c>
      <c r="C739" s="2" t="s">
        <v>287</v>
      </c>
      <c r="D739" s="2" t="s">
        <v>1612</v>
      </c>
      <c r="E739" s="2" t="s">
        <v>3280</v>
      </c>
      <c r="F739" s="2" t="s">
        <v>4618</v>
      </c>
      <c r="G739" s="2" t="s">
        <v>4619</v>
      </c>
      <c r="H739" s="2" t="s">
        <v>4620</v>
      </c>
      <c r="I739" s="2" t="s">
        <v>4621</v>
      </c>
      <c r="J739" s="2" t="s">
        <v>821</v>
      </c>
      <c r="K739" s="2" t="s">
        <v>202</v>
      </c>
      <c r="L739" s="3">
        <v>26.9</v>
      </c>
      <c r="M739" s="3">
        <v>28.24</v>
      </c>
      <c r="N739" s="3">
        <v>54.99</v>
      </c>
      <c r="O739" s="2" t="s">
        <v>203</v>
      </c>
      <c r="P739" s="2" t="s">
        <v>492</v>
      </c>
      <c r="Q739" s="2" t="s">
        <v>205</v>
      </c>
      <c r="R739" s="2" t="s">
        <v>206</v>
      </c>
      <c r="S739" s="2" t="s">
        <v>4641</v>
      </c>
      <c r="T739" s="2" t="s">
        <v>206</v>
      </c>
      <c r="U739" s="2" t="s">
        <v>900</v>
      </c>
      <c r="V739" s="2" t="s">
        <v>209</v>
      </c>
      <c r="W739" s="2" t="s">
        <v>539</v>
      </c>
      <c r="X739" s="2" t="s">
        <v>210</v>
      </c>
      <c r="Y739" s="2" t="s">
        <v>211</v>
      </c>
      <c r="Z739" s="4">
        <v>228</v>
      </c>
      <c r="AA739" s="4">
        <f>=ROUNDDOWN(32.5714285714286,0)</f>
      </c>
      <c r="AB739" s="5">
        <v>7</v>
      </c>
      <c r="AC739" s="2" t="s">
        <v>114</v>
      </c>
      <c r="AD739" s="4">
        <v>120</v>
      </c>
      <c r="AE739" s="4">
        <v>190</v>
      </c>
      <c r="AF739" s="6">
        <v>65</v>
      </c>
      <c r="AG739" s="6">
        <v>48</v>
      </c>
      <c r="AH739" s="7">
        <v>1</v>
      </c>
      <c r="AI739" s="4"/>
      <c r="AJ739" s="4">
        <f>=ROUNDDOWN({0},0)</f>
      </c>
      <c r="AK739" s="5"/>
      <c r="AL739" s="2" t="s">
        <v>206</v>
      </c>
      <c r="AM739" s="4"/>
      <c r="AN739" s="4"/>
      <c r="AO739" s="7"/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 t="s">
        <v>206</v>
      </c>
      <c r="BD739" s="8" t="s">
        <v>206</v>
      </c>
      <c r="BE739" s="4" t="s">
        <v>206</v>
      </c>
      <c r="BF739" s="8" t="s">
        <v>206</v>
      </c>
      <c r="BG739" s="7" t="s">
        <v>206</v>
      </c>
      <c r="BH739" s="7" t="s">
        <v>206</v>
      </c>
      <c r="BI739" s="7"/>
      <c r="BJ739" s="4">
        <v>7</v>
      </c>
      <c r="BK739" s="8">
        <v>213.57</v>
      </c>
      <c r="BL739" s="2" t="s">
        <v>4642</v>
      </c>
      <c r="BM739" s="7"/>
      <c r="BN739" s="7"/>
      <c r="BO739" s="4"/>
      <c r="BP739" s="8"/>
      <c r="BQ739" s="4"/>
      <c r="BR739" s="8"/>
      <c r="BS739" s="7"/>
      <c r="BT739" s="7"/>
      <c r="BU739" s="2" t="s">
        <v>4643</v>
      </c>
      <c r="BV739" s="2" t="s">
        <v>206</v>
      </c>
      <c r="BW739" s="2" t="s">
        <v>206</v>
      </c>
      <c r="BX739" s="2" t="s">
        <v>214</v>
      </c>
      <c r="BY739" s="2" t="s">
        <v>215</v>
      </c>
      <c r="BZ739" s="2" t="s">
        <v>203</v>
      </c>
      <c r="CA739" s="2" t="s">
        <v>216</v>
      </c>
      <c r="CB739" s="2" t="s">
        <v>4644</v>
      </c>
      <c r="CC739" s="2" t="s">
        <v>218</v>
      </c>
      <c r="CD739" s="2" t="s">
        <v>206</v>
      </c>
      <c r="CE739" s="4">
        <v>112</v>
      </c>
      <c r="CF739" s="4"/>
      <c r="CG739" s="4"/>
      <c r="CH739" s="4">
        <v>116</v>
      </c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>
        <v>120</v>
      </c>
      <c r="DC739" s="4">
        <v>70</v>
      </c>
      <c r="DD739" s="4"/>
      <c r="DE739" s="4"/>
      <c r="DF739" s="4"/>
      <c r="DG739" s="4"/>
      <c r="DH739" s="4"/>
      <c r="DI739" s="4"/>
      <c r="DJ739" s="4"/>
      <c r="DK739" s="4"/>
      <c r="DL739" s="4"/>
      <c r="DM739" s="4"/>
      <c r="DN739" s="4"/>
      <c r="DO739" s="4"/>
      <c r="DP739" s="4"/>
      <c r="DQ739" s="4"/>
      <c r="DR739" s="4"/>
      <c r="DS739" s="4"/>
      <c r="DT739" s="4"/>
      <c r="DU739" s="4"/>
      <c r="DV739" s="4"/>
      <c r="DW739" s="4"/>
      <c r="DX739" s="4"/>
      <c r="DY739" s="4"/>
      <c r="DZ739" s="4"/>
      <c r="EA739" s="4"/>
      <c r="EB739" s="4"/>
      <c r="EC739" s="4"/>
      <c r="ED739" s="4"/>
      <c r="EE739" s="4"/>
      <c r="EF739" s="4"/>
      <c r="EG739" s="4"/>
      <c r="EH739" s="4"/>
      <c r="EI739" s="4"/>
      <c r="EJ739" s="4"/>
      <c r="EK739" s="4"/>
      <c r="EL739" s="4"/>
      <c r="EM739" s="4"/>
      <c r="EN739" s="4"/>
      <c r="EO739" s="4"/>
      <c r="EP739" s="4"/>
      <c r="EQ739" s="4"/>
      <c r="ER739" s="4"/>
      <c r="ES739" s="4"/>
      <c r="ET739" s="4"/>
      <c r="EU739" s="4"/>
      <c r="EV739" s="4"/>
      <c r="EW739" s="4"/>
      <c r="EX739" s="4"/>
      <c r="EY739" s="4"/>
      <c r="EZ739" s="4"/>
      <c r="FA739" s="4"/>
      <c r="FB739" s="4"/>
      <c r="FC739" s="4"/>
      <c r="FD739" s="4"/>
      <c r="FE739" s="4"/>
      <c r="FF739" s="4"/>
      <c r="FG739" s="4"/>
      <c r="FH739" s="4"/>
      <c r="FI739" s="4"/>
      <c r="FJ739" s="4"/>
      <c r="FK739" s="4"/>
      <c r="FL739" s="4"/>
      <c r="FM739" s="4"/>
      <c r="FN739" s="4"/>
      <c r="FO739" s="4"/>
      <c r="FP739" s="4"/>
      <c r="FQ739" s="4"/>
      <c r="FR739" s="4"/>
      <c r="FS739" s="4"/>
      <c r="FT739" s="4"/>
      <c r="FU739" s="4"/>
      <c r="FV739" s="4"/>
      <c r="FW739" s="4"/>
      <c r="FX739" s="4"/>
      <c r="FY739" s="4"/>
      <c r="FZ739" s="4"/>
      <c r="GA739" s="4"/>
      <c r="GB739" s="4"/>
      <c r="GC739" s="4"/>
      <c r="GD739" s="4"/>
      <c r="GE739" s="4"/>
      <c r="GF739" s="4"/>
    </row>
    <row r="740">
      <c r="A740" s="2" t="s">
        <v>4645</v>
      </c>
      <c r="B740" s="2" t="s">
        <v>461</v>
      </c>
      <c r="C740" s="2" t="s">
        <v>287</v>
      </c>
      <c r="D740" s="2" t="s">
        <v>975</v>
      </c>
      <c r="E740" s="2" t="s">
        <v>976</v>
      </c>
      <c r="F740" s="2" t="s">
        <v>4646</v>
      </c>
      <c r="G740" s="2" t="s">
        <v>4647</v>
      </c>
      <c r="H740" s="2" t="s">
        <v>4648</v>
      </c>
      <c r="I740" s="2" t="s">
        <v>4649</v>
      </c>
      <c r="J740" s="2" t="s">
        <v>434</v>
      </c>
      <c r="K740" s="2" t="s">
        <v>336</v>
      </c>
      <c r="L740" s="3">
        <v>171</v>
      </c>
      <c r="M740" s="3">
        <v>179.55</v>
      </c>
      <c r="N740" s="3">
        <v>369</v>
      </c>
      <c r="O740" s="2" t="s">
        <v>203</v>
      </c>
      <c r="P740" s="2" t="s">
        <v>204</v>
      </c>
      <c r="Q740" s="2" t="s">
        <v>205</v>
      </c>
      <c r="R740" s="2" t="s">
        <v>206</v>
      </c>
      <c r="S740" s="2" t="s">
        <v>4650</v>
      </c>
      <c r="T740" s="2" t="s">
        <v>206</v>
      </c>
      <c r="U740" s="2" t="s">
        <v>206</v>
      </c>
      <c r="V740" s="2" t="s">
        <v>209</v>
      </c>
      <c r="W740" s="2" t="s">
        <v>539</v>
      </c>
      <c r="X740" s="2" t="s">
        <v>206</v>
      </c>
      <c r="Y740" s="2" t="s">
        <v>211</v>
      </c>
      <c r="Z740" s="4">
        <v>124</v>
      </c>
      <c r="AA740" s="4">
        <f>=ROUNDDOWN(20.6666666666667,0)</f>
      </c>
      <c r="AB740" s="5">
        <v>6</v>
      </c>
      <c r="AC740" s="2" t="s">
        <v>293</v>
      </c>
      <c r="AD740" s="4">
        <v>80</v>
      </c>
      <c r="AE740" s="4">
        <v>80</v>
      </c>
      <c r="AF740" s="6">
        <v>74</v>
      </c>
      <c r="AG740" s="6">
        <v>60</v>
      </c>
      <c r="AH740" s="7">
        <v>1</v>
      </c>
      <c r="AI740" s="4"/>
      <c r="AJ740" s="4">
        <f>=ROUNDDOWN({0},0)</f>
      </c>
      <c r="AK740" s="5"/>
      <c r="AL740" s="2" t="s">
        <v>206</v>
      </c>
      <c r="AM740" s="4"/>
      <c r="AN740" s="4"/>
      <c r="AO740" s="7"/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 t="s">
        <v>206</v>
      </c>
      <c r="BD740" s="8" t="s">
        <v>206</v>
      </c>
      <c r="BE740" s="4" t="s">
        <v>206</v>
      </c>
      <c r="BF740" s="8" t="s">
        <v>206</v>
      </c>
      <c r="BG740" s="7" t="s">
        <v>206</v>
      </c>
      <c r="BH740" s="7" t="s">
        <v>206</v>
      </c>
      <c r="BI740" s="7"/>
      <c r="BJ740" s="4">
        <v>25</v>
      </c>
      <c r="BK740" s="8">
        <v>3580.51</v>
      </c>
      <c r="BL740" s="2" t="s">
        <v>4651</v>
      </c>
      <c r="BM740" s="7"/>
      <c r="BN740" s="7"/>
      <c r="BO740" s="4"/>
      <c r="BP740" s="8"/>
      <c r="BQ740" s="4"/>
      <c r="BR740" s="8"/>
      <c r="BS740" s="7"/>
      <c r="BT740" s="7"/>
      <c r="BU740" s="2" t="s">
        <v>4652</v>
      </c>
      <c r="BV740" s="2" t="s">
        <v>206</v>
      </c>
      <c r="BW740" s="2" t="s">
        <v>206</v>
      </c>
      <c r="BX740" s="2" t="s">
        <v>426</v>
      </c>
      <c r="BY740" s="2" t="s">
        <v>215</v>
      </c>
      <c r="BZ740" s="2" t="s">
        <v>203</v>
      </c>
      <c r="CA740" s="2" t="s">
        <v>216</v>
      </c>
      <c r="CB740" s="2" t="s">
        <v>4653</v>
      </c>
      <c r="CC740" s="2" t="s">
        <v>218</v>
      </c>
      <c r="CD740" s="2" t="s">
        <v>206</v>
      </c>
      <c r="CE740" s="4"/>
      <c r="CF740" s="4">
        <v>123</v>
      </c>
      <c r="CG740" s="4"/>
      <c r="CH740" s="4">
        <v>1</v>
      </c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  <c r="DE740" s="4"/>
      <c r="DF740" s="4"/>
      <c r="DG740" s="4"/>
      <c r="DH740" s="4"/>
      <c r="DI740" s="4"/>
      <c r="DJ740" s="4"/>
      <c r="DK740" s="4"/>
      <c r="DL740" s="4"/>
      <c r="DM740" s="4"/>
      <c r="DN740" s="4"/>
      <c r="DO740" s="4"/>
      <c r="DP740" s="4"/>
      <c r="DQ740" s="4"/>
      <c r="DR740" s="4"/>
      <c r="DS740" s="4"/>
      <c r="DT740" s="4"/>
      <c r="DU740" s="4"/>
      <c r="DV740" s="4"/>
      <c r="DW740" s="4"/>
      <c r="DX740" s="4"/>
      <c r="DY740" s="4"/>
      <c r="DZ740" s="4"/>
      <c r="EA740" s="4"/>
      <c r="EB740" s="4"/>
      <c r="EC740" s="4"/>
      <c r="ED740" s="4"/>
      <c r="EE740" s="4"/>
      <c r="EF740" s="4"/>
      <c r="EG740" s="4"/>
      <c r="EH740" s="4"/>
      <c r="EI740" s="4"/>
      <c r="EJ740" s="4"/>
      <c r="EK740" s="4"/>
      <c r="EL740" s="4"/>
      <c r="EM740" s="4"/>
      <c r="EN740" s="4"/>
      <c r="EO740" s="4"/>
      <c r="EP740" s="4"/>
      <c r="EQ740" s="4"/>
      <c r="ER740" s="4"/>
      <c r="ES740" s="4"/>
      <c r="ET740" s="4"/>
      <c r="EU740" s="4"/>
      <c r="EV740" s="4"/>
      <c r="EW740" s="4"/>
      <c r="EX740" s="4"/>
      <c r="EY740" s="4"/>
      <c r="EZ740" s="4"/>
      <c r="FA740" s="4">
        <v>80</v>
      </c>
      <c r="FB740" s="4"/>
      <c r="FC740" s="4"/>
      <c r="FD740" s="4"/>
      <c r="FE740" s="4"/>
      <c r="FF740" s="4"/>
      <c r="FG740" s="4"/>
      <c r="FH740" s="4"/>
      <c r="FI740" s="4"/>
      <c r="FJ740" s="4"/>
      <c r="FK740" s="4"/>
      <c r="FL740" s="4"/>
      <c r="FM740" s="4"/>
      <c r="FN740" s="4"/>
      <c r="FO740" s="4"/>
      <c r="FP740" s="4"/>
      <c r="FQ740" s="4"/>
      <c r="FR740" s="4"/>
      <c r="FS740" s="4"/>
      <c r="FT740" s="4"/>
      <c r="FU740" s="4"/>
      <c r="FV740" s="4"/>
      <c r="FW740" s="4"/>
      <c r="FX740" s="4"/>
      <c r="FY740" s="4"/>
      <c r="FZ740" s="4"/>
      <c r="GA740" s="4"/>
      <c r="GB740" s="4"/>
      <c r="GC740" s="4"/>
      <c r="GD740" s="4"/>
      <c r="GE740" s="4"/>
      <c r="GF740" s="4"/>
    </row>
    <row r="741">
      <c r="A741" s="2" t="s">
        <v>4654</v>
      </c>
      <c r="B741" s="2" t="s">
        <v>461</v>
      </c>
      <c r="C741" s="2" t="s">
        <v>287</v>
      </c>
      <c r="D741" s="2" t="s">
        <v>975</v>
      </c>
      <c r="E741" s="2" t="s">
        <v>976</v>
      </c>
      <c r="F741" s="2" t="s">
        <v>4646</v>
      </c>
      <c r="G741" s="2" t="s">
        <v>4647</v>
      </c>
      <c r="H741" s="2" t="s">
        <v>4648</v>
      </c>
      <c r="I741" s="2" t="s">
        <v>4649</v>
      </c>
      <c r="J741" s="2" t="s">
        <v>434</v>
      </c>
      <c r="K741" s="2" t="s">
        <v>3224</v>
      </c>
      <c r="L741" s="3">
        <v>171</v>
      </c>
      <c r="M741" s="3">
        <v>179.55</v>
      </c>
      <c r="N741" s="3">
        <v>369</v>
      </c>
      <c r="O741" s="2" t="s">
        <v>203</v>
      </c>
      <c r="P741" s="2" t="s">
        <v>467</v>
      </c>
      <c r="Q741" s="2" t="s">
        <v>205</v>
      </c>
      <c r="R741" s="2" t="s">
        <v>206</v>
      </c>
      <c r="S741" s="2" t="s">
        <v>206</v>
      </c>
      <c r="T741" s="2" t="s">
        <v>206</v>
      </c>
      <c r="U741" s="2" t="s">
        <v>437</v>
      </c>
      <c r="V741" s="2" t="s">
        <v>209</v>
      </c>
      <c r="W741" s="2" t="s">
        <v>539</v>
      </c>
      <c r="X741" s="2" t="s">
        <v>914</v>
      </c>
      <c r="Y741" s="2" t="s">
        <v>4655</v>
      </c>
      <c r="Z741" s="4">
        <v>188</v>
      </c>
      <c r="AA741" s="4">
        <f>=ROUNDDOWN(41.7777777777778,0)</f>
      </c>
      <c r="AB741" s="5">
        <v>4.5</v>
      </c>
      <c r="AC741" s="2" t="s">
        <v>206</v>
      </c>
      <c r="AD741" s="4"/>
      <c r="AE741" s="4"/>
      <c r="AF741" s="6">
        <v>74</v>
      </c>
      <c r="AG741" s="6"/>
      <c r="AH741" s="7">
        <v>1</v>
      </c>
      <c r="AI741" s="4"/>
      <c r="AJ741" s="4">
        <f>=ROUNDDOWN({0},0)</f>
      </c>
      <c r="AK741" s="5"/>
      <c r="AL741" s="2" t="s">
        <v>206</v>
      </c>
      <c r="AM741" s="4"/>
      <c r="AN741" s="4"/>
      <c r="AO741" s="7"/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 t="s">
        <v>206</v>
      </c>
      <c r="BD741" s="8" t="s">
        <v>206</v>
      </c>
      <c r="BE741" s="4" t="s">
        <v>206</v>
      </c>
      <c r="BF741" s="8" t="s">
        <v>206</v>
      </c>
      <c r="BG741" s="7" t="s">
        <v>206</v>
      </c>
      <c r="BH741" s="7" t="s">
        <v>206</v>
      </c>
      <c r="BI741" s="7"/>
      <c r="BJ741" s="4">
        <v>25</v>
      </c>
      <c r="BK741" s="8">
        <v>4075.43</v>
      </c>
      <c r="BL741" s="2" t="s">
        <v>4656</v>
      </c>
      <c r="BM741" s="7"/>
      <c r="BN741" s="7"/>
      <c r="BO741" s="4"/>
      <c r="BP741" s="8"/>
      <c r="BQ741" s="4"/>
      <c r="BR741" s="8"/>
      <c r="BS741" s="7"/>
      <c r="BT741" s="7"/>
      <c r="BU741" s="2" t="s">
        <v>4657</v>
      </c>
      <c r="BV741" s="2" t="s">
        <v>206</v>
      </c>
      <c r="BW741" s="2" t="s">
        <v>206</v>
      </c>
      <c r="BX741" s="2" t="s">
        <v>426</v>
      </c>
      <c r="BY741" s="2" t="s">
        <v>215</v>
      </c>
      <c r="BZ741" s="2" t="s">
        <v>203</v>
      </c>
      <c r="CA741" s="2" t="s">
        <v>4655</v>
      </c>
      <c r="CB741" s="2" t="s">
        <v>4658</v>
      </c>
      <c r="CC741" s="2" t="s">
        <v>218</v>
      </c>
      <c r="CD741" s="2" t="s">
        <v>206</v>
      </c>
      <c r="CE741" s="4"/>
      <c r="CF741" s="4">
        <v>188</v>
      </c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  <c r="DE741" s="4"/>
      <c r="DF741" s="4"/>
      <c r="DG741" s="4"/>
      <c r="DH741" s="4"/>
      <c r="DI741" s="4"/>
      <c r="DJ741" s="4"/>
      <c r="DK741" s="4"/>
      <c r="DL741" s="4"/>
      <c r="DM741" s="4"/>
      <c r="DN741" s="4"/>
      <c r="DO741" s="4"/>
      <c r="DP741" s="4"/>
      <c r="DQ741" s="4"/>
      <c r="DR741" s="4"/>
      <c r="DS741" s="4"/>
      <c r="DT741" s="4"/>
      <c r="DU741" s="4"/>
      <c r="DV741" s="4"/>
      <c r="DW741" s="4"/>
      <c r="DX741" s="4"/>
      <c r="DY741" s="4"/>
      <c r="DZ741" s="4"/>
      <c r="EA741" s="4"/>
      <c r="EB741" s="4"/>
      <c r="EC741" s="4"/>
      <c r="ED741" s="4"/>
      <c r="EE741" s="4"/>
      <c r="EF741" s="4"/>
      <c r="EG741" s="4"/>
      <c r="EH741" s="4"/>
      <c r="EI741" s="4"/>
      <c r="EJ741" s="4"/>
      <c r="EK741" s="4"/>
      <c r="EL741" s="4"/>
      <c r="EM741" s="4"/>
      <c r="EN741" s="4"/>
      <c r="EO741" s="4"/>
      <c r="EP741" s="4"/>
      <c r="EQ741" s="4"/>
      <c r="ER741" s="4"/>
      <c r="ES741" s="4"/>
      <c r="ET741" s="4"/>
      <c r="EU741" s="4"/>
      <c r="EV741" s="4"/>
      <c r="EW741" s="4"/>
      <c r="EX741" s="4"/>
      <c r="EY741" s="4"/>
      <c r="EZ741" s="4"/>
      <c r="FA741" s="4"/>
      <c r="FB741" s="4"/>
      <c r="FC741" s="4"/>
      <c r="FD741" s="4"/>
      <c r="FE741" s="4"/>
      <c r="FF741" s="4"/>
      <c r="FG741" s="4"/>
      <c r="FH741" s="4"/>
      <c r="FI741" s="4"/>
      <c r="FJ741" s="4"/>
      <c r="FK741" s="4"/>
      <c r="FL741" s="4"/>
      <c r="FM741" s="4"/>
      <c r="FN741" s="4"/>
      <c r="FO741" s="4"/>
      <c r="FP741" s="4"/>
      <c r="FQ741" s="4"/>
      <c r="FR741" s="4"/>
      <c r="FS741" s="4"/>
      <c r="FT741" s="4"/>
      <c r="FU741" s="4"/>
      <c r="FV741" s="4"/>
      <c r="FW741" s="4"/>
      <c r="FX741" s="4"/>
      <c r="FY741" s="4"/>
      <c r="FZ741" s="4"/>
      <c r="GA741" s="4"/>
      <c r="GB741" s="4"/>
      <c r="GC741" s="4"/>
      <c r="GD741" s="4"/>
      <c r="GE741" s="4"/>
      <c r="GF741" s="4"/>
    </row>
    <row r="742">
      <c r="A742" s="2" t="s">
        <v>4659</v>
      </c>
      <c r="B742" s="2" t="s">
        <v>429</v>
      </c>
      <c r="C742" s="2" t="s">
        <v>287</v>
      </c>
      <c r="D742" s="2" t="s">
        <v>895</v>
      </c>
      <c r="E742" s="2" t="s">
        <v>4660</v>
      </c>
      <c r="F742" s="2" t="s">
        <v>4661</v>
      </c>
      <c r="G742" s="2" t="s">
        <v>4661</v>
      </c>
      <c r="H742" s="2" t="s">
        <v>4661</v>
      </c>
      <c r="I742" s="2" t="s">
        <v>4662</v>
      </c>
      <c r="J742" s="2" t="s">
        <v>434</v>
      </c>
      <c r="K742" s="2" t="s">
        <v>833</v>
      </c>
      <c r="L742" s="3">
        <v>32.38</v>
      </c>
      <c r="M742" s="3">
        <v>34</v>
      </c>
      <c r="N742" s="3">
        <v>67.99</v>
      </c>
      <c r="O742" s="2" t="s">
        <v>203</v>
      </c>
      <c r="P742" s="2" t="s">
        <v>492</v>
      </c>
      <c r="Q742" s="2" t="s">
        <v>205</v>
      </c>
      <c r="R742" s="2" t="s">
        <v>206</v>
      </c>
      <c r="S742" s="2" t="s">
        <v>206</v>
      </c>
      <c r="T742" s="2" t="s">
        <v>206</v>
      </c>
      <c r="U742" s="2" t="s">
        <v>900</v>
      </c>
      <c r="V742" s="2" t="s">
        <v>468</v>
      </c>
      <c r="W742" s="2" t="s">
        <v>914</v>
      </c>
      <c r="X742" s="2" t="s">
        <v>439</v>
      </c>
      <c r="Y742" s="2" t="s">
        <v>4663</v>
      </c>
      <c r="Z742" s="4">
        <v>148</v>
      </c>
      <c r="AA742" s="4">
        <f>=ROUNDDOWN(9.25,0)</f>
      </c>
      <c r="AB742" s="5">
        <v>16</v>
      </c>
      <c r="AC742" s="2" t="s">
        <v>114</v>
      </c>
      <c r="AD742" s="4">
        <v>70</v>
      </c>
      <c r="AE742" s="4">
        <v>220</v>
      </c>
      <c r="AF742" s="6">
        <v>65</v>
      </c>
      <c r="AG742" s="6">
        <v>48</v>
      </c>
      <c r="AH742" s="7">
        <v>0.2258</v>
      </c>
      <c r="AI742" s="4"/>
      <c r="AJ742" s="4">
        <f>=ROUNDDOWN({0},0)</f>
      </c>
      <c r="AK742" s="5"/>
      <c r="AL742" s="2" t="s">
        <v>206</v>
      </c>
      <c r="AM742" s="4"/>
      <c r="AN742" s="4"/>
      <c r="AO742" s="7"/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>
        <v>4</v>
      </c>
      <c r="BK742" s="8">
        <v>138.46</v>
      </c>
      <c r="BL742" s="2" t="s">
        <v>2409</v>
      </c>
      <c r="BM742" s="7"/>
      <c r="BN742" s="7"/>
      <c r="BO742" s="4"/>
      <c r="BP742" s="8"/>
      <c r="BQ742" s="4"/>
      <c r="BR742" s="8"/>
      <c r="BS742" s="7"/>
      <c r="BT742" s="7"/>
      <c r="BU742" s="2" t="s">
        <v>4664</v>
      </c>
      <c r="BV742" s="2" t="s">
        <v>206</v>
      </c>
      <c r="BW742" s="2" t="s">
        <v>206</v>
      </c>
      <c r="BX742" s="2" t="s">
        <v>214</v>
      </c>
      <c r="BY742" s="2" t="s">
        <v>215</v>
      </c>
      <c r="BZ742" s="2" t="s">
        <v>203</v>
      </c>
      <c r="CA742" s="2" t="s">
        <v>1254</v>
      </c>
      <c r="CB742" s="2" t="s">
        <v>2007</v>
      </c>
      <c r="CC742" s="2" t="s">
        <v>218</v>
      </c>
      <c r="CD742" s="2" t="s">
        <v>206</v>
      </c>
      <c r="CE742" s="4"/>
      <c r="CF742" s="4">
        <v>88</v>
      </c>
      <c r="CG742" s="4"/>
      <c r="CH742" s="4"/>
      <c r="CI742" s="4"/>
      <c r="CJ742" s="4"/>
      <c r="CK742" s="4"/>
      <c r="CL742" s="4"/>
      <c r="CM742" s="4"/>
      <c r="CN742" s="4"/>
      <c r="CO742" s="4">
        <v>60</v>
      </c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>
        <v>70</v>
      </c>
      <c r="DC742" s="4"/>
      <c r="DD742" s="4"/>
      <c r="DE742" s="4"/>
      <c r="DF742" s="4"/>
      <c r="DG742" s="4"/>
      <c r="DH742" s="4"/>
      <c r="DI742" s="4"/>
      <c r="DJ742" s="4"/>
      <c r="DK742" s="4"/>
      <c r="DL742" s="4"/>
      <c r="DM742" s="4"/>
      <c r="DN742" s="4"/>
      <c r="DO742" s="4"/>
      <c r="DP742" s="4"/>
      <c r="DQ742" s="4"/>
      <c r="DR742" s="4"/>
      <c r="DS742" s="4"/>
      <c r="DT742" s="4"/>
      <c r="DU742" s="4"/>
      <c r="DV742" s="4"/>
      <c r="DW742" s="4"/>
      <c r="DX742" s="4"/>
      <c r="DY742" s="4"/>
      <c r="DZ742" s="4"/>
      <c r="EA742" s="4"/>
      <c r="EB742" s="4"/>
      <c r="EC742" s="4"/>
      <c r="ED742" s="4"/>
      <c r="EE742" s="4"/>
      <c r="EF742" s="4">
        <v>150</v>
      </c>
      <c r="EG742" s="4"/>
      <c r="EH742" s="4"/>
      <c r="EI742" s="4"/>
      <c r="EJ742" s="4"/>
      <c r="EK742" s="4"/>
      <c r="EL742" s="4"/>
      <c r="EM742" s="4"/>
      <c r="EN742" s="4"/>
      <c r="EO742" s="4"/>
      <c r="EP742" s="4"/>
      <c r="EQ742" s="4"/>
      <c r="ER742" s="4"/>
      <c r="ES742" s="4"/>
      <c r="ET742" s="4"/>
      <c r="EU742" s="4"/>
      <c r="EV742" s="4"/>
      <c r="EW742" s="4"/>
      <c r="EX742" s="4"/>
      <c r="EY742" s="4"/>
      <c r="EZ742" s="4"/>
      <c r="FA742" s="4"/>
      <c r="FB742" s="4"/>
      <c r="FC742" s="4"/>
      <c r="FD742" s="4"/>
      <c r="FE742" s="4"/>
      <c r="FF742" s="4"/>
      <c r="FG742" s="4"/>
      <c r="FH742" s="4"/>
      <c r="FI742" s="4"/>
      <c r="FJ742" s="4"/>
      <c r="FK742" s="4"/>
      <c r="FL742" s="4"/>
      <c r="FM742" s="4"/>
      <c r="FN742" s="4"/>
      <c r="FO742" s="4"/>
      <c r="FP742" s="4"/>
      <c r="FQ742" s="4"/>
      <c r="FR742" s="4"/>
      <c r="FS742" s="4"/>
      <c r="FT742" s="4"/>
      <c r="FU742" s="4"/>
      <c r="FV742" s="4"/>
      <c r="FW742" s="4"/>
      <c r="FX742" s="4"/>
      <c r="FY742" s="4"/>
      <c r="FZ742" s="4"/>
      <c r="GA742" s="4"/>
      <c r="GB742" s="4"/>
      <c r="GC742" s="4"/>
      <c r="GD742" s="4"/>
      <c r="GE742" s="4"/>
      <c r="GF742" s="4"/>
    </row>
    <row r="743">
      <c r="A743" s="2" t="s">
        <v>4665</v>
      </c>
      <c r="B743" s="2" t="s">
        <v>429</v>
      </c>
      <c r="C743" s="2" t="s">
        <v>287</v>
      </c>
      <c r="D743" s="2" t="s">
        <v>909</v>
      </c>
      <c r="E743" s="2" t="s">
        <v>910</v>
      </c>
      <c r="F743" s="2" t="s">
        <v>4666</v>
      </c>
      <c r="G743" s="2" t="s">
        <v>4666</v>
      </c>
      <c r="H743" s="2" t="s">
        <v>4666</v>
      </c>
      <c r="I743" s="2" t="s">
        <v>4667</v>
      </c>
      <c r="J743" s="2" t="s">
        <v>434</v>
      </c>
      <c r="K743" s="2" t="s">
        <v>450</v>
      </c>
      <c r="L743" s="3">
        <v>50.03</v>
      </c>
      <c r="M743" s="3">
        <v>52.53</v>
      </c>
      <c r="N743" s="3">
        <v>101.99</v>
      </c>
      <c r="O743" s="2" t="s">
        <v>203</v>
      </c>
      <c r="P743" s="2" t="s">
        <v>467</v>
      </c>
      <c r="Q743" s="2" t="s">
        <v>205</v>
      </c>
      <c r="R743" s="2" t="s">
        <v>206</v>
      </c>
      <c r="S743" s="2" t="s">
        <v>206</v>
      </c>
      <c r="T743" s="2" t="s">
        <v>206</v>
      </c>
      <c r="U743" s="2" t="s">
        <v>900</v>
      </c>
      <c r="V743" s="2" t="s">
        <v>438</v>
      </c>
      <c r="W743" s="2" t="s">
        <v>439</v>
      </c>
      <c r="X743" s="2" t="s">
        <v>206</v>
      </c>
      <c r="Y743" s="2" t="s">
        <v>1334</v>
      </c>
      <c r="Z743" s="4">
        <v>40</v>
      </c>
      <c r="AA743" s="4">
        <f>=ROUNDDOWN(18.1818181818182,0)</f>
      </c>
      <c r="AB743" s="5">
        <v>2.2</v>
      </c>
      <c r="AC743" s="2" t="s">
        <v>293</v>
      </c>
      <c r="AD743" s="4">
        <v>60</v>
      </c>
      <c r="AE743" s="4">
        <v>60</v>
      </c>
      <c r="AF743" s="6">
        <v>63</v>
      </c>
      <c r="AG743" s="6"/>
      <c r="AH743" s="7">
        <v>1</v>
      </c>
      <c r="AI743" s="4"/>
      <c r="AJ743" s="4">
        <f>=ROUNDDOWN({0},0)</f>
      </c>
      <c r="AK743" s="5"/>
      <c r="AL743" s="2" t="s">
        <v>206</v>
      </c>
      <c r="AM743" s="4"/>
      <c r="AN743" s="4"/>
      <c r="AO743" s="7"/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>
        <v>13</v>
      </c>
      <c r="BK743" s="8">
        <v>733.83</v>
      </c>
      <c r="BL743" s="2" t="s">
        <v>4668</v>
      </c>
      <c r="BM743" s="7"/>
      <c r="BN743" s="7"/>
      <c r="BO743" s="4"/>
      <c r="BP743" s="8"/>
      <c r="BQ743" s="4"/>
      <c r="BR743" s="8"/>
      <c r="BS743" s="7"/>
      <c r="BT743" s="7"/>
      <c r="BU743" s="2" t="s">
        <v>4669</v>
      </c>
      <c r="BV743" s="2" t="s">
        <v>206</v>
      </c>
      <c r="BW743" s="2" t="s">
        <v>206</v>
      </c>
      <c r="BX743" s="2" t="s">
        <v>214</v>
      </c>
      <c r="BY743" s="2" t="s">
        <v>215</v>
      </c>
      <c r="BZ743" s="2" t="s">
        <v>203</v>
      </c>
      <c r="CA743" s="2" t="s">
        <v>4670</v>
      </c>
      <c r="CB743" s="2" t="s">
        <v>4671</v>
      </c>
      <c r="CC743" s="2" t="s">
        <v>218</v>
      </c>
      <c r="CD743" s="2" t="s">
        <v>206</v>
      </c>
      <c r="CE743" s="4"/>
      <c r="CF743" s="4">
        <v>40</v>
      </c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  <c r="DE743" s="4"/>
      <c r="DF743" s="4"/>
      <c r="DG743" s="4"/>
      <c r="DH743" s="4"/>
      <c r="DI743" s="4"/>
      <c r="DJ743" s="4"/>
      <c r="DK743" s="4"/>
      <c r="DL743" s="4"/>
      <c r="DM743" s="4"/>
      <c r="DN743" s="4"/>
      <c r="DO743" s="4"/>
      <c r="DP743" s="4"/>
      <c r="DQ743" s="4"/>
      <c r="DR743" s="4"/>
      <c r="DS743" s="4"/>
      <c r="DT743" s="4"/>
      <c r="DU743" s="4"/>
      <c r="DV743" s="4"/>
      <c r="DW743" s="4"/>
      <c r="DX743" s="4"/>
      <c r="DY743" s="4"/>
      <c r="DZ743" s="4"/>
      <c r="EA743" s="4"/>
      <c r="EB743" s="4"/>
      <c r="EC743" s="4"/>
      <c r="ED743" s="4"/>
      <c r="EE743" s="4"/>
      <c r="EF743" s="4"/>
      <c r="EG743" s="4"/>
      <c r="EH743" s="4"/>
      <c r="EI743" s="4"/>
      <c r="EJ743" s="4"/>
      <c r="EK743" s="4"/>
      <c r="EL743" s="4"/>
      <c r="EM743" s="4"/>
      <c r="EN743" s="4"/>
      <c r="EO743" s="4"/>
      <c r="EP743" s="4"/>
      <c r="EQ743" s="4"/>
      <c r="ER743" s="4"/>
      <c r="ES743" s="4"/>
      <c r="ET743" s="4"/>
      <c r="EU743" s="4"/>
      <c r="EV743" s="4"/>
      <c r="EW743" s="4"/>
      <c r="EX743" s="4"/>
      <c r="EY743" s="4"/>
      <c r="EZ743" s="4"/>
      <c r="FA743" s="4">
        <v>60</v>
      </c>
      <c r="FB743" s="4"/>
      <c r="FC743" s="4"/>
      <c r="FD743" s="4"/>
      <c r="FE743" s="4"/>
      <c r="FF743" s="4"/>
      <c r="FG743" s="4"/>
      <c r="FH743" s="4"/>
      <c r="FI743" s="4"/>
      <c r="FJ743" s="4"/>
      <c r="FK743" s="4"/>
      <c r="FL743" s="4"/>
      <c r="FM743" s="4"/>
      <c r="FN743" s="4"/>
      <c r="FO743" s="4"/>
      <c r="FP743" s="4"/>
      <c r="FQ743" s="4"/>
      <c r="FR743" s="4"/>
      <c r="FS743" s="4"/>
      <c r="FT743" s="4"/>
      <c r="FU743" s="4"/>
      <c r="FV743" s="4"/>
      <c r="FW743" s="4"/>
      <c r="FX743" s="4"/>
      <c r="FY743" s="4"/>
      <c r="FZ743" s="4"/>
      <c r="GA743" s="4"/>
      <c r="GB743" s="4"/>
      <c r="GC743" s="4"/>
      <c r="GD743" s="4"/>
      <c r="GE743" s="4"/>
      <c r="GF743" s="4"/>
    </row>
    <row r="744">
      <c r="A744" s="2" t="s">
        <v>4672</v>
      </c>
      <c r="B744" s="2" t="s">
        <v>613</v>
      </c>
      <c r="C744" s="2" t="s">
        <v>1145</v>
      </c>
      <c r="D744" s="2" t="s">
        <v>628</v>
      </c>
      <c r="E744" s="2" t="s">
        <v>629</v>
      </c>
      <c r="F744" s="2" t="s">
        <v>4673</v>
      </c>
      <c r="G744" s="2" t="s">
        <v>3651</v>
      </c>
      <c r="H744" s="2" t="s">
        <v>4674</v>
      </c>
      <c r="I744" s="2" t="s">
        <v>4675</v>
      </c>
      <c r="J744" s="2" t="s">
        <v>631</v>
      </c>
      <c r="K744" s="2" t="s">
        <v>4676</v>
      </c>
      <c r="L744" s="3">
        <v>19.2</v>
      </c>
      <c r="M744" s="3">
        <v>20.16</v>
      </c>
      <c r="N744" s="3">
        <v>39.99</v>
      </c>
      <c r="O744" s="2" t="s">
        <v>203</v>
      </c>
      <c r="P744" s="2" t="s">
        <v>773</v>
      </c>
      <c r="Q744" s="2" t="s">
        <v>205</v>
      </c>
      <c r="R744" s="2" t="s">
        <v>206</v>
      </c>
      <c r="S744" s="2" t="s">
        <v>4677</v>
      </c>
      <c r="T744" s="2" t="s">
        <v>206</v>
      </c>
      <c r="U744" s="2" t="s">
        <v>437</v>
      </c>
      <c r="V744" s="2" t="s">
        <v>809</v>
      </c>
      <c r="W744" s="2" t="s">
        <v>210</v>
      </c>
      <c r="X744" s="2" t="s">
        <v>1051</v>
      </c>
      <c r="Y744" s="2" t="s">
        <v>4678</v>
      </c>
      <c r="Z744" s="4">
        <v>1290</v>
      </c>
      <c r="AA744" s="4">
        <f>=ROUNDDOWN(36.8571428571429,0)</f>
      </c>
      <c r="AB744" s="5">
        <v>35</v>
      </c>
      <c r="AC744" s="2" t="s">
        <v>114</v>
      </c>
      <c r="AD744" s="4">
        <v>860</v>
      </c>
      <c r="AE744" s="4">
        <v>860</v>
      </c>
      <c r="AF744" s="6">
        <v>65</v>
      </c>
      <c r="AG744" s="6"/>
      <c r="AH744" s="7">
        <v>1</v>
      </c>
      <c r="AI744" s="4"/>
      <c r="AJ744" s="4">
        <f>=ROUNDDOWN({0},0)</f>
      </c>
      <c r="AK744" s="5"/>
      <c r="AL744" s="2" t="s">
        <v>206</v>
      </c>
      <c r="AM744" s="4"/>
      <c r="AN744" s="4"/>
      <c r="AO744" s="7"/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 t="s">
        <v>206</v>
      </c>
      <c r="BD744" s="8" t="s">
        <v>206</v>
      </c>
      <c r="BE744" s="4" t="s">
        <v>206</v>
      </c>
      <c r="BF744" s="8" t="s">
        <v>206</v>
      </c>
      <c r="BG744" s="7" t="s">
        <v>206</v>
      </c>
      <c r="BH744" s="7" t="s">
        <v>206</v>
      </c>
      <c r="BI744" s="7"/>
      <c r="BJ744" s="4">
        <v>91</v>
      </c>
      <c r="BK744" s="8">
        <v>2017.51</v>
      </c>
      <c r="BL744" s="2" t="s">
        <v>4679</v>
      </c>
      <c r="BM744" s="7"/>
      <c r="BN744" s="7"/>
      <c r="BO744" s="4"/>
      <c r="BP744" s="8"/>
      <c r="BQ744" s="4"/>
      <c r="BR744" s="8"/>
      <c r="BS744" s="7"/>
      <c r="BT744" s="7"/>
      <c r="BU744" s="2" t="s">
        <v>4680</v>
      </c>
      <c r="BV744" s="2" t="s">
        <v>206</v>
      </c>
      <c r="BW744" s="2" t="s">
        <v>206</v>
      </c>
      <c r="BX744" s="2" t="s">
        <v>426</v>
      </c>
      <c r="BY744" s="2" t="s">
        <v>215</v>
      </c>
      <c r="BZ744" s="2" t="s">
        <v>203</v>
      </c>
      <c r="CA744" s="2" t="s">
        <v>4681</v>
      </c>
      <c r="CB744" s="2" t="s">
        <v>1360</v>
      </c>
      <c r="CC744" s="2" t="s">
        <v>218</v>
      </c>
      <c r="CD744" s="2" t="s">
        <v>206</v>
      </c>
      <c r="CE744" s="4">
        <v>1290</v>
      </c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>
        <v>860</v>
      </c>
      <c r="DC744" s="4"/>
      <c r="DD744" s="4"/>
      <c r="DE744" s="4"/>
      <c r="DF744" s="4"/>
      <c r="DG744" s="4"/>
      <c r="DH744" s="4"/>
      <c r="DI744" s="4"/>
      <c r="DJ744" s="4"/>
      <c r="DK744" s="4"/>
      <c r="DL744" s="4"/>
      <c r="DM744" s="4"/>
      <c r="DN744" s="4"/>
      <c r="DO744" s="4"/>
      <c r="DP744" s="4"/>
      <c r="DQ744" s="4"/>
      <c r="DR744" s="4"/>
      <c r="DS744" s="4"/>
      <c r="DT744" s="4"/>
      <c r="DU744" s="4"/>
      <c r="DV744" s="4"/>
      <c r="DW744" s="4"/>
      <c r="DX744" s="4"/>
      <c r="DY744" s="4"/>
      <c r="DZ744" s="4"/>
      <c r="EA744" s="4"/>
      <c r="EB744" s="4"/>
      <c r="EC744" s="4"/>
      <c r="ED744" s="4"/>
      <c r="EE744" s="4"/>
      <c r="EF744" s="4"/>
      <c r="EG744" s="4"/>
      <c r="EH744" s="4"/>
      <c r="EI744" s="4"/>
      <c r="EJ744" s="4"/>
      <c r="EK744" s="4"/>
      <c r="EL744" s="4"/>
      <c r="EM744" s="4"/>
      <c r="EN744" s="4"/>
      <c r="EO744" s="4"/>
      <c r="EP744" s="4"/>
      <c r="EQ744" s="4"/>
      <c r="ER744" s="4"/>
      <c r="ES744" s="4"/>
      <c r="ET744" s="4"/>
      <c r="EU744" s="4"/>
      <c r="EV744" s="4"/>
      <c r="EW744" s="4"/>
      <c r="EX744" s="4"/>
      <c r="EY744" s="4"/>
      <c r="EZ744" s="4"/>
      <c r="FA744" s="4"/>
      <c r="FB744" s="4"/>
      <c r="FC744" s="4"/>
      <c r="FD744" s="4"/>
      <c r="FE744" s="4"/>
      <c r="FF744" s="4"/>
      <c r="FG744" s="4"/>
      <c r="FH744" s="4"/>
      <c r="FI744" s="4"/>
      <c r="FJ744" s="4"/>
      <c r="FK744" s="4"/>
      <c r="FL744" s="4"/>
      <c r="FM744" s="4"/>
      <c r="FN744" s="4"/>
      <c r="FO744" s="4"/>
      <c r="FP744" s="4"/>
      <c r="FQ744" s="4"/>
      <c r="FR744" s="4"/>
      <c r="FS744" s="4"/>
      <c r="FT744" s="4"/>
      <c r="FU744" s="4"/>
      <c r="FV744" s="4"/>
      <c r="FW744" s="4"/>
      <c r="FX744" s="4"/>
      <c r="FY744" s="4"/>
      <c r="FZ744" s="4"/>
      <c r="GA744" s="4"/>
      <c r="GB744" s="4"/>
      <c r="GC744" s="4"/>
      <c r="GD744" s="4"/>
      <c r="GE744" s="4"/>
      <c r="GF744" s="4"/>
    </row>
    <row r="745">
      <c r="A745" s="2" t="s">
        <v>4682</v>
      </c>
      <c r="B745" s="2" t="s">
        <v>546</v>
      </c>
      <c r="C745" s="2" t="s">
        <v>1145</v>
      </c>
      <c r="D745" s="2" t="s">
        <v>529</v>
      </c>
      <c r="E745" s="2" t="s">
        <v>816</v>
      </c>
      <c r="F745" s="2" t="s">
        <v>4673</v>
      </c>
      <c r="G745" s="2" t="s">
        <v>3651</v>
      </c>
      <c r="H745" s="2" t="s">
        <v>4674</v>
      </c>
      <c r="I745" s="2" t="s">
        <v>4683</v>
      </c>
      <c r="J745" s="2" t="s">
        <v>821</v>
      </c>
      <c r="K745" s="2" t="s">
        <v>3775</v>
      </c>
      <c r="L745" s="3">
        <v>35.19</v>
      </c>
      <c r="M745" s="3">
        <v>36.95</v>
      </c>
      <c r="N745" s="3">
        <v>69.99</v>
      </c>
      <c r="O745" s="2" t="s">
        <v>203</v>
      </c>
      <c r="P745" s="2" t="s">
        <v>492</v>
      </c>
      <c r="Q745" s="2" t="s">
        <v>205</v>
      </c>
      <c r="R745" s="2" t="s">
        <v>206</v>
      </c>
      <c r="S745" s="2" t="s">
        <v>4684</v>
      </c>
      <c r="T745" s="2" t="s">
        <v>292</v>
      </c>
      <c r="U745" s="2" t="s">
        <v>235</v>
      </c>
      <c r="V745" s="2" t="s">
        <v>809</v>
      </c>
      <c r="W745" s="2" t="s">
        <v>439</v>
      </c>
      <c r="X745" s="2" t="s">
        <v>914</v>
      </c>
      <c r="Y745" s="2" t="s">
        <v>1762</v>
      </c>
      <c r="Z745" s="4">
        <v>1133</v>
      </c>
      <c r="AA745" s="4">
        <f>=ROUNDDOWN(70.8125,0)</f>
      </c>
      <c r="AB745" s="5">
        <v>16</v>
      </c>
      <c r="AC745" s="2" t="s">
        <v>623</v>
      </c>
      <c r="AD745" s="4">
        <v>300</v>
      </c>
      <c r="AE745" s="4">
        <v>300</v>
      </c>
      <c r="AF745" s="6">
        <v>64</v>
      </c>
      <c r="AG745" s="6">
        <v>47</v>
      </c>
      <c r="AH745" s="7">
        <v>1</v>
      </c>
      <c r="AI745" s="4"/>
      <c r="AJ745" s="4">
        <f>=ROUNDDOWN({0},0)</f>
      </c>
      <c r="AK745" s="5"/>
      <c r="AL745" s="2" t="s">
        <v>206</v>
      </c>
      <c r="AM745" s="4"/>
      <c r="AN745" s="4"/>
      <c r="AO745" s="7"/>
      <c r="AP745" s="4"/>
      <c r="AQ745" s="8"/>
      <c r="AR745" s="4"/>
      <c r="AS745" s="8"/>
      <c r="AT745" s="7"/>
      <c r="AU745" s="7"/>
      <c r="AV745" s="4" t="s">
        <v>206</v>
      </c>
      <c r="AW745" s="8" t="s">
        <v>206</v>
      </c>
      <c r="AX745" s="4" t="s">
        <v>206</v>
      </c>
      <c r="AY745" s="8" t="s">
        <v>206</v>
      </c>
      <c r="AZ745" s="7" t="s">
        <v>206</v>
      </c>
      <c r="BA745" s="7" t="s">
        <v>206</v>
      </c>
      <c r="BB745" s="7"/>
      <c r="BC745" s="4" t="s">
        <v>206</v>
      </c>
      <c r="BD745" s="8" t="s">
        <v>206</v>
      </c>
      <c r="BE745" s="4" t="s">
        <v>206</v>
      </c>
      <c r="BF745" s="8" t="s">
        <v>206</v>
      </c>
      <c r="BG745" s="7" t="s">
        <v>206</v>
      </c>
      <c r="BH745" s="7" t="s">
        <v>206</v>
      </c>
      <c r="BI745" s="7"/>
      <c r="BJ745" s="4">
        <v>28</v>
      </c>
      <c r="BK745" s="8">
        <v>953.88</v>
      </c>
      <c r="BL745" s="2" t="s">
        <v>4685</v>
      </c>
      <c r="BM745" s="7"/>
      <c r="BN745" s="7"/>
      <c r="BO745" s="4"/>
      <c r="BP745" s="8"/>
      <c r="BQ745" s="4"/>
      <c r="BR745" s="8"/>
      <c r="BS745" s="7"/>
      <c r="BT745" s="7"/>
      <c r="BU745" s="2" t="s">
        <v>4686</v>
      </c>
      <c r="BV745" s="2" t="s">
        <v>206</v>
      </c>
      <c r="BW745" s="2" t="s">
        <v>206</v>
      </c>
      <c r="BX745" s="2" t="s">
        <v>850</v>
      </c>
      <c r="BY745" s="2" t="s">
        <v>215</v>
      </c>
      <c r="BZ745" s="2" t="s">
        <v>203</v>
      </c>
      <c r="CA745" s="2" t="s">
        <v>738</v>
      </c>
      <c r="CB745" s="2" t="s">
        <v>1762</v>
      </c>
      <c r="CC745" s="2" t="s">
        <v>218</v>
      </c>
      <c r="CD745" s="2" t="s">
        <v>206</v>
      </c>
      <c r="CE745" s="4"/>
      <c r="CF745" s="4">
        <v>782</v>
      </c>
      <c r="CG745" s="4"/>
      <c r="CH745" s="4">
        <v>351</v>
      </c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  <c r="DE745" s="4"/>
      <c r="DF745" s="4"/>
      <c r="DG745" s="4"/>
      <c r="DH745" s="4"/>
      <c r="DI745" s="4"/>
      <c r="DJ745" s="4"/>
      <c r="DK745" s="4"/>
      <c r="DL745" s="4"/>
      <c r="DM745" s="4"/>
      <c r="DN745" s="4"/>
      <c r="DO745" s="4"/>
      <c r="DP745" s="4"/>
      <c r="DQ745" s="4"/>
      <c r="DR745" s="4"/>
      <c r="DS745" s="4"/>
      <c r="DT745" s="4"/>
      <c r="DU745" s="4"/>
      <c r="DV745" s="4"/>
      <c r="DW745" s="4"/>
      <c r="DX745" s="4"/>
      <c r="DY745" s="4"/>
      <c r="DZ745" s="4"/>
      <c r="EA745" s="4"/>
      <c r="EB745" s="4"/>
      <c r="EC745" s="4"/>
      <c r="ED745" s="4"/>
      <c r="EE745" s="4"/>
      <c r="EF745" s="4"/>
      <c r="EG745" s="4"/>
      <c r="EH745" s="4"/>
      <c r="EI745" s="4"/>
      <c r="EJ745" s="4"/>
      <c r="EK745" s="4"/>
      <c r="EL745" s="4"/>
      <c r="EM745" s="4"/>
      <c r="EN745" s="4"/>
      <c r="EO745" s="4"/>
      <c r="EP745" s="4"/>
      <c r="EQ745" s="4"/>
      <c r="ER745" s="4"/>
      <c r="ES745" s="4"/>
      <c r="ET745" s="4"/>
      <c r="EU745" s="4"/>
      <c r="EV745" s="4"/>
      <c r="EW745" s="4"/>
      <c r="EX745" s="4"/>
      <c r="EY745" s="4"/>
      <c r="EZ745" s="4"/>
      <c r="FA745" s="4"/>
      <c r="FB745" s="4"/>
      <c r="FC745" s="4"/>
      <c r="FD745" s="4"/>
      <c r="FE745" s="4">
        <v>300</v>
      </c>
      <c r="FF745" s="4"/>
      <c r="FG745" s="4"/>
      <c r="FH745" s="4"/>
      <c r="FI745" s="4"/>
      <c r="FJ745" s="4"/>
      <c r="FK745" s="4"/>
      <c r="FL745" s="4"/>
      <c r="FM745" s="4"/>
      <c r="FN745" s="4"/>
      <c r="FO745" s="4"/>
      <c r="FP745" s="4"/>
      <c r="FQ745" s="4"/>
      <c r="FR745" s="4"/>
      <c r="FS745" s="4"/>
      <c r="FT745" s="4"/>
      <c r="FU745" s="4"/>
      <c r="FV745" s="4"/>
      <c r="FW745" s="4"/>
      <c r="FX745" s="4"/>
      <c r="FY745" s="4"/>
      <c r="FZ745" s="4"/>
      <c r="GA745" s="4"/>
      <c r="GB745" s="4"/>
      <c r="GC745" s="4"/>
      <c r="GD745" s="4"/>
      <c r="GE745" s="4"/>
      <c r="GF745" s="4"/>
    </row>
    <row r="746">
      <c r="A746" s="2" t="s">
        <v>4687</v>
      </c>
      <c r="B746" s="2" t="s">
        <v>613</v>
      </c>
      <c r="C746" s="2" t="s">
        <v>1145</v>
      </c>
      <c r="D746" s="2" t="s">
        <v>628</v>
      </c>
      <c r="E746" s="2" t="s">
        <v>629</v>
      </c>
      <c r="F746" s="2" t="s">
        <v>4673</v>
      </c>
      <c r="G746" s="2" t="s">
        <v>3651</v>
      </c>
      <c r="H746" s="2" t="s">
        <v>4674</v>
      </c>
      <c r="I746" s="2" t="s">
        <v>4675</v>
      </c>
      <c r="J746" s="2" t="s">
        <v>4688</v>
      </c>
      <c r="K746" s="2" t="s">
        <v>3775</v>
      </c>
      <c r="L746" s="3">
        <v>19.2</v>
      </c>
      <c r="M746" s="3">
        <v>20.16</v>
      </c>
      <c r="N746" s="3">
        <v>39.99</v>
      </c>
      <c r="O746" s="2" t="s">
        <v>203</v>
      </c>
      <c r="P746" s="2" t="s">
        <v>204</v>
      </c>
      <c r="Q746" s="2" t="s">
        <v>205</v>
      </c>
      <c r="R746" s="2" t="s">
        <v>206</v>
      </c>
      <c r="S746" s="2" t="s">
        <v>4689</v>
      </c>
      <c r="T746" s="2" t="s">
        <v>206</v>
      </c>
      <c r="U746" s="2" t="s">
        <v>437</v>
      </c>
      <c r="V746" s="2" t="s">
        <v>809</v>
      </c>
      <c r="W746" s="2" t="s">
        <v>210</v>
      </c>
      <c r="X746" s="2" t="s">
        <v>1051</v>
      </c>
      <c r="Y746" s="2" t="s">
        <v>4690</v>
      </c>
      <c r="Z746" s="4">
        <v>355</v>
      </c>
      <c r="AA746" s="4">
        <f>=ROUNDDOWN(23.6666666666667,0)</f>
      </c>
      <c r="AB746" s="5">
        <v>15</v>
      </c>
      <c r="AC746" s="2" t="s">
        <v>5</v>
      </c>
      <c r="AD746" s="4">
        <v>600</v>
      </c>
      <c r="AE746" s="4">
        <v>600</v>
      </c>
      <c r="AF746" s="6">
        <v>65</v>
      </c>
      <c r="AG746" s="6"/>
      <c r="AH746" s="7">
        <v>1</v>
      </c>
      <c r="AI746" s="4"/>
      <c r="AJ746" s="4">
        <f>=ROUNDDOWN({0},0)</f>
      </c>
      <c r="AK746" s="5"/>
      <c r="AL746" s="2" t="s">
        <v>206</v>
      </c>
      <c r="AM746" s="4"/>
      <c r="AN746" s="4"/>
      <c r="AO746" s="7"/>
      <c r="AP746" s="4"/>
      <c r="AQ746" s="8"/>
      <c r="AR746" s="4"/>
      <c r="AS746" s="8"/>
      <c r="AT746" s="7"/>
      <c r="AU746" s="7"/>
      <c r="AV746" s="4" t="s">
        <v>206</v>
      </c>
      <c r="AW746" s="8" t="s">
        <v>206</v>
      </c>
      <c r="AX746" s="4" t="s">
        <v>206</v>
      </c>
      <c r="AY746" s="8" t="s">
        <v>206</v>
      </c>
      <c r="AZ746" s="7" t="s">
        <v>206</v>
      </c>
      <c r="BA746" s="7" t="s">
        <v>206</v>
      </c>
      <c r="BB746" s="7"/>
      <c r="BC746" s="4" t="s">
        <v>206</v>
      </c>
      <c r="BD746" s="8" t="s">
        <v>206</v>
      </c>
      <c r="BE746" s="4" t="s">
        <v>206</v>
      </c>
      <c r="BF746" s="8" t="s">
        <v>206</v>
      </c>
      <c r="BG746" s="7" t="s">
        <v>206</v>
      </c>
      <c r="BH746" s="7" t="s">
        <v>206</v>
      </c>
      <c r="BI746" s="7"/>
      <c r="BJ746" s="4">
        <v>55</v>
      </c>
      <c r="BK746" s="8">
        <v>1122.36</v>
      </c>
      <c r="BL746" s="2" t="s">
        <v>2880</v>
      </c>
      <c r="BM746" s="7"/>
      <c r="BN746" s="7"/>
      <c r="BO746" s="4"/>
      <c r="BP746" s="8"/>
      <c r="BQ746" s="4"/>
      <c r="BR746" s="8"/>
      <c r="BS746" s="7"/>
      <c r="BT746" s="7"/>
      <c r="BU746" s="2" t="s">
        <v>4691</v>
      </c>
      <c r="BV746" s="2" t="s">
        <v>206</v>
      </c>
      <c r="BW746" s="2" t="s">
        <v>206</v>
      </c>
      <c r="BX746" s="2" t="s">
        <v>426</v>
      </c>
      <c r="BY746" s="2" t="s">
        <v>215</v>
      </c>
      <c r="BZ746" s="2" t="s">
        <v>203</v>
      </c>
      <c r="CA746" s="2" t="s">
        <v>4692</v>
      </c>
      <c r="CB746" s="2" t="s">
        <v>4693</v>
      </c>
      <c r="CC746" s="2" t="s">
        <v>218</v>
      </c>
      <c r="CD746" s="2" t="s">
        <v>206</v>
      </c>
      <c r="CE746" s="4">
        <v>355</v>
      </c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>
        <v>600</v>
      </c>
      <c r="CW746" s="4"/>
      <c r="CX746" s="4"/>
      <c r="CY746" s="4"/>
      <c r="CZ746" s="4"/>
      <c r="DA746" s="4"/>
      <c r="DB746" s="4"/>
      <c r="DC746" s="4"/>
      <c r="DD746" s="4"/>
      <c r="DE746" s="4"/>
      <c r="DF746" s="4"/>
      <c r="DG746" s="4"/>
      <c r="DH746" s="4"/>
      <c r="DI746" s="4"/>
      <c r="DJ746" s="4"/>
      <c r="DK746" s="4"/>
      <c r="DL746" s="4"/>
      <c r="DM746" s="4"/>
      <c r="DN746" s="4"/>
      <c r="DO746" s="4"/>
      <c r="DP746" s="4"/>
      <c r="DQ746" s="4"/>
      <c r="DR746" s="4"/>
      <c r="DS746" s="4"/>
      <c r="DT746" s="4"/>
      <c r="DU746" s="4"/>
      <c r="DV746" s="4"/>
      <c r="DW746" s="4"/>
      <c r="DX746" s="4"/>
      <c r="DY746" s="4"/>
      <c r="DZ746" s="4"/>
      <c r="EA746" s="4"/>
      <c r="EB746" s="4"/>
      <c r="EC746" s="4"/>
      <c r="ED746" s="4"/>
      <c r="EE746" s="4"/>
      <c r="EF746" s="4"/>
      <c r="EG746" s="4"/>
      <c r="EH746" s="4"/>
      <c r="EI746" s="4"/>
      <c r="EJ746" s="4"/>
      <c r="EK746" s="4"/>
      <c r="EL746" s="4"/>
      <c r="EM746" s="4"/>
      <c r="EN746" s="4"/>
      <c r="EO746" s="4"/>
      <c r="EP746" s="4"/>
      <c r="EQ746" s="4"/>
      <c r="ER746" s="4"/>
      <c r="ES746" s="4"/>
      <c r="ET746" s="4"/>
      <c r="EU746" s="4"/>
      <c r="EV746" s="4"/>
      <c r="EW746" s="4"/>
      <c r="EX746" s="4"/>
      <c r="EY746" s="4"/>
      <c r="EZ746" s="4"/>
      <c r="FA746" s="4"/>
      <c r="FB746" s="4"/>
      <c r="FC746" s="4"/>
      <c r="FD746" s="4"/>
      <c r="FE746" s="4"/>
      <c r="FF746" s="4"/>
      <c r="FG746" s="4"/>
      <c r="FH746" s="4"/>
      <c r="FI746" s="4"/>
      <c r="FJ746" s="4"/>
      <c r="FK746" s="4"/>
      <c r="FL746" s="4"/>
      <c r="FM746" s="4"/>
      <c r="FN746" s="4"/>
      <c r="FO746" s="4"/>
      <c r="FP746" s="4"/>
      <c r="FQ746" s="4"/>
      <c r="FR746" s="4"/>
      <c r="FS746" s="4"/>
      <c r="FT746" s="4"/>
      <c r="FU746" s="4"/>
      <c r="FV746" s="4"/>
      <c r="FW746" s="4"/>
      <c r="FX746" s="4"/>
      <c r="FY746" s="4"/>
      <c r="FZ746" s="4"/>
      <c r="GA746" s="4"/>
      <c r="GB746" s="4"/>
      <c r="GC746" s="4"/>
      <c r="GD746" s="4"/>
      <c r="GE746" s="4"/>
      <c r="GF746" s="4"/>
    </row>
    <row r="747">
      <c r="A747" s="2" t="s">
        <v>4694</v>
      </c>
      <c r="B747" s="2" t="s">
        <v>546</v>
      </c>
      <c r="C747" s="2" t="s">
        <v>1145</v>
      </c>
      <c r="D747" s="2" t="s">
        <v>548</v>
      </c>
      <c r="E747" s="2" t="s">
        <v>549</v>
      </c>
      <c r="F747" s="2" t="s">
        <v>4673</v>
      </c>
      <c r="G747" s="2" t="s">
        <v>3651</v>
      </c>
      <c r="H747" s="2" t="s">
        <v>4674</v>
      </c>
      <c r="I747" s="2" t="s">
        <v>4695</v>
      </c>
      <c r="J747" s="2" t="s">
        <v>821</v>
      </c>
      <c r="K747" s="2" t="s">
        <v>1601</v>
      </c>
      <c r="L747" s="3">
        <v>26.1</v>
      </c>
      <c r="M747" s="3">
        <v>27.4</v>
      </c>
      <c r="N747" s="3">
        <v>57.99</v>
      </c>
      <c r="O747" s="2" t="s">
        <v>203</v>
      </c>
      <c r="P747" s="2" t="s">
        <v>204</v>
      </c>
      <c r="Q747" s="2" t="s">
        <v>205</v>
      </c>
      <c r="R747" s="2" t="s">
        <v>206</v>
      </c>
      <c r="S747" s="2" t="s">
        <v>4696</v>
      </c>
      <c r="T747" s="2" t="s">
        <v>292</v>
      </c>
      <c r="U747" s="2" t="s">
        <v>235</v>
      </c>
      <c r="V747" s="2" t="s">
        <v>809</v>
      </c>
      <c r="W747" s="2" t="s">
        <v>439</v>
      </c>
      <c r="X747" s="2" t="s">
        <v>914</v>
      </c>
      <c r="Y747" s="2" t="s">
        <v>1324</v>
      </c>
      <c r="Z747" s="4">
        <v>339</v>
      </c>
      <c r="AA747" s="4">
        <f>=ROUNDDOWN(67.8,0)</f>
      </c>
      <c r="AB747" s="5">
        <v>5</v>
      </c>
      <c r="AC747" s="2" t="s">
        <v>206</v>
      </c>
      <c r="AD747" s="4"/>
      <c r="AE747" s="4"/>
      <c r="AF747" s="6">
        <v>64</v>
      </c>
      <c r="AG747" s="6"/>
      <c r="AH747" s="7">
        <v>1</v>
      </c>
      <c r="AI747" s="4"/>
      <c r="AJ747" s="4">
        <f>=ROUNDDOWN({0},0)</f>
      </c>
      <c r="AK747" s="5"/>
      <c r="AL747" s="2" t="s">
        <v>206</v>
      </c>
      <c r="AM747" s="4"/>
      <c r="AN747" s="4"/>
      <c r="AO747" s="7"/>
      <c r="AP747" s="4"/>
      <c r="AQ747" s="8"/>
      <c r="AR747" s="4"/>
      <c r="AS747" s="8"/>
      <c r="AT747" s="7"/>
      <c r="AU747" s="7"/>
      <c r="AV747" s="4" t="s">
        <v>206</v>
      </c>
      <c r="AW747" s="8" t="s">
        <v>206</v>
      </c>
      <c r="AX747" s="4" t="s">
        <v>206</v>
      </c>
      <c r="AY747" s="8" t="s">
        <v>206</v>
      </c>
      <c r="AZ747" s="7" t="s">
        <v>206</v>
      </c>
      <c r="BA747" s="7" t="s">
        <v>206</v>
      </c>
      <c r="BB747" s="7"/>
      <c r="BC747" s="4" t="s">
        <v>206</v>
      </c>
      <c r="BD747" s="8" t="s">
        <v>206</v>
      </c>
      <c r="BE747" s="4" t="s">
        <v>206</v>
      </c>
      <c r="BF747" s="8" t="s">
        <v>206</v>
      </c>
      <c r="BG747" s="7" t="s">
        <v>206</v>
      </c>
      <c r="BH747" s="7" t="s">
        <v>206</v>
      </c>
      <c r="BI747" s="7"/>
      <c r="BJ747" s="4">
        <v>13</v>
      </c>
      <c r="BK747" s="8">
        <v>324.18</v>
      </c>
      <c r="BL747" s="2" t="s">
        <v>4697</v>
      </c>
      <c r="BM747" s="7"/>
      <c r="BN747" s="7"/>
      <c r="BO747" s="4"/>
      <c r="BP747" s="8"/>
      <c r="BQ747" s="4"/>
      <c r="BR747" s="8"/>
      <c r="BS747" s="7"/>
      <c r="BT747" s="7"/>
      <c r="BU747" s="2" t="s">
        <v>4698</v>
      </c>
      <c r="BV747" s="2" t="s">
        <v>206</v>
      </c>
      <c r="BW747" s="2" t="s">
        <v>206</v>
      </c>
      <c r="BX747" s="2" t="s">
        <v>214</v>
      </c>
      <c r="BY747" s="2" t="s">
        <v>215</v>
      </c>
      <c r="BZ747" s="2" t="s">
        <v>203</v>
      </c>
      <c r="CA747" s="2" t="s">
        <v>4699</v>
      </c>
      <c r="CB747" s="2" t="s">
        <v>4700</v>
      </c>
      <c r="CC747" s="2" t="s">
        <v>218</v>
      </c>
      <c r="CD747" s="2" t="s">
        <v>206</v>
      </c>
      <c r="CE747" s="4">
        <v>339</v>
      </c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  <c r="DE747" s="4"/>
      <c r="DF747" s="4"/>
      <c r="DG747" s="4"/>
      <c r="DH747" s="4"/>
      <c r="DI747" s="4"/>
      <c r="DJ747" s="4"/>
      <c r="DK747" s="4"/>
      <c r="DL747" s="4"/>
      <c r="DM747" s="4"/>
      <c r="DN747" s="4"/>
      <c r="DO747" s="4"/>
      <c r="DP747" s="4"/>
      <c r="DQ747" s="4"/>
      <c r="DR747" s="4"/>
      <c r="DS747" s="4"/>
      <c r="DT747" s="4"/>
      <c r="DU747" s="4"/>
      <c r="DV747" s="4"/>
      <c r="DW747" s="4"/>
      <c r="DX747" s="4"/>
      <c r="DY747" s="4"/>
      <c r="DZ747" s="4"/>
      <c r="EA747" s="4"/>
      <c r="EB747" s="4"/>
      <c r="EC747" s="4"/>
      <c r="ED747" s="4"/>
      <c r="EE747" s="4"/>
      <c r="EF747" s="4"/>
      <c r="EG747" s="4"/>
      <c r="EH747" s="4"/>
      <c r="EI747" s="4"/>
      <c r="EJ747" s="4"/>
      <c r="EK747" s="4"/>
      <c r="EL747" s="4"/>
      <c r="EM747" s="4"/>
      <c r="EN747" s="4"/>
      <c r="EO747" s="4"/>
      <c r="EP747" s="4"/>
      <c r="EQ747" s="4"/>
      <c r="ER747" s="4"/>
      <c r="ES747" s="4"/>
      <c r="ET747" s="4"/>
      <c r="EU747" s="4"/>
      <c r="EV747" s="4"/>
      <c r="EW747" s="4"/>
      <c r="EX747" s="4"/>
      <c r="EY747" s="4"/>
      <c r="EZ747" s="4"/>
      <c r="FA747" s="4"/>
      <c r="FB747" s="4"/>
      <c r="FC747" s="4"/>
      <c r="FD747" s="4"/>
      <c r="FE747" s="4"/>
      <c r="FF747" s="4"/>
      <c r="FG747" s="4"/>
      <c r="FH747" s="4"/>
      <c r="FI747" s="4"/>
      <c r="FJ747" s="4"/>
      <c r="FK747" s="4"/>
      <c r="FL747" s="4"/>
      <c r="FM747" s="4"/>
      <c r="FN747" s="4"/>
      <c r="FO747" s="4"/>
      <c r="FP747" s="4"/>
      <c r="FQ747" s="4"/>
      <c r="FR747" s="4"/>
      <c r="FS747" s="4"/>
      <c r="FT747" s="4"/>
      <c r="FU747" s="4"/>
      <c r="FV747" s="4"/>
      <c r="FW747" s="4"/>
      <c r="FX747" s="4"/>
      <c r="FY747" s="4"/>
      <c r="FZ747" s="4"/>
      <c r="GA747" s="4"/>
      <c r="GB747" s="4"/>
      <c r="GC747" s="4"/>
      <c r="GD747" s="4"/>
      <c r="GE747" s="4"/>
      <c r="GF747" s="4"/>
    </row>
    <row r="748">
      <c r="A748" s="2" t="s">
        <v>4701</v>
      </c>
      <c r="B748" s="2" t="s">
        <v>613</v>
      </c>
      <c r="C748" s="2" t="s">
        <v>1145</v>
      </c>
      <c r="D748" s="2" t="s">
        <v>628</v>
      </c>
      <c r="E748" s="2" t="s">
        <v>629</v>
      </c>
      <c r="F748" s="2" t="s">
        <v>4673</v>
      </c>
      <c r="G748" s="2" t="s">
        <v>3651</v>
      </c>
      <c r="H748" s="2" t="s">
        <v>4674</v>
      </c>
      <c r="I748" s="2" t="s">
        <v>4675</v>
      </c>
      <c r="J748" s="2" t="s">
        <v>4688</v>
      </c>
      <c r="K748" s="2" t="s">
        <v>1601</v>
      </c>
      <c r="L748" s="3">
        <v>19.2</v>
      </c>
      <c r="M748" s="3">
        <v>20.16</v>
      </c>
      <c r="N748" s="3">
        <v>39.99</v>
      </c>
      <c r="O748" s="2" t="s">
        <v>203</v>
      </c>
      <c r="P748" s="2" t="s">
        <v>1037</v>
      </c>
      <c r="Q748" s="2" t="s">
        <v>205</v>
      </c>
      <c r="R748" s="2" t="s">
        <v>206</v>
      </c>
      <c r="S748" s="2" t="s">
        <v>4702</v>
      </c>
      <c r="T748" s="2" t="s">
        <v>206</v>
      </c>
      <c r="U748" s="2" t="s">
        <v>437</v>
      </c>
      <c r="V748" s="2" t="s">
        <v>809</v>
      </c>
      <c r="W748" s="2" t="s">
        <v>210</v>
      </c>
      <c r="X748" s="2" t="s">
        <v>1051</v>
      </c>
      <c r="Y748" s="2" t="s">
        <v>4690</v>
      </c>
      <c r="Z748" s="4">
        <v>450</v>
      </c>
      <c r="AA748" s="4">
        <f>=ROUNDDOWN(28.125,0)</f>
      </c>
      <c r="AB748" s="5">
        <v>16</v>
      </c>
      <c r="AC748" s="2" t="s">
        <v>5</v>
      </c>
      <c r="AD748" s="4">
        <v>56</v>
      </c>
      <c r="AE748" s="4">
        <v>384</v>
      </c>
      <c r="AF748" s="6">
        <v>65</v>
      </c>
      <c r="AG748" s="6"/>
      <c r="AH748" s="7">
        <v>1</v>
      </c>
      <c r="AI748" s="4"/>
      <c r="AJ748" s="4">
        <f>=ROUNDDOWN({0},0)</f>
      </c>
      <c r="AK748" s="5"/>
      <c r="AL748" s="2" t="s">
        <v>206</v>
      </c>
      <c r="AM748" s="4"/>
      <c r="AN748" s="4"/>
      <c r="AO748" s="7"/>
      <c r="AP748" s="4"/>
      <c r="AQ748" s="8"/>
      <c r="AR748" s="4"/>
      <c r="AS748" s="8"/>
      <c r="AT748" s="7"/>
      <c r="AU748" s="7"/>
      <c r="AV748" s="4" t="s">
        <v>206</v>
      </c>
      <c r="AW748" s="8" t="s">
        <v>206</v>
      </c>
      <c r="AX748" s="4" t="s">
        <v>206</v>
      </c>
      <c r="AY748" s="8" t="s">
        <v>206</v>
      </c>
      <c r="AZ748" s="7" t="s">
        <v>206</v>
      </c>
      <c r="BA748" s="7" t="s">
        <v>206</v>
      </c>
      <c r="BB748" s="7"/>
      <c r="BC748" s="4" t="s">
        <v>206</v>
      </c>
      <c r="BD748" s="8" t="s">
        <v>206</v>
      </c>
      <c r="BE748" s="4" t="s">
        <v>206</v>
      </c>
      <c r="BF748" s="8" t="s">
        <v>206</v>
      </c>
      <c r="BG748" s="7" t="s">
        <v>206</v>
      </c>
      <c r="BH748" s="7" t="s">
        <v>206</v>
      </c>
      <c r="BI748" s="7"/>
      <c r="BJ748" s="4">
        <v>21</v>
      </c>
      <c r="BK748" s="8">
        <v>442.55</v>
      </c>
      <c r="BL748" s="2" t="s">
        <v>4703</v>
      </c>
      <c r="BM748" s="7"/>
      <c r="BN748" s="7"/>
      <c r="BO748" s="4"/>
      <c r="BP748" s="8"/>
      <c r="BQ748" s="4"/>
      <c r="BR748" s="8"/>
      <c r="BS748" s="7"/>
      <c r="BT748" s="7"/>
      <c r="BU748" s="2" t="s">
        <v>4704</v>
      </c>
      <c r="BV748" s="2" t="s">
        <v>206</v>
      </c>
      <c r="BW748" s="2" t="s">
        <v>206</v>
      </c>
      <c r="BX748" s="2" t="s">
        <v>426</v>
      </c>
      <c r="BY748" s="2" t="s">
        <v>215</v>
      </c>
      <c r="BZ748" s="2" t="s">
        <v>203</v>
      </c>
      <c r="CA748" s="2" t="s">
        <v>4692</v>
      </c>
      <c r="CB748" s="2" t="s">
        <v>501</v>
      </c>
      <c r="CC748" s="2" t="s">
        <v>218</v>
      </c>
      <c r="CD748" s="2" t="s">
        <v>206</v>
      </c>
      <c r="CE748" s="4">
        <v>450</v>
      </c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>
        <v>56</v>
      </c>
      <c r="CW748" s="4"/>
      <c r="CX748" s="4"/>
      <c r="CY748" s="4"/>
      <c r="CZ748" s="4"/>
      <c r="DA748" s="4"/>
      <c r="DB748" s="4"/>
      <c r="DC748" s="4"/>
      <c r="DD748" s="4"/>
      <c r="DE748" s="4"/>
      <c r="DF748" s="4"/>
      <c r="DG748" s="4"/>
      <c r="DH748" s="4"/>
      <c r="DI748" s="4"/>
      <c r="DJ748" s="4"/>
      <c r="DK748" s="4"/>
      <c r="DL748" s="4"/>
      <c r="DM748" s="4"/>
      <c r="DN748" s="4"/>
      <c r="DO748" s="4"/>
      <c r="DP748" s="4"/>
      <c r="DQ748" s="4"/>
      <c r="DR748" s="4"/>
      <c r="DS748" s="4"/>
      <c r="DT748" s="4"/>
      <c r="DU748" s="4"/>
      <c r="DV748" s="4"/>
      <c r="DW748" s="4"/>
      <c r="DX748" s="4"/>
      <c r="DY748" s="4"/>
      <c r="DZ748" s="4"/>
      <c r="EA748" s="4"/>
      <c r="EB748" s="4"/>
      <c r="EC748" s="4"/>
      <c r="ED748" s="4"/>
      <c r="EE748" s="4"/>
      <c r="EF748" s="4"/>
      <c r="EG748" s="4"/>
      <c r="EH748" s="4"/>
      <c r="EI748" s="4"/>
      <c r="EJ748" s="4"/>
      <c r="EK748" s="4"/>
      <c r="EL748" s="4">
        <v>328</v>
      </c>
      <c r="EM748" s="4"/>
      <c r="EN748" s="4"/>
      <c r="EO748" s="4"/>
      <c r="EP748" s="4"/>
      <c r="EQ748" s="4"/>
      <c r="ER748" s="4"/>
      <c r="ES748" s="4"/>
      <c r="ET748" s="4"/>
      <c r="EU748" s="4"/>
      <c r="EV748" s="4"/>
      <c r="EW748" s="4"/>
      <c r="EX748" s="4"/>
      <c r="EY748" s="4"/>
      <c r="EZ748" s="4"/>
      <c r="FA748" s="4"/>
      <c r="FB748" s="4"/>
      <c r="FC748" s="4"/>
      <c r="FD748" s="4"/>
      <c r="FE748" s="4"/>
      <c r="FF748" s="4"/>
      <c r="FG748" s="4"/>
      <c r="FH748" s="4"/>
      <c r="FI748" s="4"/>
      <c r="FJ748" s="4"/>
      <c r="FK748" s="4"/>
      <c r="FL748" s="4"/>
      <c r="FM748" s="4"/>
      <c r="FN748" s="4"/>
      <c r="FO748" s="4"/>
      <c r="FP748" s="4"/>
      <c r="FQ748" s="4"/>
      <c r="FR748" s="4"/>
      <c r="FS748" s="4"/>
      <c r="FT748" s="4"/>
      <c r="FU748" s="4"/>
      <c r="FV748" s="4"/>
      <c r="FW748" s="4"/>
      <c r="FX748" s="4"/>
      <c r="FY748" s="4"/>
      <c r="FZ748" s="4"/>
      <c r="GA748" s="4"/>
      <c r="GB748" s="4"/>
      <c r="GC748" s="4"/>
      <c r="GD748" s="4"/>
      <c r="GE748" s="4"/>
      <c r="GF748" s="4"/>
    </row>
    <row r="749">
      <c r="A749" s="2" t="s">
        <v>4705</v>
      </c>
      <c r="B749" s="2" t="s">
        <v>546</v>
      </c>
      <c r="C749" s="2" t="s">
        <v>1145</v>
      </c>
      <c r="D749" s="2" t="s">
        <v>548</v>
      </c>
      <c r="E749" s="2" t="s">
        <v>549</v>
      </c>
      <c r="F749" s="2" t="s">
        <v>4673</v>
      </c>
      <c r="G749" s="2" t="s">
        <v>3651</v>
      </c>
      <c r="H749" s="2" t="s">
        <v>4674</v>
      </c>
      <c r="I749" s="2" t="s">
        <v>4695</v>
      </c>
      <c r="J749" s="2" t="s">
        <v>582</v>
      </c>
      <c r="K749" s="2" t="s">
        <v>4706</v>
      </c>
      <c r="L749" s="3">
        <v>35.88</v>
      </c>
      <c r="M749" s="3">
        <v>37.67</v>
      </c>
      <c r="N749" s="3">
        <v>77.99</v>
      </c>
      <c r="O749" s="2" t="s">
        <v>203</v>
      </c>
      <c r="P749" s="2" t="s">
        <v>492</v>
      </c>
      <c r="Q749" s="2" t="s">
        <v>205</v>
      </c>
      <c r="R749" s="2" t="s">
        <v>206</v>
      </c>
      <c r="S749" s="2" t="s">
        <v>4707</v>
      </c>
      <c r="T749" s="2" t="s">
        <v>292</v>
      </c>
      <c r="U749" s="2" t="s">
        <v>1177</v>
      </c>
      <c r="V749" s="2" t="s">
        <v>809</v>
      </c>
      <c r="W749" s="2" t="s">
        <v>439</v>
      </c>
      <c r="X749" s="2" t="s">
        <v>914</v>
      </c>
      <c r="Y749" s="2" t="s">
        <v>2281</v>
      </c>
      <c r="Z749" s="4">
        <v>147</v>
      </c>
      <c r="AA749" s="4">
        <f>=ROUNDDOWN(36.75,0)</f>
      </c>
      <c r="AB749" s="5">
        <v>4</v>
      </c>
      <c r="AC749" s="2" t="s">
        <v>115</v>
      </c>
      <c r="AD749" s="4">
        <v>60</v>
      </c>
      <c r="AE749" s="4">
        <v>60</v>
      </c>
      <c r="AF749" s="6">
        <v>64</v>
      </c>
      <c r="AG749" s="6">
        <v>47</v>
      </c>
      <c r="AH749" s="7">
        <v>1</v>
      </c>
      <c r="AI749" s="4"/>
      <c r="AJ749" s="4">
        <f>=ROUNDDOWN({0},0)</f>
      </c>
      <c r="AK749" s="5"/>
      <c r="AL749" s="2" t="s">
        <v>206</v>
      </c>
      <c r="AM749" s="4"/>
      <c r="AN749" s="4"/>
      <c r="AO749" s="7"/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 t="s">
        <v>206</v>
      </c>
      <c r="BD749" s="8" t="s">
        <v>206</v>
      </c>
      <c r="BE749" s="4" t="s">
        <v>206</v>
      </c>
      <c r="BF749" s="8" t="s">
        <v>206</v>
      </c>
      <c r="BG749" s="7" t="s">
        <v>206</v>
      </c>
      <c r="BH749" s="7" t="s">
        <v>206</v>
      </c>
      <c r="BI749" s="7"/>
      <c r="BJ749" s="4">
        <v>11</v>
      </c>
      <c r="BK749" s="8">
        <v>400.23</v>
      </c>
      <c r="BL749" s="2" t="s">
        <v>4697</v>
      </c>
      <c r="BM749" s="7"/>
      <c r="BN749" s="7"/>
      <c r="BO749" s="4"/>
      <c r="BP749" s="8"/>
      <c r="BQ749" s="4"/>
      <c r="BR749" s="8"/>
      <c r="BS749" s="7"/>
      <c r="BT749" s="7"/>
      <c r="BU749" s="2" t="s">
        <v>4708</v>
      </c>
      <c r="BV749" s="2" t="s">
        <v>206</v>
      </c>
      <c r="BW749" s="2" t="s">
        <v>206</v>
      </c>
      <c r="BX749" s="2" t="s">
        <v>214</v>
      </c>
      <c r="BY749" s="2" t="s">
        <v>215</v>
      </c>
      <c r="BZ749" s="2" t="s">
        <v>203</v>
      </c>
      <c r="CA749" s="2" t="s">
        <v>2131</v>
      </c>
      <c r="CB749" s="2" t="s">
        <v>4709</v>
      </c>
      <c r="CC749" s="2" t="s">
        <v>218</v>
      </c>
      <c r="CD749" s="2" t="s">
        <v>206</v>
      </c>
      <c r="CE749" s="4">
        <v>91</v>
      </c>
      <c r="CF749" s="4"/>
      <c r="CG749" s="4"/>
      <c r="CH749" s="4">
        <v>56</v>
      </c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>
        <v>60</v>
      </c>
      <c r="DD749" s="4"/>
      <c r="DE749" s="4"/>
      <c r="DF749" s="4"/>
      <c r="DG749" s="4"/>
      <c r="DH749" s="4"/>
      <c r="DI749" s="4"/>
      <c r="DJ749" s="4"/>
      <c r="DK749" s="4"/>
      <c r="DL749" s="4"/>
      <c r="DM749" s="4"/>
      <c r="DN749" s="4"/>
      <c r="DO749" s="4"/>
      <c r="DP749" s="4"/>
      <c r="DQ749" s="4"/>
      <c r="DR749" s="4"/>
      <c r="DS749" s="4"/>
      <c r="DT749" s="4"/>
      <c r="DU749" s="4"/>
      <c r="DV749" s="4"/>
      <c r="DW749" s="4"/>
      <c r="DX749" s="4"/>
      <c r="DY749" s="4"/>
      <c r="DZ749" s="4"/>
      <c r="EA749" s="4"/>
      <c r="EB749" s="4"/>
      <c r="EC749" s="4"/>
      <c r="ED749" s="4"/>
      <c r="EE749" s="4"/>
      <c r="EF749" s="4"/>
      <c r="EG749" s="4"/>
      <c r="EH749" s="4"/>
      <c r="EI749" s="4"/>
      <c r="EJ749" s="4"/>
      <c r="EK749" s="4"/>
      <c r="EL749" s="4"/>
      <c r="EM749" s="4"/>
      <c r="EN749" s="4"/>
      <c r="EO749" s="4"/>
      <c r="EP749" s="4"/>
      <c r="EQ749" s="4"/>
      <c r="ER749" s="4"/>
      <c r="ES749" s="4"/>
      <c r="ET749" s="4"/>
      <c r="EU749" s="4"/>
      <c r="EV749" s="4"/>
      <c r="EW749" s="4"/>
      <c r="EX749" s="4"/>
      <c r="EY749" s="4"/>
      <c r="EZ749" s="4"/>
      <c r="FA749" s="4"/>
      <c r="FB749" s="4"/>
      <c r="FC749" s="4"/>
      <c r="FD749" s="4"/>
      <c r="FE749" s="4"/>
      <c r="FF749" s="4"/>
      <c r="FG749" s="4"/>
      <c r="FH749" s="4"/>
      <c r="FI749" s="4"/>
      <c r="FJ749" s="4"/>
      <c r="FK749" s="4"/>
      <c r="FL749" s="4"/>
      <c r="FM749" s="4"/>
      <c r="FN749" s="4"/>
      <c r="FO749" s="4"/>
      <c r="FP749" s="4"/>
      <c r="FQ749" s="4"/>
      <c r="FR749" s="4"/>
      <c r="FS749" s="4"/>
      <c r="FT749" s="4"/>
      <c r="FU749" s="4"/>
      <c r="FV749" s="4"/>
      <c r="FW749" s="4"/>
      <c r="FX749" s="4"/>
      <c r="FY749" s="4"/>
      <c r="FZ749" s="4"/>
      <c r="GA749" s="4"/>
      <c r="GB749" s="4"/>
      <c r="GC749" s="4"/>
      <c r="GD749" s="4"/>
      <c r="GE749" s="4"/>
      <c r="GF749" s="4"/>
    </row>
    <row r="750">
      <c r="A750" s="2" t="s">
        <v>4710</v>
      </c>
      <c r="B750" s="2" t="s">
        <v>546</v>
      </c>
      <c r="C750" s="2" t="s">
        <v>1145</v>
      </c>
      <c r="D750" s="2" t="s">
        <v>529</v>
      </c>
      <c r="E750" s="2" t="s">
        <v>816</v>
      </c>
      <c r="F750" s="2" t="s">
        <v>4673</v>
      </c>
      <c r="G750" s="2" t="s">
        <v>3651</v>
      </c>
      <c r="H750" s="2" t="s">
        <v>4674</v>
      </c>
      <c r="I750" s="2" t="s">
        <v>4683</v>
      </c>
      <c r="J750" s="2" t="s">
        <v>821</v>
      </c>
      <c r="K750" s="2" t="s">
        <v>3463</v>
      </c>
      <c r="L750" s="3">
        <v>35.19</v>
      </c>
      <c r="M750" s="3">
        <v>36.95</v>
      </c>
      <c r="N750" s="3">
        <v>69.99</v>
      </c>
      <c r="O750" s="2" t="s">
        <v>203</v>
      </c>
      <c r="P750" s="2" t="s">
        <v>204</v>
      </c>
      <c r="Q750" s="2" t="s">
        <v>205</v>
      </c>
      <c r="R750" s="2" t="s">
        <v>206</v>
      </c>
      <c r="S750" s="2" t="s">
        <v>4711</v>
      </c>
      <c r="T750" s="2" t="s">
        <v>292</v>
      </c>
      <c r="U750" s="2" t="s">
        <v>235</v>
      </c>
      <c r="V750" s="2" t="s">
        <v>809</v>
      </c>
      <c r="W750" s="2" t="s">
        <v>439</v>
      </c>
      <c r="X750" s="2" t="s">
        <v>914</v>
      </c>
      <c r="Y750" s="2" t="s">
        <v>4712</v>
      </c>
      <c r="Z750" s="4">
        <v>214</v>
      </c>
      <c r="AA750" s="4">
        <f>=ROUNDDOWN(35.6666666666667,0)</f>
      </c>
      <c r="AB750" s="5">
        <v>6</v>
      </c>
      <c r="AC750" s="2" t="s">
        <v>115</v>
      </c>
      <c r="AD750" s="4">
        <v>120</v>
      </c>
      <c r="AE750" s="4">
        <v>120</v>
      </c>
      <c r="AF750" s="6">
        <v>64</v>
      </c>
      <c r="AG750" s="6"/>
      <c r="AH750" s="7">
        <v>1</v>
      </c>
      <c r="AI750" s="4"/>
      <c r="AJ750" s="4">
        <f>=ROUNDDOWN({0},0)</f>
      </c>
      <c r="AK750" s="5"/>
      <c r="AL750" s="2" t="s">
        <v>206</v>
      </c>
      <c r="AM750" s="4"/>
      <c r="AN750" s="4"/>
      <c r="AO750" s="7"/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 t="s">
        <v>206</v>
      </c>
      <c r="BD750" s="8" t="s">
        <v>206</v>
      </c>
      <c r="BE750" s="4" t="s">
        <v>206</v>
      </c>
      <c r="BF750" s="8" t="s">
        <v>206</v>
      </c>
      <c r="BG750" s="7" t="s">
        <v>206</v>
      </c>
      <c r="BH750" s="7" t="s">
        <v>206</v>
      </c>
      <c r="BI750" s="7"/>
      <c r="BJ750" s="4">
        <v>8</v>
      </c>
      <c r="BK750" s="8">
        <v>278.69</v>
      </c>
      <c r="BL750" s="2" t="s">
        <v>256</v>
      </c>
      <c r="BM750" s="7"/>
      <c r="BN750" s="7"/>
      <c r="BO750" s="4"/>
      <c r="BP750" s="8"/>
      <c r="BQ750" s="4"/>
      <c r="BR750" s="8"/>
      <c r="BS750" s="7"/>
      <c r="BT750" s="7"/>
      <c r="BU750" s="2" t="s">
        <v>4713</v>
      </c>
      <c r="BV750" s="2" t="s">
        <v>206</v>
      </c>
      <c r="BW750" s="2" t="s">
        <v>206</v>
      </c>
      <c r="BX750" s="2" t="s">
        <v>850</v>
      </c>
      <c r="BY750" s="2" t="s">
        <v>215</v>
      </c>
      <c r="BZ750" s="2" t="s">
        <v>203</v>
      </c>
      <c r="CA750" s="2" t="s">
        <v>4714</v>
      </c>
      <c r="CB750" s="2" t="s">
        <v>1794</v>
      </c>
      <c r="CC750" s="2" t="s">
        <v>218</v>
      </c>
      <c r="CD750" s="2" t="s">
        <v>206</v>
      </c>
      <c r="CE750" s="4">
        <v>214</v>
      </c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>
        <v>120</v>
      </c>
      <c r="DD750" s="4"/>
      <c r="DE750" s="4"/>
      <c r="DF750" s="4"/>
      <c r="DG750" s="4"/>
      <c r="DH750" s="4"/>
      <c r="DI750" s="4"/>
      <c r="DJ750" s="4"/>
      <c r="DK750" s="4"/>
      <c r="DL750" s="4"/>
      <c r="DM750" s="4"/>
      <c r="DN750" s="4"/>
      <c r="DO750" s="4"/>
      <c r="DP750" s="4"/>
      <c r="DQ750" s="4"/>
      <c r="DR750" s="4"/>
      <c r="DS750" s="4"/>
      <c r="DT750" s="4"/>
      <c r="DU750" s="4"/>
      <c r="DV750" s="4"/>
      <c r="DW750" s="4"/>
      <c r="DX750" s="4"/>
      <c r="DY750" s="4"/>
      <c r="DZ750" s="4"/>
      <c r="EA750" s="4"/>
      <c r="EB750" s="4"/>
      <c r="EC750" s="4"/>
      <c r="ED750" s="4"/>
      <c r="EE750" s="4"/>
      <c r="EF750" s="4"/>
      <c r="EG750" s="4"/>
      <c r="EH750" s="4"/>
      <c r="EI750" s="4"/>
      <c r="EJ750" s="4"/>
      <c r="EK750" s="4"/>
      <c r="EL750" s="4"/>
      <c r="EM750" s="4"/>
      <c r="EN750" s="4"/>
      <c r="EO750" s="4"/>
      <c r="EP750" s="4"/>
      <c r="EQ750" s="4"/>
      <c r="ER750" s="4"/>
      <c r="ES750" s="4"/>
      <c r="ET750" s="4"/>
      <c r="EU750" s="4"/>
      <c r="EV750" s="4"/>
      <c r="EW750" s="4"/>
      <c r="EX750" s="4"/>
      <c r="EY750" s="4"/>
      <c r="EZ750" s="4"/>
      <c r="FA750" s="4"/>
      <c r="FB750" s="4"/>
      <c r="FC750" s="4"/>
      <c r="FD750" s="4"/>
      <c r="FE750" s="4"/>
      <c r="FF750" s="4"/>
      <c r="FG750" s="4"/>
      <c r="FH750" s="4"/>
      <c r="FI750" s="4"/>
      <c r="FJ750" s="4"/>
      <c r="FK750" s="4"/>
      <c r="FL750" s="4"/>
      <c r="FM750" s="4"/>
      <c r="FN750" s="4"/>
      <c r="FO750" s="4"/>
      <c r="FP750" s="4"/>
      <c r="FQ750" s="4"/>
      <c r="FR750" s="4"/>
      <c r="FS750" s="4"/>
      <c r="FT750" s="4"/>
      <c r="FU750" s="4"/>
      <c r="FV750" s="4"/>
      <c r="FW750" s="4"/>
      <c r="FX750" s="4"/>
      <c r="FY750" s="4"/>
      <c r="FZ750" s="4"/>
      <c r="GA750" s="4"/>
      <c r="GB750" s="4"/>
      <c r="GC750" s="4"/>
      <c r="GD750" s="4"/>
      <c r="GE750" s="4"/>
      <c r="GF750" s="4"/>
    </row>
    <row r="751">
      <c r="A751" s="2" t="s">
        <v>4715</v>
      </c>
      <c r="B751" s="2" t="s">
        <v>507</v>
      </c>
      <c r="C751" s="2" t="s">
        <v>828</v>
      </c>
      <c r="D751" s="2" t="s">
        <v>508</v>
      </c>
      <c r="E751" s="2" t="s">
        <v>509</v>
      </c>
      <c r="F751" s="2" t="s">
        <v>4716</v>
      </c>
      <c r="G751" s="2" t="s">
        <v>4716</v>
      </c>
      <c r="H751" s="2" t="s">
        <v>4716</v>
      </c>
      <c r="I751" s="2" t="s">
        <v>4717</v>
      </c>
      <c r="J751" s="2" t="s">
        <v>434</v>
      </c>
      <c r="K751" s="2" t="s">
        <v>4718</v>
      </c>
      <c r="L751" s="3">
        <v>33.11</v>
      </c>
      <c r="M751" s="3">
        <v>34.77</v>
      </c>
      <c r="N751" s="3">
        <v>74.99</v>
      </c>
      <c r="O751" s="2" t="s">
        <v>203</v>
      </c>
      <c r="P751" s="2" t="s">
        <v>204</v>
      </c>
      <c r="Q751" s="2" t="s">
        <v>205</v>
      </c>
      <c r="R751" s="2" t="s">
        <v>206</v>
      </c>
      <c r="S751" s="2" t="s">
        <v>206</v>
      </c>
      <c r="T751" s="2" t="s">
        <v>206</v>
      </c>
      <c r="U751" s="2" t="s">
        <v>437</v>
      </c>
      <c r="V751" s="2" t="s">
        <v>209</v>
      </c>
      <c r="W751" s="2" t="s">
        <v>210</v>
      </c>
      <c r="X751" s="2" t="s">
        <v>206</v>
      </c>
      <c r="Y751" s="2" t="s">
        <v>4719</v>
      </c>
      <c r="Z751" s="4">
        <v>118</v>
      </c>
      <c r="AA751" s="4">
        <f>=ROUNDDOWN(29.5,0)</f>
      </c>
      <c r="AB751" s="5">
        <v>4</v>
      </c>
      <c r="AC751" s="2" t="s">
        <v>206</v>
      </c>
      <c r="AD751" s="4"/>
      <c r="AE751" s="4"/>
      <c r="AF751" s="6">
        <v>65</v>
      </c>
      <c r="AG751" s="6"/>
      <c r="AH751" s="7">
        <v>1</v>
      </c>
      <c r="AI751" s="4"/>
      <c r="AJ751" s="4">
        <f>=ROUNDDOWN({0},0)</f>
      </c>
      <c r="AK751" s="5"/>
      <c r="AL751" s="2" t="s">
        <v>206</v>
      </c>
      <c r="AM751" s="4"/>
      <c r="AN751" s="4"/>
      <c r="AO751" s="7"/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>
        <v>20</v>
      </c>
      <c r="BK751" s="8">
        <v>691.75</v>
      </c>
      <c r="BL751" s="2" t="s">
        <v>4720</v>
      </c>
      <c r="BM751" s="7"/>
      <c r="BN751" s="7"/>
      <c r="BO751" s="4"/>
      <c r="BP751" s="8"/>
      <c r="BQ751" s="4"/>
      <c r="BR751" s="8"/>
      <c r="BS751" s="7"/>
      <c r="BT751" s="7"/>
      <c r="BU751" s="2" t="s">
        <v>4721</v>
      </c>
      <c r="BV751" s="2" t="s">
        <v>206</v>
      </c>
      <c r="BW751" s="2" t="s">
        <v>206</v>
      </c>
      <c r="BX751" s="2" t="s">
        <v>214</v>
      </c>
      <c r="BY751" s="2" t="s">
        <v>215</v>
      </c>
      <c r="BZ751" s="2" t="s">
        <v>203</v>
      </c>
      <c r="CA751" s="2" t="s">
        <v>2025</v>
      </c>
      <c r="CB751" s="2" t="s">
        <v>4722</v>
      </c>
      <c r="CC751" s="2" t="s">
        <v>218</v>
      </c>
      <c r="CD751" s="2" t="s">
        <v>206</v>
      </c>
      <c r="CE751" s="4"/>
      <c r="CF751" s="4">
        <v>118</v>
      </c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  <c r="DE751" s="4"/>
      <c r="DF751" s="4"/>
      <c r="DG751" s="4"/>
      <c r="DH751" s="4"/>
      <c r="DI751" s="4"/>
      <c r="DJ751" s="4"/>
      <c r="DK751" s="4"/>
      <c r="DL751" s="4"/>
      <c r="DM751" s="4"/>
      <c r="DN751" s="4"/>
      <c r="DO751" s="4"/>
      <c r="DP751" s="4"/>
      <c r="DQ751" s="4"/>
      <c r="DR751" s="4"/>
      <c r="DS751" s="4"/>
      <c r="DT751" s="4"/>
      <c r="DU751" s="4"/>
      <c r="DV751" s="4"/>
      <c r="DW751" s="4"/>
      <c r="DX751" s="4"/>
      <c r="DY751" s="4"/>
      <c r="DZ751" s="4"/>
      <c r="EA751" s="4"/>
      <c r="EB751" s="4"/>
      <c r="EC751" s="4"/>
      <c r="ED751" s="4"/>
      <c r="EE751" s="4"/>
      <c r="EF751" s="4"/>
      <c r="EG751" s="4"/>
      <c r="EH751" s="4"/>
      <c r="EI751" s="4"/>
      <c r="EJ751" s="4"/>
      <c r="EK751" s="4"/>
      <c r="EL751" s="4"/>
      <c r="EM751" s="4"/>
      <c r="EN751" s="4"/>
      <c r="EO751" s="4"/>
      <c r="EP751" s="4"/>
      <c r="EQ751" s="4"/>
      <c r="ER751" s="4"/>
      <c r="ES751" s="4"/>
      <c r="ET751" s="4"/>
      <c r="EU751" s="4"/>
      <c r="EV751" s="4"/>
      <c r="EW751" s="4"/>
      <c r="EX751" s="4"/>
      <c r="EY751" s="4"/>
      <c r="EZ751" s="4"/>
      <c r="FA751" s="4"/>
      <c r="FB751" s="4"/>
      <c r="FC751" s="4"/>
      <c r="FD751" s="4"/>
      <c r="FE751" s="4"/>
      <c r="FF751" s="4"/>
      <c r="FG751" s="4"/>
      <c r="FH751" s="4"/>
      <c r="FI751" s="4"/>
      <c r="FJ751" s="4"/>
      <c r="FK751" s="4"/>
      <c r="FL751" s="4"/>
      <c r="FM751" s="4"/>
      <c r="FN751" s="4"/>
      <c r="FO751" s="4"/>
      <c r="FP751" s="4"/>
      <c r="FQ751" s="4"/>
      <c r="FR751" s="4"/>
      <c r="FS751" s="4"/>
      <c r="FT751" s="4"/>
      <c r="FU751" s="4"/>
      <c r="FV751" s="4"/>
      <c r="FW751" s="4"/>
      <c r="FX751" s="4"/>
      <c r="FY751" s="4"/>
      <c r="FZ751" s="4"/>
      <c r="GA751" s="4"/>
      <c r="GB751" s="4"/>
      <c r="GC751" s="4"/>
      <c r="GD751" s="4"/>
      <c r="GE751" s="4"/>
      <c r="GF751" s="4"/>
    </row>
    <row r="752">
      <c r="A752" s="2" t="s">
        <v>4723</v>
      </c>
      <c r="B752" s="2" t="s">
        <v>195</v>
      </c>
      <c r="C752" s="2" t="s">
        <v>196</v>
      </c>
      <c r="D752" s="2" t="s">
        <v>1121</v>
      </c>
      <c r="E752" s="2" t="s">
        <v>4724</v>
      </c>
      <c r="F752" s="2" t="s">
        <v>4725</v>
      </c>
      <c r="G752" s="2" t="s">
        <v>4725</v>
      </c>
      <c r="H752" s="2" t="s">
        <v>4725</v>
      </c>
      <c r="I752" s="2" t="s">
        <v>4726</v>
      </c>
      <c r="J752" s="2" t="s">
        <v>4727</v>
      </c>
      <c r="K752" s="2" t="s">
        <v>353</v>
      </c>
      <c r="L752" s="3">
        <v>25.3</v>
      </c>
      <c r="M752" s="3">
        <v>26.56</v>
      </c>
      <c r="N752" s="3">
        <v>54.99</v>
      </c>
      <c r="O752" s="2" t="s">
        <v>203</v>
      </c>
      <c r="P752" s="2" t="s">
        <v>204</v>
      </c>
      <c r="Q752" s="2" t="s">
        <v>205</v>
      </c>
      <c r="R752" s="2" t="s">
        <v>206</v>
      </c>
      <c r="S752" s="2" t="s">
        <v>4728</v>
      </c>
      <c r="T752" s="2" t="s">
        <v>206</v>
      </c>
      <c r="U752" s="2" t="s">
        <v>206</v>
      </c>
      <c r="V752" s="2" t="s">
        <v>209</v>
      </c>
      <c r="W752" s="2" t="s">
        <v>4729</v>
      </c>
      <c r="X752" s="2" t="s">
        <v>206</v>
      </c>
      <c r="Y752" s="2" t="s">
        <v>4730</v>
      </c>
      <c r="Z752" s="4">
        <v>89</v>
      </c>
      <c r="AA752" s="4">
        <f>=ROUNDDOWN(4.45,0)</f>
      </c>
      <c r="AB752" s="5">
        <v>20</v>
      </c>
      <c r="AC752" s="2" t="s">
        <v>109</v>
      </c>
      <c r="AD752" s="4">
        <v>200</v>
      </c>
      <c r="AE752" s="4">
        <v>700</v>
      </c>
      <c r="AF752" s="6">
        <v>65</v>
      </c>
      <c r="AG752" s="6"/>
      <c r="AH752" s="7">
        <v>1</v>
      </c>
      <c r="AI752" s="4"/>
      <c r="AJ752" s="4">
        <f>=ROUNDDOWN({0},0)</f>
      </c>
      <c r="AK752" s="5"/>
      <c r="AL752" s="2" t="s">
        <v>206</v>
      </c>
      <c r="AM752" s="4"/>
      <c r="AN752" s="4"/>
      <c r="AO752" s="7"/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>
        <v>180</v>
      </c>
      <c r="BK752" s="8">
        <v>4716.43</v>
      </c>
      <c r="BL752" s="2" t="s">
        <v>4731</v>
      </c>
      <c r="BM752" s="7"/>
      <c r="BN752" s="7"/>
      <c r="BO752" s="4"/>
      <c r="BP752" s="8"/>
      <c r="BQ752" s="4"/>
      <c r="BR752" s="8"/>
      <c r="BS752" s="7"/>
      <c r="BT752" s="7"/>
      <c r="BU752" s="2" t="s">
        <v>4732</v>
      </c>
      <c r="BV752" s="2" t="s">
        <v>206</v>
      </c>
      <c r="BW752" s="2" t="s">
        <v>206</v>
      </c>
      <c r="BX752" s="2" t="s">
        <v>214</v>
      </c>
      <c r="BY752" s="2" t="s">
        <v>215</v>
      </c>
      <c r="BZ752" s="2" t="s">
        <v>203</v>
      </c>
      <c r="CA752" s="2" t="s">
        <v>996</v>
      </c>
      <c r="CB752" s="2" t="s">
        <v>4733</v>
      </c>
      <c r="CC752" s="2" t="s">
        <v>218</v>
      </c>
      <c r="CD752" s="2" t="s">
        <v>206</v>
      </c>
      <c r="CE752" s="4">
        <v>89</v>
      </c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>
        <v>200</v>
      </c>
      <c r="CV752" s="4"/>
      <c r="CW752" s="4"/>
      <c r="CX752" s="4"/>
      <c r="CY752" s="4"/>
      <c r="CZ752" s="4"/>
      <c r="DA752" s="4"/>
      <c r="DB752" s="4"/>
      <c r="DC752" s="4"/>
      <c r="DD752" s="4"/>
      <c r="DE752" s="4"/>
      <c r="DF752" s="4"/>
      <c r="DG752" s="4">
        <v>150</v>
      </c>
      <c r="DH752" s="4"/>
      <c r="DI752" s="4"/>
      <c r="DJ752" s="4"/>
      <c r="DK752" s="4"/>
      <c r="DL752" s="4"/>
      <c r="DM752" s="4"/>
      <c r="DN752" s="4"/>
      <c r="DO752" s="4"/>
      <c r="DP752" s="4"/>
      <c r="DQ752" s="4"/>
      <c r="DR752" s="4"/>
      <c r="DS752" s="4"/>
      <c r="DT752" s="4"/>
      <c r="DU752" s="4"/>
      <c r="DV752" s="4"/>
      <c r="DW752" s="4"/>
      <c r="DX752" s="4">
        <v>100</v>
      </c>
      <c r="DY752" s="4"/>
      <c r="DZ752" s="4"/>
      <c r="EA752" s="4"/>
      <c r="EB752" s="4"/>
      <c r="EC752" s="4"/>
      <c r="ED752" s="4"/>
      <c r="EE752" s="4"/>
      <c r="EF752" s="4"/>
      <c r="EG752" s="4"/>
      <c r="EH752" s="4"/>
      <c r="EI752" s="4"/>
      <c r="EJ752" s="4"/>
      <c r="EK752" s="4"/>
      <c r="EL752" s="4"/>
      <c r="EM752" s="4"/>
      <c r="EN752" s="4"/>
      <c r="EO752" s="4"/>
      <c r="EP752" s="4"/>
      <c r="EQ752" s="4"/>
      <c r="ER752" s="4"/>
      <c r="ES752" s="4"/>
      <c r="ET752" s="4"/>
      <c r="EU752" s="4"/>
      <c r="EV752" s="4"/>
      <c r="EW752" s="4"/>
      <c r="EX752" s="4"/>
      <c r="EY752" s="4"/>
      <c r="EZ752" s="4"/>
      <c r="FA752" s="4"/>
      <c r="FB752" s="4"/>
      <c r="FC752" s="4"/>
      <c r="FD752" s="4"/>
      <c r="FE752" s="4"/>
      <c r="FF752" s="4"/>
      <c r="FG752" s="4"/>
      <c r="FH752" s="4">
        <v>250</v>
      </c>
      <c r="FI752" s="4"/>
      <c r="FJ752" s="4"/>
      <c r="FK752" s="4"/>
      <c r="FL752" s="4"/>
      <c r="FM752" s="4"/>
      <c r="FN752" s="4"/>
      <c r="FO752" s="4"/>
      <c r="FP752" s="4"/>
      <c r="FQ752" s="4"/>
      <c r="FR752" s="4"/>
      <c r="FS752" s="4"/>
      <c r="FT752" s="4"/>
      <c r="FU752" s="4"/>
      <c r="FV752" s="4"/>
      <c r="FW752" s="4"/>
      <c r="FX752" s="4"/>
      <c r="FY752" s="4"/>
      <c r="FZ752" s="4"/>
      <c r="GA752" s="4"/>
      <c r="GB752" s="4"/>
      <c r="GC752" s="4"/>
      <c r="GD752" s="4"/>
      <c r="GE752" s="4"/>
      <c r="GF752" s="4"/>
    </row>
    <row r="753">
      <c r="A753" s="2" t="s">
        <v>4734</v>
      </c>
      <c r="B753" s="2" t="s">
        <v>461</v>
      </c>
      <c r="C753" s="2" t="s">
        <v>462</v>
      </c>
      <c r="D753" s="2" t="s">
        <v>3436</v>
      </c>
      <c r="E753" s="2" t="s">
        <v>3437</v>
      </c>
      <c r="F753" s="2" t="s">
        <v>4735</v>
      </c>
      <c r="G753" s="2" t="s">
        <v>4735</v>
      </c>
      <c r="H753" s="2" t="s">
        <v>206</v>
      </c>
      <c r="I753" s="2" t="s">
        <v>4736</v>
      </c>
      <c r="J753" s="2" t="s">
        <v>434</v>
      </c>
      <c r="K753" s="2" t="s">
        <v>4737</v>
      </c>
      <c r="L753" s="3">
        <v>120</v>
      </c>
      <c r="M753" s="3">
        <v>126</v>
      </c>
      <c r="N753" s="3">
        <v>249</v>
      </c>
      <c r="O753" s="2" t="s">
        <v>203</v>
      </c>
      <c r="P753" s="2" t="s">
        <v>204</v>
      </c>
      <c r="Q753" s="2" t="s">
        <v>205</v>
      </c>
      <c r="R753" s="2" t="s">
        <v>206</v>
      </c>
      <c r="S753" s="2" t="s">
        <v>4738</v>
      </c>
      <c r="T753" s="2" t="s">
        <v>206</v>
      </c>
      <c r="U753" s="2" t="s">
        <v>206</v>
      </c>
      <c r="V753" s="2" t="s">
        <v>209</v>
      </c>
      <c r="W753" s="2" t="s">
        <v>1210</v>
      </c>
      <c r="X753" s="2" t="s">
        <v>206</v>
      </c>
      <c r="Y753" s="2" t="s">
        <v>211</v>
      </c>
      <c r="Z753" s="4">
        <v>128</v>
      </c>
      <c r="AA753" s="4">
        <f>=ROUNDDOWN(75.2941176470588,0)</f>
      </c>
      <c r="AB753" s="5">
        <v>1.7</v>
      </c>
      <c r="AC753" s="2" t="s">
        <v>206</v>
      </c>
      <c r="AD753" s="4"/>
      <c r="AE753" s="4"/>
      <c r="AF753" s="6">
        <v>74</v>
      </c>
      <c r="AG753" s="6">
        <v>60</v>
      </c>
      <c r="AH753" s="7">
        <v>1</v>
      </c>
      <c r="AI753" s="4"/>
      <c r="AJ753" s="4">
        <f>=ROUNDDOWN({0},0)</f>
      </c>
      <c r="AK753" s="5">
        <v>10.6</v>
      </c>
      <c r="AL753" s="2" t="s">
        <v>206</v>
      </c>
      <c r="AM753" s="4"/>
      <c r="AN753" s="4"/>
      <c r="AO753" s="7">
        <v>1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>
        <v>50</v>
      </c>
      <c r="BK753" s="8">
        <v>4188.82</v>
      </c>
      <c r="BL753" s="2" t="s">
        <v>4739</v>
      </c>
      <c r="BM753" s="7"/>
      <c r="BN753" s="7"/>
      <c r="BO753" s="4"/>
      <c r="BP753" s="8"/>
      <c r="BQ753" s="4"/>
      <c r="BR753" s="8"/>
      <c r="BS753" s="7"/>
      <c r="BT753" s="7"/>
      <c r="BU753" s="2" t="s">
        <v>4740</v>
      </c>
      <c r="BV753" s="2" t="s">
        <v>206</v>
      </c>
      <c r="BW753" s="2" t="s">
        <v>206</v>
      </c>
      <c r="BX753" s="2" t="s">
        <v>214</v>
      </c>
      <c r="BY753" s="2" t="s">
        <v>215</v>
      </c>
      <c r="BZ753" s="2" t="s">
        <v>203</v>
      </c>
      <c r="CA753" s="2" t="s">
        <v>3240</v>
      </c>
      <c r="CB753" s="2" t="s">
        <v>4741</v>
      </c>
      <c r="CC753" s="2" t="s">
        <v>218</v>
      </c>
      <c r="CD753" s="2" t="s">
        <v>206</v>
      </c>
      <c r="CE753" s="4"/>
      <c r="CF753" s="4">
        <v>128</v>
      </c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  <c r="DE753" s="4"/>
      <c r="DF753" s="4"/>
      <c r="DG753" s="4"/>
      <c r="DH753" s="4"/>
      <c r="DI753" s="4"/>
      <c r="DJ753" s="4"/>
      <c r="DK753" s="4"/>
      <c r="DL753" s="4"/>
      <c r="DM753" s="4"/>
      <c r="DN753" s="4"/>
      <c r="DO753" s="4"/>
      <c r="DP753" s="4"/>
      <c r="DQ753" s="4"/>
      <c r="DR753" s="4"/>
      <c r="DS753" s="4"/>
      <c r="DT753" s="4"/>
      <c r="DU753" s="4"/>
      <c r="DV753" s="4"/>
      <c r="DW753" s="4"/>
      <c r="DX753" s="4"/>
      <c r="DY753" s="4"/>
      <c r="DZ753" s="4"/>
      <c r="EA753" s="4"/>
      <c r="EB753" s="4"/>
      <c r="EC753" s="4"/>
      <c r="ED753" s="4"/>
      <c r="EE753" s="4"/>
      <c r="EF753" s="4"/>
      <c r="EG753" s="4"/>
      <c r="EH753" s="4"/>
      <c r="EI753" s="4"/>
      <c r="EJ753" s="4"/>
      <c r="EK753" s="4"/>
      <c r="EL753" s="4"/>
      <c r="EM753" s="4"/>
      <c r="EN753" s="4"/>
      <c r="EO753" s="4"/>
      <c r="EP753" s="4"/>
      <c r="EQ753" s="4"/>
      <c r="ER753" s="4"/>
      <c r="ES753" s="4"/>
      <c r="ET753" s="4"/>
      <c r="EU753" s="4"/>
      <c r="EV753" s="4"/>
      <c r="EW753" s="4"/>
      <c r="EX753" s="4"/>
      <c r="EY753" s="4"/>
      <c r="EZ753" s="4"/>
      <c r="FA753" s="4"/>
      <c r="FB753" s="4"/>
      <c r="FC753" s="4"/>
      <c r="FD753" s="4"/>
      <c r="FE753" s="4"/>
      <c r="FF753" s="4"/>
      <c r="FG753" s="4"/>
      <c r="FH753" s="4"/>
      <c r="FI753" s="4"/>
      <c r="FJ753" s="4"/>
      <c r="FK753" s="4"/>
      <c r="FL753" s="4"/>
      <c r="FM753" s="4"/>
      <c r="FN753" s="4"/>
      <c r="FO753" s="4"/>
      <c r="FP753" s="4"/>
      <c r="FQ753" s="4"/>
      <c r="FR753" s="4"/>
      <c r="FS753" s="4"/>
      <c r="FT753" s="4"/>
      <c r="FU753" s="4"/>
      <c r="FV753" s="4"/>
      <c r="FW753" s="4"/>
      <c r="FX753" s="4"/>
      <c r="FY753" s="4"/>
      <c r="FZ753" s="4"/>
      <c r="GA753" s="4"/>
      <c r="GB753" s="4"/>
      <c r="GC753" s="4"/>
      <c r="GD753" s="4"/>
      <c r="GE753" s="4"/>
      <c r="GF753" s="4"/>
    </row>
    <row r="754">
      <c r="A754" s="2" t="s">
        <v>4742</v>
      </c>
      <c r="B754" s="2" t="s">
        <v>528</v>
      </c>
      <c r="C754" s="2" t="s">
        <v>287</v>
      </c>
      <c r="D754" s="2" t="s">
        <v>1612</v>
      </c>
      <c r="E754" s="2" t="s">
        <v>4743</v>
      </c>
      <c r="F754" s="2" t="s">
        <v>4744</v>
      </c>
      <c r="G754" s="2" t="s">
        <v>4745</v>
      </c>
      <c r="H754" s="2" t="s">
        <v>4746</v>
      </c>
      <c r="I754" s="2" t="s">
        <v>4747</v>
      </c>
      <c r="J754" s="2" t="s">
        <v>4748</v>
      </c>
      <c r="K754" s="2" t="s">
        <v>336</v>
      </c>
      <c r="L754" s="3">
        <v>49.35</v>
      </c>
      <c r="M754" s="3">
        <v>51.81</v>
      </c>
      <c r="N754" s="3">
        <v>104.99</v>
      </c>
      <c r="O754" s="2" t="s">
        <v>203</v>
      </c>
      <c r="P754" s="2" t="s">
        <v>204</v>
      </c>
      <c r="Q754" s="2" t="s">
        <v>205</v>
      </c>
      <c r="R754" s="2" t="s">
        <v>206</v>
      </c>
      <c r="S754" s="2" t="s">
        <v>4749</v>
      </c>
      <c r="T754" s="2" t="s">
        <v>2243</v>
      </c>
      <c r="U754" s="2" t="s">
        <v>485</v>
      </c>
      <c r="V754" s="2" t="s">
        <v>698</v>
      </c>
      <c r="W754" s="2" t="s">
        <v>1152</v>
      </c>
      <c r="X754" s="2" t="s">
        <v>3764</v>
      </c>
      <c r="Y754" s="2" t="s">
        <v>3090</v>
      </c>
      <c r="Z754" s="4">
        <v>285</v>
      </c>
      <c r="AA754" s="4">
        <f>=ROUNDDOWN(47.5,0)</f>
      </c>
      <c r="AB754" s="5">
        <v>6</v>
      </c>
      <c r="AC754" s="2" t="s">
        <v>127</v>
      </c>
      <c r="AD754" s="4">
        <v>50</v>
      </c>
      <c r="AE754" s="4">
        <v>50</v>
      </c>
      <c r="AF754" s="6">
        <v>65</v>
      </c>
      <c r="AG754" s="6"/>
      <c r="AH754" s="7">
        <v>1</v>
      </c>
      <c r="AI754" s="4"/>
      <c r="AJ754" s="4">
        <f>=ROUNDDOWN({0},0)</f>
      </c>
      <c r="AK754" s="5"/>
      <c r="AL754" s="2" t="s">
        <v>206</v>
      </c>
      <c r="AM754" s="4"/>
      <c r="AN754" s="4"/>
      <c r="AO754" s="7"/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>
        <v>27</v>
      </c>
      <c r="BK754" s="8">
        <v>1468.78</v>
      </c>
      <c r="BL754" s="2" t="s">
        <v>4750</v>
      </c>
      <c r="BM754" s="7"/>
      <c r="BN754" s="7"/>
      <c r="BO754" s="4"/>
      <c r="BP754" s="8"/>
      <c r="BQ754" s="4"/>
      <c r="BR754" s="8"/>
      <c r="BS754" s="7"/>
      <c r="BT754" s="7"/>
      <c r="BU754" s="2" t="s">
        <v>4751</v>
      </c>
      <c r="BV754" s="2" t="s">
        <v>206</v>
      </c>
      <c r="BW754" s="2" t="s">
        <v>206</v>
      </c>
      <c r="BX754" s="2" t="s">
        <v>214</v>
      </c>
      <c r="BY754" s="2" t="s">
        <v>215</v>
      </c>
      <c r="BZ754" s="2" t="s">
        <v>203</v>
      </c>
      <c r="CA754" s="2" t="s">
        <v>2985</v>
      </c>
      <c r="CB754" s="2" t="s">
        <v>3331</v>
      </c>
      <c r="CC754" s="2" t="s">
        <v>218</v>
      </c>
      <c r="CD754" s="2" t="s">
        <v>206</v>
      </c>
      <c r="CE754" s="4">
        <v>83</v>
      </c>
      <c r="CF754" s="4">
        <v>202</v>
      </c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  <c r="DE754" s="4"/>
      <c r="DF754" s="4"/>
      <c r="DG754" s="4"/>
      <c r="DH754" s="4"/>
      <c r="DI754" s="4"/>
      <c r="DJ754" s="4"/>
      <c r="DK754" s="4"/>
      <c r="DL754" s="4"/>
      <c r="DM754" s="4"/>
      <c r="DN754" s="4"/>
      <c r="DO754" s="4">
        <v>50</v>
      </c>
      <c r="DP754" s="4"/>
      <c r="DQ754" s="4"/>
      <c r="DR754" s="4"/>
      <c r="DS754" s="4"/>
      <c r="DT754" s="4"/>
      <c r="DU754" s="4"/>
      <c r="DV754" s="4"/>
      <c r="DW754" s="4"/>
      <c r="DX754" s="4"/>
      <c r="DY754" s="4"/>
      <c r="DZ754" s="4"/>
      <c r="EA754" s="4"/>
      <c r="EB754" s="4"/>
      <c r="EC754" s="4"/>
      <c r="ED754" s="4"/>
      <c r="EE754" s="4"/>
      <c r="EF754" s="4"/>
      <c r="EG754" s="4"/>
      <c r="EH754" s="4"/>
      <c r="EI754" s="4"/>
      <c r="EJ754" s="4"/>
      <c r="EK754" s="4"/>
      <c r="EL754" s="4"/>
      <c r="EM754" s="4"/>
      <c r="EN754" s="4"/>
      <c r="EO754" s="4"/>
      <c r="EP754" s="4"/>
      <c r="EQ754" s="4"/>
      <c r="ER754" s="4"/>
      <c r="ES754" s="4"/>
      <c r="ET754" s="4"/>
      <c r="EU754" s="4"/>
      <c r="EV754" s="4"/>
      <c r="EW754" s="4"/>
      <c r="EX754" s="4"/>
      <c r="EY754" s="4"/>
      <c r="EZ754" s="4"/>
      <c r="FA754" s="4"/>
      <c r="FB754" s="4"/>
      <c r="FC754" s="4"/>
      <c r="FD754" s="4"/>
      <c r="FE754" s="4"/>
      <c r="FF754" s="4"/>
      <c r="FG754" s="4"/>
      <c r="FH754" s="4"/>
      <c r="FI754" s="4"/>
      <c r="FJ754" s="4"/>
      <c r="FK754" s="4"/>
      <c r="FL754" s="4"/>
      <c r="FM754" s="4"/>
      <c r="FN754" s="4"/>
      <c r="FO754" s="4"/>
      <c r="FP754" s="4"/>
      <c r="FQ754" s="4"/>
      <c r="FR754" s="4"/>
      <c r="FS754" s="4"/>
      <c r="FT754" s="4"/>
      <c r="FU754" s="4"/>
      <c r="FV754" s="4"/>
      <c r="FW754" s="4"/>
      <c r="FX754" s="4"/>
      <c r="FY754" s="4"/>
      <c r="FZ754" s="4"/>
      <c r="GA754" s="4"/>
      <c r="GB754" s="4"/>
      <c r="GC754" s="4"/>
      <c r="GD754" s="4"/>
      <c r="GE754" s="4"/>
      <c r="GF754" s="4"/>
    </row>
    <row r="755">
      <c r="A755" s="2" t="s">
        <v>4752</v>
      </c>
      <c r="B755" s="2" t="s">
        <v>546</v>
      </c>
      <c r="C755" s="2" t="s">
        <v>547</v>
      </c>
      <c r="D755" s="2" t="s">
        <v>529</v>
      </c>
      <c r="E755" s="2" t="s">
        <v>816</v>
      </c>
      <c r="F755" s="2" t="s">
        <v>4753</v>
      </c>
      <c r="G755" s="2" t="s">
        <v>4754</v>
      </c>
      <c r="H755" s="2" t="s">
        <v>4755</v>
      </c>
      <c r="I755" s="2" t="s">
        <v>820</v>
      </c>
      <c r="J755" s="2" t="s">
        <v>821</v>
      </c>
      <c r="K755" s="2" t="s">
        <v>1915</v>
      </c>
      <c r="L755" s="3">
        <v>27.6</v>
      </c>
      <c r="M755" s="3">
        <v>28.98</v>
      </c>
      <c r="N755" s="3">
        <v>59.99</v>
      </c>
      <c r="O755" s="2" t="s">
        <v>203</v>
      </c>
      <c r="P755" s="2" t="s">
        <v>204</v>
      </c>
      <c r="Q755" s="2" t="s">
        <v>205</v>
      </c>
      <c r="R755" s="2" t="s">
        <v>206</v>
      </c>
      <c r="S755" s="2" t="s">
        <v>4756</v>
      </c>
      <c r="T755" s="2" t="s">
        <v>292</v>
      </c>
      <c r="U755" s="2" t="s">
        <v>556</v>
      </c>
      <c r="V755" s="2" t="s">
        <v>538</v>
      </c>
      <c r="W755" s="2" t="s">
        <v>210</v>
      </c>
      <c r="X755" s="2" t="s">
        <v>539</v>
      </c>
      <c r="Y755" s="2" t="s">
        <v>211</v>
      </c>
      <c r="Z755" s="4">
        <v>236</v>
      </c>
      <c r="AA755" s="4">
        <f>=ROUNDDOWN(26.2222222222222,0)</f>
      </c>
      <c r="AB755" s="5">
        <v>9</v>
      </c>
      <c r="AC755" s="2" t="s">
        <v>206</v>
      </c>
      <c r="AD755" s="4"/>
      <c r="AE755" s="4"/>
      <c r="AF755" s="6">
        <v>65</v>
      </c>
      <c r="AG755" s="6"/>
      <c r="AH755" s="7">
        <v>1</v>
      </c>
      <c r="AI755" s="4"/>
      <c r="AJ755" s="4">
        <f>=ROUNDDOWN({0},0)</f>
      </c>
      <c r="AK755" s="5"/>
      <c r="AL755" s="2" t="s">
        <v>206</v>
      </c>
      <c r="AM755" s="4"/>
      <c r="AN755" s="4"/>
      <c r="AO755" s="7"/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>
        <v>61</v>
      </c>
      <c r="BK755" s="8">
        <v>1676.67</v>
      </c>
      <c r="BL755" s="2" t="s">
        <v>4757</v>
      </c>
      <c r="BM755" s="7"/>
      <c r="BN755" s="7"/>
      <c r="BO755" s="4"/>
      <c r="BP755" s="8"/>
      <c r="BQ755" s="4"/>
      <c r="BR755" s="8"/>
      <c r="BS755" s="7"/>
      <c r="BT755" s="7"/>
      <c r="BU755" s="2" t="s">
        <v>4758</v>
      </c>
      <c r="BV755" s="2" t="s">
        <v>206</v>
      </c>
      <c r="BW755" s="2" t="s">
        <v>206</v>
      </c>
      <c r="BX755" s="2" t="s">
        <v>214</v>
      </c>
      <c r="BY755" s="2" t="s">
        <v>215</v>
      </c>
      <c r="BZ755" s="2" t="s">
        <v>203</v>
      </c>
      <c r="CA755" s="2" t="s">
        <v>216</v>
      </c>
      <c r="CB755" s="2" t="s">
        <v>826</v>
      </c>
      <c r="CC755" s="2" t="s">
        <v>218</v>
      </c>
      <c r="CD755" s="2" t="s">
        <v>206</v>
      </c>
      <c r="CE755" s="4">
        <v>124</v>
      </c>
      <c r="CF755" s="4"/>
      <c r="CG755" s="4"/>
      <c r="CH755" s="4"/>
      <c r="CI755" s="4"/>
      <c r="CJ755" s="4"/>
      <c r="CK755" s="4">
        <v>112</v>
      </c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  <c r="DE755" s="4"/>
      <c r="DF755" s="4"/>
      <c r="DG755" s="4"/>
      <c r="DH755" s="4"/>
      <c r="DI755" s="4"/>
      <c r="DJ755" s="4"/>
      <c r="DK755" s="4"/>
      <c r="DL755" s="4"/>
      <c r="DM755" s="4"/>
      <c r="DN755" s="4"/>
      <c r="DO755" s="4"/>
      <c r="DP755" s="4"/>
      <c r="DQ755" s="4"/>
      <c r="DR755" s="4"/>
      <c r="DS755" s="4"/>
      <c r="DT755" s="4"/>
      <c r="DU755" s="4"/>
      <c r="DV755" s="4"/>
      <c r="DW755" s="4"/>
      <c r="DX755" s="4"/>
      <c r="DY755" s="4"/>
      <c r="DZ755" s="4"/>
      <c r="EA755" s="4"/>
      <c r="EB755" s="4"/>
      <c r="EC755" s="4"/>
      <c r="ED755" s="4"/>
      <c r="EE755" s="4"/>
      <c r="EF755" s="4"/>
      <c r="EG755" s="4"/>
      <c r="EH755" s="4"/>
      <c r="EI755" s="4"/>
      <c r="EJ755" s="4"/>
      <c r="EK755" s="4"/>
      <c r="EL755" s="4"/>
      <c r="EM755" s="4"/>
      <c r="EN755" s="4"/>
      <c r="EO755" s="4"/>
      <c r="EP755" s="4"/>
      <c r="EQ755" s="4"/>
      <c r="ER755" s="4"/>
      <c r="ES755" s="4"/>
      <c r="ET755" s="4"/>
      <c r="EU755" s="4"/>
      <c r="EV755" s="4"/>
      <c r="EW755" s="4"/>
      <c r="EX755" s="4"/>
      <c r="EY755" s="4"/>
      <c r="EZ755" s="4"/>
      <c r="FA755" s="4"/>
      <c r="FB755" s="4"/>
      <c r="FC755" s="4"/>
      <c r="FD755" s="4"/>
      <c r="FE755" s="4"/>
      <c r="FF755" s="4"/>
      <c r="FG755" s="4"/>
      <c r="FH755" s="4"/>
      <c r="FI755" s="4"/>
      <c r="FJ755" s="4"/>
      <c r="FK755" s="4"/>
      <c r="FL755" s="4"/>
      <c r="FM755" s="4"/>
      <c r="FN755" s="4"/>
      <c r="FO755" s="4"/>
      <c r="FP755" s="4"/>
      <c r="FQ755" s="4"/>
      <c r="FR755" s="4"/>
      <c r="FS755" s="4"/>
      <c r="FT755" s="4"/>
      <c r="FU755" s="4"/>
      <c r="FV755" s="4"/>
      <c r="FW755" s="4"/>
      <c r="FX755" s="4"/>
      <c r="FY755" s="4"/>
      <c r="FZ755" s="4"/>
      <c r="GA755" s="4"/>
      <c r="GB755" s="4"/>
      <c r="GC755" s="4"/>
      <c r="GD755" s="4"/>
      <c r="GE755" s="4"/>
      <c r="GF755" s="4"/>
    </row>
    <row r="756">
      <c r="A756" s="2" t="s">
        <v>4759</v>
      </c>
      <c r="B756" s="2" t="s">
        <v>546</v>
      </c>
      <c r="C756" s="2" t="s">
        <v>1145</v>
      </c>
      <c r="D756" s="2" t="s">
        <v>529</v>
      </c>
      <c r="E756" s="2" t="s">
        <v>530</v>
      </c>
      <c r="F756" s="2" t="s">
        <v>4760</v>
      </c>
      <c r="G756" s="2" t="s">
        <v>4761</v>
      </c>
      <c r="H756" s="2" t="s">
        <v>4762</v>
      </c>
      <c r="I756" s="2" t="s">
        <v>4763</v>
      </c>
      <c r="J756" s="2" t="s">
        <v>290</v>
      </c>
      <c r="K756" s="2" t="s">
        <v>4764</v>
      </c>
      <c r="L756" s="3">
        <v>35.52</v>
      </c>
      <c r="M756" s="3">
        <v>37.3</v>
      </c>
      <c r="N756" s="3">
        <v>78.99</v>
      </c>
      <c r="O756" s="2" t="s">
        <v>203</v>
      </c>
      <c r="P756" s="2" t="s">
        <v>204</v>
      </c>
      <c r="Q756" s="2" t="s">
        <v>205</v>
      </c>
      <c r="R756" s="2" t="s">
        <v>206</v>
      </c>
      <c r="S756" s="2" t="s">
        <v>4765</v>
      </c>
      <c r="T756" s="2" t="s">
        <v>292</v>
      </c>
      <c r="U756" s="2" t="s">
        <v>537</v>
      </c>
      <c r="V756" s="2" t="s">
        <v>698</v>
      </c>
      <c r="W756" s="2" t="s">
        <v>210</v>
      </c>
      <c r="X756" s="2" t="s">
        <v>1152</v>
      </c>
      <c r="Y756" s="2" t="s">
        <v>1452</v>
      </c>
      <c r="Z756" s="4">
        <v>230</v>
      </c>
      <c r="AA756" s="4">
        <f>=ROUNDDOWN(46,0)</f>
      </c>
      <c r="AB756" s="5">
        <v>5</v>
      </c>
      <c r="AC756" s="2" t="s">
        <v>206</v>
      </c>
      <c r="AD756" s="4"/>
      <c r="AE756" s="4"/>
      <c r="AF756" s="6">
        <v>64</v>
      </c>
      <c r="AG756" s="6"/>
      <c r="AH756" s="7">
        <v>1</v>
      </c>
      <c r="AI756" s="4"/>
      <c r="AJ756" s="4">
        <f>=ROUNDDOWN({0},0)</f>
      </c>
      <c r="AK756" s="5"/>
      <c r="AL756" s="2" t="s">
        <v>206</v>
      </c>
      <c r="AM756" s="4"/>
      <c r="AN756" s="4"/>
      <c r="AO756" s="7"/>
      <c r="AP756" s="4"/>
      <c r="AQ756" s="8"/>
      <c r="AR756" s="4"/>
      <c r="AS756" s="8"/>
      <c r="AT756" s="7"/>
      <c r="AU756" s="7"/>
      <c r="AV756" s="4" t="s">
        <v>206</v>
      </c>
      <c r="AW756" s="8" t="s">
        <v>206</v>
      </c>
      <c r="AX756" s="4" t="s">
        <v>206</v>
      </c>
      <c r="AY756" s="8" t="s">
        <v>206</v>
      </c>
      <c r="AZ756" s="7" t="s">
        <v>206</v>
      </c>
      <c r="BA756" s="7" t="s">
        <v>206</v>
      </c>
      <c r="BB756" s="7"/>
      <c r="BC756" s="4" t="s">
        <v>206</v>
      </c>
      <c r="BD756" s="8" t="s">
        <v>206</v>
      </c>
      <c r="BE756" s="4" t="s">
        <v>206</v>
      </c>
      <c r="BF756" s="8" t="s">
        <v>206</v>
      </c>
      <c r="BG756" s="7" t="s">
        <v>206</v>
      </c>
      <c r="BH756" s="7" t="s">
        <v>206</v>
      </c>
      <c r="BI756" s="7"/>
      <c r="BJ756" s="4">
        <v>5</v>
      </c>
      <c r="BK756" s="8">
        <v>182.25</v>
      </c>
      <c r="BL756" s="2" t="s">
        <v>1417</v>
      </c>
      <c r="BM756" s="7"/>
      <c r="BN756" s="7"/>
      <c r="BO756" s="4"/>
      <c r="BP756" s="8"/>
      <c r="BQ756" s="4"/>
      <c r="BR756" s="8"/>
      <c r="BS756" s="7"/>
      <c r="BT756" s="7"/>
      <c r="BU756" s="2" t="s">
        <v>4766</v>
      </c>
      <c r="BV756" s="2" t="s">
        <v>206</v>
      </c>
      <c r="BW756" s="2" t="s">
        <v>206</v>
      </c>
      <c r="BX756" s="2" t="s">
        <v>850</v>
      </c>
      <c r="BY756" s="2" t="s">
        <v>215</v>
      </c>
      <c r="BZ756" s="2" t="s">
        <v>203</v>
      </c>
      <c r="CA756" s="2" t="s">
        <v>1457</v>
      </c>
      <c r="CB756" s="2" t="s">
        <v>206</v>
      </c>
      <c r="CC756" s="2" t="s">
        <v>218</v>
      </c>
      <c r="CD756" s="2" t="s">
        <v>206</v>
      </c>
      <c r="CE756" s="4">
        <v>230</v>
      </c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  <c r="DE756" s="4"/>
      <c r="DF756" s="4"/>
      <c r="DG756" s="4"/>
      <c r="DH756" s="4"/>
      <c r="DI756" s="4"/>
      <c r="DJ756" s="4"/>
      <c r="DK756" s="4"/>
      <c r="DL756" s="4"/>
      <c r="DM756" s="4"/>
      <c r="DN756" s="4"/>
      <c r="DO756" s="4"/>
      <c r="DP756" s="4"/>
      <c r="DQ756" s="4"/>
      <c r="DR756" s="4"/>
      <c r="DS756" s="4"/>
      <c r="DT756" s="4"/>
      <c r="DU756" s="4"/>
      <c r="DV756" s="4"/>
      <c r="DW756" s="4"/>
      <c r="DX756" s="4"/>
      <c r="DY756" s="4"/>
      <c r="DZ756" s="4"/>
      <c r="EA756" s="4"/>
      <c r="EB756" s="4"/>
      <c r="EC756" s="4"/>
      <c r="ED756" s="4"/>
      <c r="EE756" s="4"/>
      <c r="EF756" s="4"/>
      <c r="EG756" s="4"/>
      <c r="EH756" s="4"/>
      <c r="EI756" s="4"/>
      <c r="EJ756" s="4"/>
      <c r="EK756" s="4"/>
      <c r="EL756" s="4"/>
      <c r="EM756" s="4"/>
      <c r="EN756" s="4"/>
      <c r="EO756" s="4"/>
      <c r="EP756" s="4"/>
      <c r="EQ756" s="4"/>
      <c r="ER756" s="4"/>
      <c r="ES756" s="4"/>
      <c r="ET756" s="4"/>
      <c r="EU756" s="4"/>
      <c r="EV756" s="4"/>
      <c r="EW756" s="4"/>
      <c r="EX756" s="4"/>
      <c r="EY756" s="4"/>
      <c r="EZ756" s="4"/>
      <c r="FA756" s="4"/>
      <c r="FB756" s="4"/>
      <c r="FC756" s="4"/>
      <c r="FD756" s="4"/>
      <c r="FE756" s="4"/>
      <c r="FF756" s="4"/>
      <c r="FG756" s="4"/>
      <c r="FH756" s="4"/>
      <c r="FI756" s="4"/>
      <c r="FJ756" s="4"/>
      <c r="FK756" s="4"/>
      <c r="FL756" s="4"/>
      <c r="FM756" s="4"/>
      <c r="FN756" s="4"/>
      <c r="FO756" s="4"/>
      <c r="FP756" s="4"/>
      <c r="FQ756" s="4"/>
      <c r="FR756" s="4"/>
      <c r="FS756" s="4"/>
      <c r="FT756" s="4"/>
      <c r="FU756" s="4"/>
      <c r="FV756" s="4"/>
      <c r="FW756" s="4"/>
      <c r="FX756" s="4"/>
      <c r="FY756" s="4"/>
      <c r="FZ756" s="4"/>
      <c r="GA756" s="4"/>
      <c r="GB756" s="4"/>
      <c r="GC756" s="4"/>
      <c r="GD756" s="4"/>
      <c r="GE756" s="4"/>
      <c r="GF756" s="4"/>
    </row>
    <row r="757">
      <c r="A757" s="2" t="s">
        <v>4767</v>
      </c>
      <c r="B757" s="2" t="s">
        <v>546</v>
      </c>
      <c r="C757" s="2" t="s">
        <v>1145</v>
      </c>
      <c r="D757" s="2" t="s">
        <v>529</v>
      </c>
      <c r="E757" s="2" t="s">
        <v>530</v>
      </c>
      <c r="F757" s="2" t="s">
        <v>4760</v>
      </c>
      <c r="G757" s="2" t="s">
        <v>4761</v>
      </c>
      <c r="H757" s="2" t="s">
        <v>4762</v>
      </c>
      <c r="I757" s="2" t="s">
        <v>4763</v>
      </c>
      <c r="J757" s="2" t="s">
        <v>220</v>
      </c>
      <c r="K757" s="2" t="s">
        <v>4764</v>
      </c>
      <c r="L757" s="3">
        <v>38.4</v>
      </c>
      <c r="M757" s="3">
        <v>40.32</v>
      </c>
      <c r="N757" s="3">
        <v>84.99</v>
      </c>
      <c r="O757" s="2" t="s">
        <v>203</v>
      </c>
      <c r="P757" s="2" t="s">
        <v>204</v>
      </c>
      <c r="Q757" s="2" t="s">
        <v>205</v>
      </c>
      <c r="R757" s="2" t="s">
        <v>206</v>
      </c>
      <c r="S757" s="2" t="s">
        <v>4765</v>
      </c>
      <c r="T757" s="2" t="s">
        <v>292</v>
      </c>
      <c r="U757" s="2" t="s">
        <v>4768</v>
      </c>
      <c r="V757" s="2" t="s">
        <v>698</v>
      </c>
      <c r="W757" s="2" t="s">
        <v>210</v>
      </c>
      <c r="X757" s="2" t="s">
        <v>1152</v>
      </c>
      <c r="Y757" s="2" t="s">
        <v>1452</v>
      </c>
      <c r="Z757" s="4">
        <v>299</v>
      </c>
      <c r="AA757" s="4">
        <f>=ROUNDDOWN(33.2222222222222,0)</f>
      </c>
      <c r="AB757" s="5">
        <v>9</v>
      </c>
      <c r="AC757" s="2" t="s">
        <v>206</v>
      </c>
      <c r="AD757" s="4"/>
      <c r="AE757" s="4"/>
      <c r="AF757" s="6">
        <v>64</v>
      </c>
      <c r="AG757" s="6"/>
      <c r="AH757" s="7">
        <v>1</v>
      </c>
      <c r="AI757" s="4"/>
      <c r="AJ757" s="4">
        <f>=ROUNDDOWN({0},0)</f>
      </c>
      <c r="AK757" s="5"/>
      <c r="AL757" s="2" t="s">
        <v>206</v>
      </c>
      <c r="AM757" s="4"/>
      <c r="AN757" s="4"/>
      <c r="AO757" s="7"/>
      <c r="AP757" s="4"/>
      <c r="AQ757" s="8"/>
      <c r="AR757" s="4"/>
      <c r="AS757" s="8"/>
      <c r="AT757" s="7"/>
      <c r="AU757" s="7"/>
      <c r="AV757" s="4" t="s">
        <v>206</v>
      </c>
      <c r="AW757" s="8" t="s">
        <v>206</v>
      </c>
      <c r="AX757" s="4" t="s">
        <v>206</v>
      </c>
      <c r="AY757" s="8" t="s">
        <v>206</v>
      </c>
      <c r="AZ757" s="7" t="s">
        <v>206</v>
      </c>
      <c r="BA757" s="7" t="s">
        <v>206</v>
      </c>
      <c r="BB757" s="7"/>
      <c r="BC757" s="4" t="s">
        <v>206</v>
      </c>
      <c r="BD757" s="8" t="s">
        <v>206</v>
      </c>
      <c r="BE757" s="4" t="s">
        <v>206</v>
      </c>
      <c r="BF757" s="8" t="s">
        <v>206</v>
      </c>
      <c r="BG757" s="7" t="s">
        <v>206</v>
      </c>
      <c r="BH757" s="7" t="s">
        <v>206</v>
      </c>
      <c r="BI757" s="7"/>
      <c r="BJ757" s="4">
        <v>13</v>
      </c>
      <c r="BK757" s="8">
        <v>542.76</v>
      </c>
      <c r="BL757" s="2" t="s">
        <v>719</v>
      </c>
      <c r="BM757" s="7"/>
      <c r="BN757" s="7"/>
      <c r="BO757" s="4"/>
      <c r="BP757" s="8"/>
      <c r="BQ757" s="4"/>
      <c r="BR757" s="8"/>
      <c r="BS757" s="7"/>
      <c r="BT757" s="7"/>
      <c r="BU757" s="2" t="s">
        <v>4769</v>
      </c>
      <c r="BV757" s="2" t="s">
        <v>206</v>
      </c>
      <c r="BW757" s="2" t="s">
        <v>206</v>
      </c>
      <c r="BX757" s="2" t="s">
        <v>850</v>
      </c>
      <c r="BY757" s="2" t="s">
        <v>215</v>
      </c>
      <c r="BZ757" s="2" t="s">
        <v>203</v>
      </c>
      <c r="CA757" s="2" t="s">
        <v>1457</v>
      </c>
      <c r="CB757" s="2" t="s">
        <v>4770</v>
      </c>
      <c r="CC757" s="2" t="s">
        <v>218</v>
      </c>
      <c r="CD757" s="2" t="s">
        <v>206</v>
      </c>
      <c r="CE757" s="4">
        <v>299</v>
      </c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  <c r="DE757" s="4"/>
      <c r="DF757" s="4"/>
      <c r="DG757" s="4"/>
      <c r="DH757" s="4"/>
      <c r="DI757" s="4"/>
      <c r="DJ757" s="4"/>
      <c r="DK757" s="4"/>
      <c r="DL757" s="4"/>
      <c r="DM757" s="4"/>
      <c r="DN757" s="4"/>
      <c r="DO757" s="4"/>
      <c r="DP757" s="4"/>
      <c r="DQ757" s="4"/>
      <c r="DR757" s="4"/>
      <c r="DS757" s="4"/>
      <c r="DT757" s="4"/>
      <c r="DU757" s="4"/>
      <c r="DV757" s="4"/>
      <c r="DW757" s="4"/>
      <c r="DX757" s="4"/>
      <c r="DY757" s="4"/>
      <c r="DZ757" s="4"/>
      <c r="EA757" s="4"/>
      <c r="EB757" s="4"/>
      <c r="EC757" s="4"/>
      <c r="ED757" s="4"/>
      <c r="EE757" s="4"/>
      <c r="EF757" s="4"/>
      <c r="EG757" s="4"/>
      <c r="EH757" s="4"/>
      <c r="EI757" s="4"/>
      <c r="EJ757" s="4"/>
      <c r="EK757" s="4"/>
      <c r="EL757" s="4"/>
      <c r="EM757" s="4"/>
      <c r="EN757" s="4"/>
      <c r="EO757" s="4"/>
      <c r="EP757" s="4"/>
      <c r="EQ757" s="4"/>
      <c r="ER757" s="4"/>
      <c r="ES757" s="4"/>
      <c r="ET757" s="4"/>
      <c r="EU757" s="4"/>
      <c r="EV757" s="4"/>
      <c r="EW757" s="4"/>
      <c r="EX757" s="4"/>
      <c r="EY757" s="4"/>
      <c r="EZ757" s="4"/>
      <c r="FA757" s="4"/>
      <c r="FB757" s="4"/>
      <c r="FC757" s="4"/>
      <c r="FD757" s="4"/>
      <c r="FE757" s="4"/>
      <c r="FF757" s="4"/>
      <c r="FG757" s="4"/>
      <c r="FH757" s="4"/>
      <c r="FI757" s="4"/>
      <c r="FJ757" s="4"/>
      <c r="FK757" s="4"/>
      <c r="FL757" s="4"/>
      <c r="FM757" s="4"/>
      <c r="FN757" s="4"/>
      <c r="FO757" s="4"/>
      <c r="FP757" s="4"/>
      <c r="FQ757" s="4"/>
      <c r="FR757" s="4"/>
      <c r="FS757" s="4"/>
      <c r="FT757" s="4"/>
      <c r="FU757" s="4"/>
      <c r="FV757" s="4"/>
      <c r="FW757" s="4"/>
      <c r="FX757" s="4"/>
      <c r="FY757" s="4"/>
      <c r="FZ757" s="4"/>
      <c r="GA757" s="4"/>
      <c r="GB757" s="4"/>
      <c r="GC757" s="4"/>
      <c r="GD757" s="4"/>
      <c r="GE757" s="4"/>
      <c r="GF757" s="4"/>
    </row>
    <row r="758">
      <c r="A758" s="2" t="s">
        <v>4771</v>
      </c>
      <c r="B758" s="2" t="s">
        <v>461</v>
      </c>
      <c r="C758" s="2" t="s">
        <v>462</v>
      </c>
      <c r="D758" s="2" t="s">
        <v>975</v>
      </c>
      <c r="E758" s="2" t="s">
        <v>976</v>
      </c>
      <c r="F758" s="2" t="s">
        <v>4772</v>
      </c>
      <c r="G758" s="2" t="s">
        <v>4772</v>
      </c>
      <c r="H758" s="2" t="s">
        <v>4772</v>
      </c>
      <c r="I758" s="2" t="s">
        <v>4773</v>
      </c>
      <c r="J758" s="2" t="s">
        <v>434</v>
      </c>
      <c r="K758" s="2" t="s">
        <v>763</v>
      </c>
      <c r="L758" s="3">
        <v>161.5</v>
      </c>
      <c r="M758" s="3">
        <v>169.58</v>
      </c>
      <c r="N758" s="3">
        <v>339</v>
      </c>
      <c r="O758" s="2" t="s">
        <v>203</v>
      </c>
      <c r="P758" s="2" t="s">
        <v>467</v>
      </c>
      <c r="Q758" s="2" t="s">
        <v>205</v>
      </c>
      <c r="R758" s="2" t="s">
        <v>206</v>
      </c>
      <c r="S758" s="2" t="s">
        <v>4774</v>
      </c>
      <c r="T758" s="2" t="s">
        <v>206</v>
      </c>
      <c r="U758" s="2" t="s">
        <v>206</v>
      </c>
      <c r="V758" s="2" t="s">
        <v>209</v>
      </c>
      <c r="W758" s="2" t="s">
        <v>586</v>
      </c>
      <c r="X758" s="2" t="s">
        <v>206</v>
      </c>
      <c r="Y758" s="2" t="s">
        <v>493</v>
      </c>
      <c r="Z758" s="4">
        <v>115</v>
      </c>
      <c r="AA758" s="4">
        <f>=ROUNDDOWN(26.1363636363636,0)</f>
      </c>
      <c r="AB758" s="5">
        <v>4.4</v>
      </c>
      <c r="AC758" s="2" t="s">
        <v>206</v>
      </c>
      <c r="AD758" s="4"/>
      <c r="AE758" s="4"/>
      <c r="AF758" s="6">
        <v>66</v>
      </c>
      <c r="AG758" s="6"/>
      <c r="AH758" s="7">
        <v>1</v>
      </c>
      <c r="AI758" s="4"/>
      <c r="AJ758" s="4">
        <f>=ROUNDDOWN({0},0)</f>
      </c>
      <c r="AK758" s="5"/>
      <c r="AL758" s="2" t="s">
        <v>206</v>
      </c>
      <c r="AM758" s="4"/>
      <c r="AN758" s="4"/>
      <c r="AO758" s="7"/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>
        <v>23</v>
      </c>
      <c r="BK758" s="8">
        <v>3089.45</v>
      </c>
      <c r="BL758" s="2" t="s">
        <v>4775</v>
      </c>
      <c r="BM758" s="7"/>
      <c r="BN758" s="7"/>
      <c r="BO758" s="4"/>
      <c r="BP758" s="8"/>
      <c r="BQ758" s="4"/>
      <c r="BR758" s="8"/>
      <c r="BS758" s="7"/>
      <c r="BT758" s="7"/>
      <c r="BU758" s="2" t="s">
        <v>4776</v>
      </c>
      <c r="BV758" s="2" t="s">
        <v>206</v>
      </c>
      <c r="BW758" s="2" t="s">
        <v>206</v>
      </c>
      <c r="BX758" s="2" t="s">
        <v>426</v>
      </c>
      <c r="BY758" s="2" t="s">
        <v>215</v>
      </c>
      <c r="BZ758" s="2" t="s">
        <v>203</v>
      </c>
      <c r="CA758" s="2" t="s">
        <v>2157</v>
      </c>
      <c r="CB758" s="2" t="s">
        <v>496</v>
      </c>
      <c r="CC758" s="2" t="s">
        <v>218</v>
      </c>
      <c r="CD758" s="2" t="s">
        <v>206</v>
      </c>
      <c r="CE758" s="4"/>
      <c r="CF758" s="4">
        <v>115</v>
      </c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  <c r="DE758" s="4"/>
      <c r="DF758" s="4"/>
      <c r="DG758" s="4"/>
      <c r="DH758" s="4"/>
      <c r="DI758" s="4"/>
      <c r="DJ758" s="4"/>
      <c r="DK758" s="4"/>
      <c r="DL758" s="4"/>
      <c r="DM758" s="4"/>
      <c r="DN758" s="4"/>
      <c r="DO758" s="4"/>
      <c r="DP758" s="4"/>
      <c r="DQ758" s="4"/>
      <c r="DR758" s="4"/>
      <c r="DS758" s="4"/>
      <c r="DT758" s="4"/>
      <c r="DU758" s="4"/>
      <c r="DV758" s="4"/>
      <c r="DW758" s="4"/>
      <c r="DX758" s="4"/>
      <c r="DY758" s="4"/>
      <c r="DZ758" s="4"/>
      <c r="EA758" s="4"/>
      <c r="EB758" s="4"/>
      <c r="EC758" s="4"/>
      <c r="ED758" s="4"/>
      <c r="EE758" s="4"/>
      <c r="EF758" s="4"/>
      <c r="EG758" s="4"/>
      <c r="EH758" s="4"/>
      <c r="EI758" s="4"/>
      <c r="EJ758" s="4"/>
      <c r="EK758" s="4"/>
      <c r="EL758" s="4"/>
      <c r="EM758" s="4"/>
      <c r="EN758" s="4"/>
      <c r="EO758" s="4"/>
      <c r="EP758" s="4"/>
      <c r="EQ758" s="4"/>
      <c r="ER758" s="4"/>
      <c r="ES758" s="4"/>
      <c r="ET758" s="4"/>
      <c r="EU758" s="4"/>
      <c r="EV758" s="4"/>
      <c r="EW758" s="4"/>
      <c r="EX758" s="4"/>
      <c r="EY758" s="4"/>
      <c r="EZ758" s="4"/>
      <c r="FA758" s="4"/>
      <c r="FB758" s="4"/>
      <c r="FC758" s="4"/>
      <c r="FD758" s="4"/>
      <c r="FE758" s="4"/>
      <c r="FF758" s="4"/>
      <c r="FG758" s="4"/>
      <c r="FH758" s="4"/>
      <c r="FI758" s="4"/>
      <c r="FJ758" s="4"/>
      <c r="FK758" s="4"/>
      <c r="FL758" s="4"/>
      <c r="FM758" s="4"/>
      <c r="FN758" s="4"/>
      <c r="FO758" s="4"/>
      <c r="FP758" s="4"/>
      <c r="FQ758" s="4"/>
      <c r="FR758" s="4"/>
      <c r="FS758" s="4"/>
      <c r="FT758" s="4"/>
      <c r="FU758" s="4"/>
      <c r="FV758" s="4"/>
      <c r="FW758" s="4"/>
      <c r="FX758" s="4"/>
      <c r="FY758" s="4"/>
      <c r="FZ758" s="4"/>
      <c r="GA758" s="4"/>
      <c r="GB758" s="4"/>
      <c r="GC758" s="4"/>
      <c r="GD758" s="4"/>
      <c r="GE758" s="4"/>
      <c r="GF758" s="4"/>
    </row>
    <row r="759">
      <c r="A759" s="2" t="s">
        <v>4777</v>
      </c>
      <c r="B759" s="2" t="s">
        <v>429</v>
      </c>
      <c r="C759" s="2" t="s">
        <v>462</v>
      </c>
      <c r="D759" s="2" t="s">
        <v>909</v>
      </c>
      <c r="E759" s="2" t="s">
        <v>910</v>
      </c>
      <c r="F759" s="2" t="s">
        <v>4778</v>
      </c>
      <c r="G759" s="2" t="s">
        <v>4778</v>
      </c>
      <c r="H759" s="2" t="s">
        <v>4778</v>
      </c>
      <c r="I759" s="2" t="s">
        <v>2592</v>
      </c>
      <c r="J759" s="2" t="s">
        <v>434</v>
      </c>
      <c r="K759" s="2" t="s">
        <v>262</v>
      </c>
      <c r="L759" s="3">
        <v>41.27</v>
      </c>
      <c r="M759" s="3">
        <v>43.33</v>
      </c>
      <c r="N759" s="3">
        <v>84.99</v>
      </c>
      <c r="O759" s="2" t="s">
        <v>203</v>
      </c>
      <c r="P759" s="2" t="s">
        <v>467</v>
      </c>
      <c r="Q759" s="2" t="s">
        <v>205</v>
      </c>
      <c r="R759" s="2" t="s">
        <v>206</v>
      </c>
      <c r="S759" s="2" t="s">
        <v>4779</v>
      </c>
      <c r="T759" s="2" t="s">
        <v>206</v>
      </c>
      <c r="U759" s="2" t="s">
        <v>556</v>
      </c>
      <c r="V759" s="2" t="s">
        <v>438</v>
      </c>
      <c r="W759" s="2" t="s">
        <v>439</v>
      </c>
      <c r="X759" s="2" t="s">
        <v>206</v>
      </c>
      <c r="Y759" s="2" t="s">
        <v>211</v>
      </c>
      <c r="Z759" s="4">
        <v>46</v>
      </c>
      <c r="AA759" s="4">
        <f>=ROUNDDOWN(15.3333333333333,0)</f>
      </c>
      <c r="AB759" s="5">
        <v>3</v>
      </c>
      <c r="AC759" s="2" t="s">
        <v>923</v>
      </c>
      <c r="AD759" s="4">
        <v>50</v>
      </c>
      <c r="AE759" s="4">
        <v>50</v>
      </c>
      <c r="AF759" s="6">
        <v>63</v>
      </c>
      <c r="AG759" s="6"/>
      <c r="AH759" s="7">
        <v>1</v>
      </c>
      <c r="AI759" s="4"/>
      <c r="AJ759" s="4">
        <f>=ROUNDDOWN({0},0)</f>
      </c>
      <c r="AK759" s="5"/>
      <c r="AL759" s="2" t="s">
        <v>206</v>
      </c>
      <c r="AM759" s="4"/>
      <c r="AN759" s="4"/>
      <c r="AO759" s="7"/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>
        <v>15</v>
      </c>
      <c r="BK759" s="8">
        <v>771.97</v>
      </c>
      <c r="BL759" s="2" t="s">
        <v>4780</v>
      </c>
      <c r="BM759" s="7"/>
      <c r="BN759" s="7"/>
      <c r="BO759" s="4"/>
      <c r="BP759" s="8"/>
      <c r="BQ759" s="4"/>
      <c r="BR759" s="8"/>
      <c r="BS759" s="7"/>
      <c r="BT759" s="7"/>
      <c r="BU759" s="2" t="s">
        <v>4781</v>
      </c>
      <c r="BV759" s="2" t="s">
        <v>206</v>
      </c>
      <c r="BW759" s="2" t="s">
        <v>206</v>
      </c>
      <c r="BX759" s="2" t="s">
        <v>214</v>
      </c>
      <c r="BY759" s="2" t="s">
        <v>215</v>
      </c>
      <c r="BZ759" s="2" t="s">
        <v>203</v>
      </c>
      <c r="CA759" s="2" t="s">
        <v>216</v>
      </c>
      <c r="CB759" s="2" t="s">
        <v>626</v>
      </c>
      <c r="CC759" s="2" t="s">
        <v>218</v>
      </c>
      <c r="CD759" s="2" t="s">
        <v>206</v>
      </c>
      <c r="CE759" s="4"/>
      <c r="CF759" s="4">
        <v>46</v>
      </c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  <c r="DE759" s="4"/>
      <c r="DF759" s="4"/>
      <c r="DG759" s="4"/>
      <c r="DH759" s="4"/>
      <c r="DI759" s="4"/>
      <c r="DJ759" s="4"/>
      <c r="DK759" s="4"/>
      <c r="DL759" s="4"/>
      <c r="DM759" s="4"/>
      <c r="DN759" s="4"/>
      <c r="DO759" s="4"/>
      <c r="DP759" s="4"/>
      <c r="DQ759" s="4"/>
      <c r="DR759" s="4"/>
      <c r="DS759" s="4"/>
      <c r="DT759" s="4"/>
      <c r="DU759" s="4"/>
      <c r="DV759" s="4"/>
      <c r="DW759" s="4"/>
      <c r="DX759" s="4"/>
      <c r="DY759" s="4"/>
      <c r="DZ759" s="4"/>
      <c r="EA759" s="4"/>
      <c r="EB759" s="4"/>
      <c r="EC759" s="4"/>
      <c r="ED759" s="4"/>
      <c r="EE759" s="4"/>
      <c r="EF759" s="4"/>
      <c r="EG759" s="4"/>
      <c r="EH759" s="4"/>
      <c r="EI759" s="4"/>
      <c r="EJ759" s="4"/>
      <c r="EK759" s="4"/>
      <c r="EL759" s="4"/>
      <c r="EM759" s="4"/>
      <c r="EN759" s="4"/>
      <c r="EO759" s="4"/>
      <c r="EP759" s="4"/>
      <c r="EQ759" s="4"/>
      <c r="ER759" s="4"/>
      <c r="ES759" s="4"/>
      <c r="ET759" s="4"/>
      <c r="EU759" s="4"/>
      <c r="EV759" s="4"/>
      <c r="EW759" s="4"/>
      <c r="EX759" s="4"/>
      <c r="EY759" s="4"/>
      <c r="EZ759" s="4"/>
      <c r="FA759" s="4"/>
      <c r="FB759" s="4"/>
      <c r="FC759" s="4"/>
      <c r="FD759" s="4"/>
      <c r="FE759" s="4"/>
      <c r="FF759" s="4"/>
      <c r="FG759" s="4">
        <v>50</v>
      </c>
      <c r="FH759" s="4"/>
      <c r="FI759" s="4"/>
      <c r="FJ759" s="4"/>
      <c r="FK759" s="4"/>
      <c r="FL759" s="4"/>
      <c r="FM759" s="4"/>
      <c r="FN759" s="4"/>
      <c r="FO759" s="4"/>
      <c r="FP759" s="4"/>
      <c r="FQ759" s="4"/>
      <c r="FR759" s="4"/>
      <c r="FS759" s="4"/>
      <c r="FT759" s="4"/>
      <c r="FU759" s="4"/>
      <c r="FV759" s="4"/>
      <c r="FW759" s="4"/>
      <c r="FX759" s="4"/>
      <c r="FY759" s="4"/>
      <c r="FZ759" s="4"/>
      <c r="GA759" s="4"/>
      <c r="GB759" s="4"/>
      <c r="GC759" s="4"/>
      <c r="GD759" s="4"/>
      <c r="GE759" s="4"/>
      <c r="GF759" s="4"/>
    </row>
    <row r="760">
      <c r="A760" s="2" t="s">
        <v>4782</v>
      </c>
      <c r="B760" s="2" t="s">
        <v>546</v>
      </c>
      <c r="C760" s="2" t="s">
        <v>547</v>
      </c>
      <c r="D760" s="2" t="s">
        <v>529</v>
      </c>
      <c r="E760" s="2" t="s">
        <v>816</v>
      </c>
      <c r="F760" s="2" t="s">
        <v>4783</v>
      </c>
      <c r="G760" s="2" t="s">
        <v>4784</v>
      </c>
      <c r="H760" s="2" t="s">
        <v>4785</v>
      </c>
      <c r="I760" s="2" t="s">
        <v>4786</v>
      </c>
      <c r="J760" s="2" t="s">
        <v>821</v>
      </c>
      <c r="K760" s="2" t="s">
        <v>2756</v>
      </c>
      <c r="L760" s="3">
        <v>33.33</v>
      </c>
      <c r="M760" s="3">
        <v>35</v>
      </c>
      <c r="N760" s="3">
        <v>69.99</v>
      </c>
      <c r="O760" s="2" t="s">
        <v>203</v>
      </c>
      <c r="P760" s="2" t="s">
        <v>204</v>
      </c>
      <c r="Q760" s="2" t="s">
        <v>205</v>
      </c>
      <c r="R760" s="2" t="s">
        <v>206</v>
      </c>
      <c r="S760" s="2" t="s">
        <v>4787</v>
      </c>
      <c r="T760" s="2" t="s">
        <v>1523</v>
      </c>
      <c r="U760" s="2" t="s">
        <v>556</v>
      </c>
      <c r="V760" s="2" t="s">
        <v>209</v>
      </c>
      <c r="W760" s="2" t="s">
        <v>210</v>
      </c>
      <c r="X760" s="2" t="s">
        <v>539</v>
      </c>
      <c r="Y760" s="2" t="s">
        <v>1578</v>
      </c>
      <c r="Z760" s="4">
        <v>387</v>
      </c>
      <c r="AA760" s="4">
        <f>=ROUNDDOWN(27.6428571428571,0)</f>
      </c>
      <c r="AB760" s="5">
        <v>14</v>
      </c>
      <c r="AC760" s="2" t="s">
        <v>318</v>
      </c>
      <c r="AD760" s="4">
        <v>400</v>
      </c>
      <c r="AE760" s="4">
        <v>400</v>
      </c>
      <c r="AF760" s="6">
        <v>65</v>
      </c>
      <c r="AG760" s="6"/>
      <c r="AH760" s="7">
        <v>1</v>
      </c>
      <c r="AI760" s="4"/>
      <c r="AJ760" s="4">
        <f>=ROUNDDOWN({0},0)</f>
      </c>
      <c r="AK760" s="5"/>
      <c r="AL760" s="2" t="s">
        <v>206</v>
      </c>
      <c r="AM760" s="4"/>
      <c r="AN760" s="4"/>
      <c r="AO760" s="7"/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 t="s">
        <v>206</v>
      </c>
      <c r="BD760" s="8" t="s">
        <v>206</v>
      </c>
      <c r="BE760" s="4" t="s">
        <v>206</v>
      </c>
      <c r="BF760" s="8" t="s">
        <v>206</v>
      </c>
      <c r="BG760" s="7" t="s">
        <v>206</v>
      </c>
      <c r="BH760" s="7" t="s">
        <v>206</v>
      </c>
      <c r="BI760" s="7"/>
      <c r="BJ760" s="4">
        <v>4</v>
      </c>
      <c r="BK760" s="8">
        <v>152.38</v>
      </c>
      <c r="BL760" s="2" t="s">
        <v>1335</v>
      </c>
      <c r="BM760" s="7"/>
      <c r="BN760" s="7"/>
      <c r="BO760" s="4"/>
      <c r="BP760" s="8"/>
      <c r="BQ760" s="4"/>
      <c r="BR760" s="8"/>
      <c r="BS760" s="7"/>
      <c r="BT760" s="7"/>
      <c r="BU760" s="2" t="s">
        <v>4788</v>
      </c>
      <c r="BV760" s="2" t="s">
        <v>206</v>
      </c>
      <c r="BW760" s="2" t="s">
        <v>206</v>
      </c>
      <c r="BX760" s="2" t="s">
        <v>850</v>
      </c>
      <c r="BY760" s="2" t="s">
        <v>215</v>
      </c>
      <c r="BZ760" s="2" t="s">
        <v>203</v>
      </c>
      <c r="CA760" s="2" t="s">
        <v>4789</v>
      </c>
      <c r="CB760" s="2" t="s">
        <v>2547</v>
      </c>
      <c r="CC760" s="2" t="s">
        <v>218</v>
      </c>
      <c r="CD760" s="2" t="s">
        <v>206</v>
      </c>
      <c r="CE760" s="4">
        <v>387</v>
      </c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  <c r="DE760" s="4"/>
      <c r="DF760" s="4"/>
      <c r="DG760" s="4"/>
      <c r="DH760" s="4"/>
      <c r="DI760" s="4"/>
      <c r="DJ760" s="4"/>
      <c r="DK760" s="4"/>
      <c r="DL760" s="4"/>
      <c r="DM760" s="4"/>
      <c r="DN760" s="4"/>
      <c r="DO760" s="4"/>
      <c r="DP760" s="4"/>
      <c r="DQ760" s="4"/>
      <c r="DR760" s="4"/>
      <c r="DS760" s="4"/>
      <c r="DT760" s="4"/>
      <c r="DU760" s="4"/>
      <c r="DV760" s="4"/>
      <c r="DW760" s="4"/>
      <c r="DX760" s="4">
        <v>400</v>
      </c>
      <c r="DY760" s="4"/>
      <c r="DZ760" s="4"/>
      <c r="EA760" s="4"/>
      <c r="EB760" s="4"/>
      <c r="EC760" s="4"/>
      <c r="ED760" s="4"/>
      <c r="EE760" s="4"/>
      <c r="EF760" s="4"/>
      <c r="EG760" s="4"/>
      <c r="EH760" s="4"/>
      <c r="EI760" s="4"/>
      <c r="EJ760" s="4"/>
      <c r="EK760" s="4"/>
      <c r="EL760" s="4"/>
      <c r="EM760" s="4"/>
      <c r="EN760" s="4"/>
      <c r="EO760" s="4"/>
      <c r="EP760" s="4"/>
      <c r="EQ760" s="4"/>
      <c r="ER760" s="4"/>
      <c r="ES760" s="4"/>
      <c r="ET760" s="4"/>
      <c r="EU760" s="4"/>
      <c r="EV760" s="4"/>
      <c r="EW760" s="4"/>
      <c r="EX760" s="4"/>
      <c r="EY760" s="4"/>
      <c r="EZ760" s="4"/>
      <c r="FA760" s="4"/>
      <c r="FB760" s="4"/>
      <c r="FC760" s="4"/>
      <c r="FD760" s="4"/>
      <c r="FE760" s="4"/>
      <c r="FF760" s="4"/>
      <c r="FG760" s="4"/>
      <c r="FH760" s="4"/>
      <c r="FI760" s="4"/>
      <c r="FJ760" s="4"/>
      <c r="FK760" s="4"/>
      <c r="FL760" s="4"/>
      <c r="FM760" s="4"/>
      <c r="FN760" s="4"/>
      <c r="FO760" s="4"/>
      <c r="FP760" s="4"/>
      <c r="FQ760" s="4"/>
      <c r="FR760" s="4"/>
      <c r="FS760" s="4"/>
      <c r="FT760" s="4"/>
      <c r="FU760" s="4"/>
      <c r="FV760" s="4"/>
      <c r="FW760" s="4"/>
      <c r="FX760" s="4"/>
      <c r="FY760" s="4"/>
      <c r="FZ760" s="4"/>
      <c r="GA760" s="4"/>
      <c r="GB760" s="4"/>
      <c r="GC760" s="4"/>
      <c r="GD760" s="4"/>
      <c r="GE760" s="4"/>
      <c r="GF760" s="4"/>
    </row>
    <row r="761">
      <c r="A761" s="2" t="s">
        <v>4790</v>
      </c>
      <c r="B761" s="2" t="s">
        <v>546</v>
      </c>
      <c r="C761" s="2" t="s">
        <v>547</v>
      </c>
      <c r="D761" s="2" t="s">
        <v>529</v>
      </c>
      <c r="E761" s="2" t="s">
        <v>816</v>
      </c>
      <c r="F761" s="2" t="s">
        <v>4783</v>
      </c>
      <c r="G761" s="2" t="s">
        <v>4784</v>
      </c>
      <c r="H761" s="2" t="s">
        <v>4785</v>
      </c>
      <c r="I761" s="2" t="s">
        <v>4786</v>
      </c>
      <c r="J761" s="2" t="s">
        <v>821</v>
      </c>
      <c r="K761" s="2" t="s">
        <v>3786</v>
      </c>
      <c r="L761" s="3">
        <v>33.33</v>
      </c>
      <c r="M761" s="3">
        <v>35</v>
      </c>
      <c r="N761" s="3">
        <v>69.99</v>
      </c>
      <c r="O761" s="2" t="s">
        <v>203</v>
      </c>
      <c r="P761" s="2" t="s">
        <v>204</v>
      </c>
      <c r="Q761" s="2" t="s">
        <v>205</v>
      </c>
      <c r="R761" s="2" t="s">
        <v>206</v>
      </c>
      <c r="S761" s="2" t="s">
        <v>4791</v>
      </c>
      <c r="T761" s="2" t="s">
        <v>1523</v>
      </c>
      <c r="U761" s="2" t="s">
        <v>556</v>
      </c>
      <c r="V761" s="2" t="s">
        <v>209</v>
      </c>
      <c r="W761" s="2" t="s">
        <v>210</v>
      </c>
      <c r="X761" s="2" t="s">
        <v>539</v>
      </c>
      <c r="Y761" s="2" t="s">
        <v>4792</v>
      </c>
      <c r="Z761" s="4">
        <v>403</v>
      </c>
      <c r="AA761" s="4">
        <f>=ROUNDDOWN(26.8666666666667,0)</f>
      </c>
      <c r="AB761" s="5">
        <v>15</v>
      </c>
      <c r="AC761" s="2" t="s">
        <v>318</v>
      </c>
      <c r="AD761" s="4">
        <v>400</v>
      </c>
      <c r="AE761" s="4">
        <v>400</v>
      </c>
      <c r="AF761" s="6">
        <v>65</v>
      </c>
      <c r="AG761" s="6"/>
      <c r="AH761" s="7">
        <v>1</v>
      </c>
      <c r="AI761" s="4"/>
      <c r="AJ761" s="4">
        <f>=ROUNDDOWN({0},0)</f>
      </c>
      <c r="AK761" s="5"/>
      <c r="AL761" s="2" t="s">
        <v>206</v>
      </c>
      <c r="AM761" s="4"/>
      <c r="AN761" s="4"/>
      <c r="AO761" s="7"/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 t="s">
        <v>206</v>
      </c>
      <c r="BD761" s="8" t="s">
        <v>206</v>
      </c>
      <c r="BE761" s="4" t="s">
        <v>206</v>
      </c>
      <c r="BF761" s="8" t="s">
        <v>206</v>
      </c>
      <c r="BG761" s="7" t="s">
        <v>206</v>
      </c>
      <c r="BH761" s="7" t="s">
        <v>206</v>
      </c>
      <c r="BI761" s="7"/>
      <c r="BJ761" s="4">
        <v>6</v>
      </c>
      <c r="BK761" s="8">
        <v>227.96</v>
      </c>
      <c r="BL761" s="2" t="s">
        <v>1335</v>
      </c>
      <c r="BM761" s="7"/>
      <c r="BN761" s="7"/>
      <c r="BO761" s="4"/>
      <c r="BP761" s="8"/>
      <c r="BQ761" s="4"/>
      <c r="BR761" s="8"/>
      <c r="BS761" s="7"/>
      <c r="BT761" s="7"/>
      <c r="BU761" s="2" t="s">
        <v>4793</v>
      </c>
      <c r="BV761" s="2" t="s">
        <v>206</v>
      </c>
      <c r="BW761" s="2" t="s">
        <v>206</v>
      </c>
      <c r="BX761" s="2" t="s">
        <v>850</v>
      </c>
      <c r="BY761" s="2" t="s">
        <v>215</v>
      </c>
      <c r="BZ761" s="2" t="s">
        <v>203</v>
      </c>
      <c r="CA761" s="2" t="s">
        <v>4789</v>
      </c>
      <c r="CB761" s="2" t="s">
        <v>206</v>
      </c>
      <c r="CC761" s="2" t="s">
        <v>218</v>
      </c>
      <c r="CD761" s="2" t="s">
        <v>206</v>
      </c>
      <c r="CE761" s="4">
        <v>403</v>
      </c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  <c r="DE761" s="4"/>
      <c r="DF761" s="4"/>
      <c r="DG761" s="4"/>
      <c r="DH761" s="4"/>
      <c r="DI761" s="4"/>
      <c r="DJ761" s="4"/>
      <c r="DK761" s="4"/>
      <c r="DL761" s="4"/>
      <c r="DM761" s="4"/>
      <c r="DN761" s="4"/>
      <c r="DO761" s="4"/>
      <c r="DP761" s="4"/>
      <c r="DQ761" s="4"/>
      <c r="DR761" s="4"/>
      <c r="DS761" s="4"/>
      <c r="DT761" s="4"/>
      <c r="DU761" s="4"/>
      <c r="DV761" s="4"/>
      <c r="DW761" s="4"/>
      <c r="DX761" s="4">
        <v>400</v>
      </c>
      <c r="DY761" s="4"/>
      <c r="DZ761" s="4"/>
      <c r="EA761" s="4"/>
      <c r="EB761" s="4"/>
      <c r="EC761" s="4"/>
      <c r="ED761" s="4"/>
      <c r="EE761" s="4"/>
      <c r="EF761" s="4"/>
      <c r="EG761" s="4"/>
      <c r="EH761" s="4"/>
      <c r="EI761" s="4"/>
      <c r="EJ761" s="4"/>
      <c r="EK761" s="4"/>
      <c r="EL761" s="4"/>
      <c r="EM761" s="4"/>
      <c r="EN761" s="4"/>
      <c r="EO761" s="4"/>
      <c r="EP761" s="4"/>
      <c r="EQ761" s="4"/>
      <c r="ER761" s="4"/>
      <c r="ES761" s="4"/>
      <c r="ET761" s="4"/>
      <c r="EU761" s="4"/>
      <c r="EV761" s="4"/>
      <c r="EW761" s="4"/>
      <c r="EX761" s="4"/>
      <c r="EY761" s="4"/>
      <c r="EZ761" s="4"/>
      <c r="FA761" s="4"/>
      <c r="FB761" s="4"/>
      <c r="FC761" s="4"/>
      <c r="FD761" s="4"/>
      <c r="FE761" s="4"/>
      <c r="FF761" s="4"/>
      <c r="FG761" s="4"/>
      <c r="FH761" s="4"/>
      <c r="FI761" s="4"/>
      <c r="FJ761" s="4"/>
      <c r="FK761" s="4"/>
      <c r="FL761" s="4"/>
      <c r="FM761" s="4"/>
      <c r="FN761" s="4"/>
      <c r="FO761" s="4"/>
      <c r="FP761" s="4"/>
      <c r="FQ761" s="4"/>
      <c r="FR761" s="4"/>
      <c r="FS761" s="4"/>
      <c r="FT761" s="4"/>
      <c r="FU761" s="4"/>
      <c r="FV761" s="4"/>
      <c r="FW761" s="4"/>
      <c r="FX761" s="4"/>
      <c r="FY761" s="4"/>
      <c r="FZ761" s="4"/>
      <c r="GA761" s="4"/>
      <c r="GB761" s="4"/>
      <c r="GC761" s="4"/>
      <c r="GD761" s="4"/>
      <c r="GE761" s="4"/>
      <c r="GF761" s="4"/>
    </row>
    <row r="762">
      <c r="A762" s="2" t="s">
        <v>4794</v>
      </c>
      <c r="B762" s="2" t="s">
        <v>613</v>
      </c>
      <c r="C762" s="2" t="s">
        <v>287</v>
      </c>
      <c r="D762" s="2" t="s">
        <v>628</v>
      </c>
      <c r="E762" s="2" t="s">
        <v>929</v>
      </c>
      <c r="F762" s="2" t="s">
        <v>4795</v>
      </c>
      <c r="G762" s="2" t="s">
        <v>4796</v>
      </c>
      <c r="H762" s="2" t="s">
        <v>4797</v>
      </c>
      <c r="I762" s="2" t="s">
        <v>4798</v>
      </c>
      <c r="J762" s="2" t="s">
        <v>4688</v>
      </c>
      <c r="K762" s="2" t="s">
        <v>315</v>
      </c>
      <c r="L762" s="3">
        <v>13.5</v>
      </c>
      <c r="M762" s="3">
        <v>14.18</v>
      </c>
      <c r="N762" s="3">
        <v>29.99</v>
      </c>
      <c r="O762" s="2" t="s">
        <v>203</v>
      </c>
      <c r="P762" s="2" t="s">
        <v>204</v>
      </c>
      <c r="Q762" s="2" t="s">
        <v>205</v>
      </c>
      <c r="R762" s="2" t="s">
        <v>206</v>
      </c>
      <c r="S762" s="2" t="s">
        <v>4799</v>
      </c>
      <c r="T762" s="2" t="s">
        <v>206</v>
      </c>
      <c r="U762" s="2" t="s">
        <v>437</v>
      </c>
      <c r="V762" s="2" t="s">
        <v>209</v>
      </c>
      <c r="W762" s="2" t="s">
        <v>1322</v>
      </c>
      <c r="X762" s="2" t="s">
        <v>929</v>
      </c>
      <c r="Y762" s="2" t="s">
        <v>3498</v>
      </c>
      <c r="Z762" s="4">
        <v>226</v>
      </c>
      <c r="AA762" s="4">
        <f>=ROUNDDOWN(45.2,0)</f>
      </c>
      <c r="AB762" s="5">
        <v>5</v>
      </c>
      <c r="AC762" s="2" t="s">
        <v>206</v>
      </c>
      <c r="AD762" s="4"/>
      <c r="AE762" s="4"/>
      <c r="AF762" s="6">
        <v>65</v>
      </c>
      <c r="AG762" s="6"/>
      <c r="AH762" s="7">
        <v>1</v>
      </c>
      <c r="AI762" s="4"/>
      <c r="AJ762" s="4">
        <f>=ROUNDDOWN({0},0)</f>
      </c>
      <c r="AK762" s="5"/>
      <c r="AL762" s="2" t="s">
        <v>206</v>
      </c>
      <c r="AM762" s="4"/>
      <c r="AN762" s="4"/>
      <c r="AO762" s="7"/>
      <c r="AP762" s="4"/>
      <c r="AQ762" s="8"/>
      <c r="AR762" s="4"/>
      <c r="AS762" s="8"/>
      <c r="AT762" s="7"/>
      <c r="AU762" s="7"/>
      <c r="AV762" s="4" t="s">
        <v>206</v>
      </c>
      <c r="AW762" s="8" t="s">
        <v>206</v>
      </c>
      <c r="AX762" s="4" t="s">
        <v>206</v>
      </c>
      <c r="AY762" s="8" t="s">
        <v>206</v>
      </c>
      <c r="AZ762" s="7" t="s">
        <v>206</v>
      </c>
      <c r="BA762" s="7" t="s">
        <v>206</v>
      </c>
      <c r="BB762" s="7"/>
      <c r="BC762" s="4" t="s">
        <v>206</v>
      </c>
      <c r="BD762" s="8" t="s">
        <v>206</v>
      </c>
      <c r="BE762" s="4" t="s">
        <v>206</v>
      </c>
      <c r="BF762" s="8" t="s">
        <v>206</v>
      </c>
      <c r="BG762" s="7" t="s">
        <v>206</v>
      </c>
      <c r="BH762" s="7" t="s">
        <v>206</v>
      </c>
      <c r="BI762" s="7"/>
      <c r="BJ762" s="4">
        <v>2</v>
      </c>
      <c r="BK762" s="8">
        <v>26.58</v>
      </c>
      <c r="BL762" s="2" t="s">
        <v>575</v>
      </c>
      <c r="BM762" s="7"/>
      <c r="BN762" s="7"/>
      <c r="BO762" s="4"/>
      <c r="BP762" s="8"/>
      <c r="BQ762" s="4"/>
      <c r="BR762" s="8"/>
      <c r="BS762" s="7"/>
      <c r="BT762" s="7"/>
      <c r="BU762" s="2" t="s">
        <v>4800</v>
      </c>
      <c r="BV762" s="2" t="s">
        <v>206</v>
      </c>
      <c r="BW762" s="2" t="s">
        <v>206</v>
      </c>
      <c r="BX762" s="2" t="s">
        <v>214</v>
      </c>
      <c r="BY762" s="2" t="s">
        <v>215</v>
      </c>
      <c r="BZ762" s="2" t="s">
        <v>203</v>
      </c>
      <c r="CA762" s="2" t="s">
        <v>1055</v>
      </c>
      <c r="CB762" s="2" t="s">
        <v>1661</v>
      </c>
      <c r="CC762" s="2" t="s">
        <v>218</v>
      </c>
      <c r="CD762" s="2" t="s">
        <v>206</v>
      </c>
      <c r="CE762" s="4">
        <v>226</v>
      </c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  <c r="DE762" s="4"/>
      <c r="DF762" s="4"/>
      <c r="DG762" s="4"/>
      <c r="DH762" s="4"/>
      <c r="DI762" s="4"/>
      <c r="DJ762" s="4"/>
      <c r="DK762" s="4"/>
      <c r="DL762" s="4"/>
      <c r="DM762" s="4"/>
      <c r="DN762" s="4"/>
      <c r="DO762" s="4"/>
      <c r="DP762" s="4"/>
      <c r="DQ762" s="4"/>
      <c r="DR762" s="4"/>
      <c r="DS762" s="4"/>
      <c r="DT762" s="4"/>
      <c r="DU762" s="4"/>
      <c r="DV762" s="4"/>
      <c r="DW762" s="4"/>
      <c r="DX762" s="4"/>
      <c r="DY762" s="4"/>
      <c r="DZ762" s="4"/>
      <c r="EA762" s="4"/>
      <c r="EB762" s="4"/>
      <c r="EC762" s="4"/>
      <c r="ED762" s="4"/>
      <c r="EE762" s="4"/>
      <c r="EF762" s="4"/>
      <c r="EG762" s="4"/>
      <c r="EH762" s="4"/>
      <c r="EI762" s="4"/>
      <c r="EJ762" s="4"/>
      <c r="EK762" s="4"/>
      <c r="EL762" s="4"/>
      <c r="EM762" s="4"/>
      <c r="EN762" s="4"/>
      <c r="EO762" s="4"/>
      <c r="EP762" s="4"/>
      <c r="EQ762" s="4"/>
      <c r="ER762" s="4"/>
      <c r="ES762" s="4"/>
      <c r="ET762" s="4"/>
      <c r="EU762" s="4"/>
      <c r="EV762" s="4"/>
      <c r="EW762" s="4"/>
      <c r="EX762" s="4"/>
      <c r="EY762" s="4"/>
      <c r="EZ762" s="4"/>
      <c r="FA762" s="4"/>
      <c r="FB762" s="4"/>
      <c r="FC762" s="4"/>
      <c r="FD762" s="4"/>
      <c r="FE762" s="4"/>
      <c r="FF762" s="4"/>
      <c r="FG762" s="4"/>
      <c r="FH762" s="4"/>
      <c r="FI762" s="4"/>
      <c r="FJ762" s="4"/>
      <c r="FK762" s="4"/>
      <c r="FL762" s="4"/>
      <c r="FM762" s="4"/>
      <c r="FN762" s="4"/>
      <c r="FO762" s="4"/>
      <c r="FP762" s="4"/>
      <c r="FQ762" s="4"/>
      <c r="FR762" s="4"/>
      <c r="FS762" s="4"/>
      <c r="FT762" s="4"/>
      <c r="FU762" s="4"/>
      <c r="FV762" s="4"/>
      <c r="FW762" s="4"/>
      <c r="FX762" s="4"/>
      <c r="FY762" s="4"/>
      <c r="FZ762" s="4"/>
      <c r="GA762" s="4"/>
      <c r="GB762" s="4"/>
      <c r="GC762" s="4"/>
      <c r="GD762" s="4"/>
      <c r="GE762" s="4"/>
      <c r="GF762" s="4"/>
    </row>
    <row r="763">
      <c r="A763" s="2" t="s">
        <v>4801</v>
      </c>
      <c r="B763" s="2" t="s">
        <v>613</v>
      </c>
      <c r="C763" s="2" t="s">
        <v>287</v>
      </c>
      <c r="D763" s="2" t="s">
        <v>628</v>
      </c>
      <c r="E763" s="2" t="s">
        <v>929</v>
      </c>
      <c r="F763" s="2" t="s">
        <v>4795</v>
      </c>
      <c r="G763" s="2" t="s">
        <v>4796</v>
      </c>
      <c r="H763" s="2" t="s">
        <v>4797</v>
      </c>
      <c r="I763" s="2" t="s">
        <v>4798</v>
      </c>
      <c r="J763" s="2" t="s">
        <v>631</v>
      </c>
      <c r="K763" s="2" t="s">
        <v>315</v>
      </c>
      <c r="L763" s="3">
        <v>15.05</v>
      </c>
      <c r="M763" s="3">
        <v>15.8</v>
      </c>
      <c r="N763" s="3">
        <v>34.99</v>
      </c>
      <c r="O763" s="2" t="s">
        <v>203</v>
      </c>
      <c r="P763" s="2" t="s">
        <v>204</v>
      </c>
      <c r="Q763" s="2" t="s">
        <v>205</v>
      </c>
      <c r="R763" s="2" t="s">
        <v>206</v>
      </c>
      <c r="S763" s="2" t="s">
        <v>4799</v>
      </c>
      <c r="T763" s="2" t="s">
        <v>206</v>
      </c>
      <c r="U763" s="2" t="s">
        <v>437</v>
      </c>
      <c r="V763" s="2" t="s">
        <v>209</v>
      </c>
      <c r="W763" s="2" t="s">
        <v>1322</v>
      </c>
      <c r="X763" s="2" t="s">
        <v>929</v>
      </c>
      <c r="Y763" s="2" t="s">
        <v>3498</v>
      </c>
      <c r="Z763" s="4">
        <v>305</v>
      </c>
      <c r="AA763" s="4">
        <f>=ROUNDDOWN(23.4615384615385,0)</f>
      </c>
      <c r="AB763" s="5">
        <v>13</v>
      </c>
      <c r="AC763" s="2" t="s">
        <v>139</v>
      </c>
      <c r="AD763" s="4">
        <v>200</v>
      </c>
      <c r="AE763" s="4">
        <v>200</v>
      </c>
      <c r="AF763" s="6">
        <v>65</v>
      </c>
      <c r="AG763" s="6"/>
      <c r="AH763" s="7">
        <v>1</v>
      </c>
      <c r="AI763" s="4"/>
      <c r="AJ763" s="4">
        <f>=ROUNDDOWN({0},0)</f>
      </c>
      <c r="AK763" s="5"/>
      <c r="AL763" s="2" t="s">
        <v>206</v>
      </c>
      <c r="AM763" s="4"/>
      <c r="AN763" s="4"/>
      <c r="AO763" s="7"/>
      <c r="AP763" s="4"/>
      <c r="AQ763" s="8"/>
      <c r="AR763" s="4"/>
      <c r="AS763" s="8"/>
      <c r="AT763" s="7"/>
      <c r="AU763" s="7"/>
      <c r="AV763" s="4" t="s">
        <v>206</v>
      </c>
      <c r="AW763" s="8" t="s">
        <v>206</v>
      </c>
      <c r="AX763" s="4" t="s">
        <v>206</v>
      </c>
      <c r="AY763" s="8" t="s">
        <v>206</v>
      </c>
      <c r="AZ763" s="7" t="s">
        <v>206</v>
      </c>
      <c r="BA763" s="7" t="s">
        <v>206</v>
      </c>
      <c r="BB763" s="7"/>
      <c r="BC763" s="4" t="s">
        <v>206</v>
      </c>
      <c r="BD763" s="8" t="s">
        <v>206</v>
      </c>
      <c r="BE763" s="4" t="s">
        <v>206</v>
      </c>
      <c r="BF763" s="8" t="s">
        <v>206</v>
      </c>
      <c r="BG763" s="7" t="s">
        <v>206</v>
      </c>
      <c r="BH763" s="7" t="s">
        <v>206</v>
      </c>
      <c r="BI763" s="7"/>
      <c r="BJ763" s="4">
        <v>25</v>
      </c>
      <c r="BK763" s="8">
        <v>461.88</v>
      </c>
      <c r="BL763" s="2" t="s">
        <v>4802</v>
      </c>
      <c r="BM763" s="7"/>
      <c r="BN763" s="7"/>
      <c r="BO763" s="4"/>
      <c r="BP763" s="8"/>
      <c r="BQ763" s="4"/>
      <c r="BR763" s="8"/>
      <c r="BS763" s="7"/>
      <c r="BT763" s="7"/>
      <c r="BU763" s="2" t="s">
        <v>4803</v>
      </c>
      <c r="BV763" s="2" t="s">
        <v>206</v>
      </c>
      <c r="BW763" s="2" t="s">
        <v>206</v>
      </c>
      <c r="BX763" s="2" t="s">
        <v>214</v>
      </c>
      <c r="BY763" s="2" t="s">
        <v>215</v>
      </c>
      <c r="BZ763" s="2" t="s">
        <v>203</v>
      </c>
      <c r="CA763" s="2" t="s">
        <v>1055</v>
      </c>
      <c r="CB763" s="2" t="s">
        <v>1327</v>
      </c>
      <c r="CC763" s="2" t="s">
        <v>218</v>
      </c>
      <c r="CD763" s="2" t="s">
        <v>206</v>
      </c>
      <c r="CE763" s="4">
        <v>305</v>
      </c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  <c r="DE763" s="4"/>
      <c r="DF763" s="4"/>
      <c r="DG763" s="4"/>
      <c r="DH763" s="4"/>
      <c r="DI763" s="4"/>
      <c r="DJ763" s="4"/>
      <c r="DK763" s="4"/>
      <c r="DL763" s="4"/>
      <c r="DM763" s="4"/>
      <c r="DN763" s="4"/>
      <c r="DO763" s="4"/>
      <c r="DP763" s="4"/>
      <c r="DQ763" s="4"/>
      <c r="DR763" s="4"/>
      <c r="DS763" s="4"/>
      <c r="DT763" s="4"/>
      <c r="DU763" s="4"/>
      <c r="DV763" s="4"/>
      <c r="DW763" s="4"/>
      <c r="DX763" s="4"/>
      <c r="DY763" s="4"/>
      <c r="DZ763" s="4"/>
      <c r="EA763" s="4">
        <v>200</v>
      </c>
      <c r="EB763" s="4"/>
      <c r="EC763" s="4"/>
      <c r="ED763" s="4"/>
      <c r="EE763" s="4"/>
      <c r="EF763" s="4"/>
      <c r="EG763" s="4"/>
      <c r="EH763" s="4"/>
      <c r="EI763" s="4"/>
      <c r="EJ763" s="4"/>
      <c r="EK763" s="4"/>
      <c r="EL763" s="4"/>
      <c r="EM763" s="4"/>
      <c r="EN763" s="4"/>
      <c r="EO763" s="4"/>
      <c r="EP763" s="4"/>
      <c r="EQ763" s="4"/>
      <c r="ER763" s="4"/>
      <c r="ES763" s="4"/>
      <c r="ET763" s="4"/>
      <c r="EU763" s="4"/>
      <c r="EV763" s="4"/>
      <c r="EW763" s="4"/>
      <c r="EX763" s="4"/>
      <c r="EY763" s="4"/>
      <c r="EZ763" s="4"/>
      <c r="FA763" s="4"/>
      <c r="FB763" s="4"/>
      <c r="FC763" s="4"/>
      <c r="FD763" s="4"/>
      <c r="FE763" s="4"/>
      <c r="FF763" s="4"/>
      <c r="FG763" s="4"/>
      <c r="FH763" s="4"/>
      <c r="FI763" s="4"/>
      <c r="FJ763" s="4"/>
      <c r="FK763" s="4"/>
      <c r="FL763" s="4"/>
      <c r="FM763" s="4"/>
      <c r="FN763" s="4"/>
      <c r="FO763" s="4"/>
      <c r="FP763" s="4"/>
      <c r="FQ763" s="4"/>
      <c r="FR763" s="4"/>
      <c r="FS763" s="4"/>
      <c r="FT763" s="4"/>
      <c r="FU763" s="4"/>
      <c r="FV763" s="4"/>
      <c r="FW763" s="4"/>
      <c r="FX763" s="4"/>
      <c r="FY763" s="4"/>
      <c r="FZ763" s="4"/>
      <c r="GA763" s="4"/>
      <c r="GB763" s="4"/>
      <c r="GC763" s="4"/>
      <c r="GD763" s="4"/>
      <c r="GE763" s="4"/>
      <c r="GF763" s="4"/>
    </row>
    <row r="764">
      <c r="A764" s="2" t="s">
        <v>4804</v>
      </c>
      <c r="B764" s="2" t="s">
        <v>613</v>
      </c>
      <c r="C764" s="2" t="s">
        <v>287</v>
      </c>
      <c r="D764" s="2" t="s">
        <v>628</v>
      </c>
      <c r="E764" s="2" t="s">
        <v>929</v>
      </c>
      <c r="F764" s="2" t="s">
        <v>4795</v>
      </c>
      <c r="G764" s="2" t="s">
        <v>4796</v>
      </c>
      <c r="H764" s="2" t="s">
        <v>4797</v>
      </c>
      <c r="I764" s="2" t="s">
        <v>4798</v>
      </c>
      <c r="J764" s="2" t="s">
        <v>731</v>
      </c>
      <c r="K764" s="2" t="s">
        <v>315</v>
      </c>
      <c r="L764" s="3">
        <v>17.2</v>
      </c>
      <c r="M764" s="3">
        <v>18.06</v>
      </c>
      <c r="N764" s="3">
        <v>39.99</v>
      </c>
      <c r="O764" s="2" t="s">
        <v>203</v>
      </c>
      <c r="P764" s="2" t="s">
        <v>204</v>
      </c>
      <c r="Q764" s="2" t="s">
        <v>205</v>
      </c>
      <c r="R764" s="2" t="s">
        <v>206</v>
      </c>
      <c r="S764" s="2" t="s">
        <v>4799</v>
      </c>
      <c r="T764" s="2" t="s">
        <v>206</v>
      </c>
      <c r="U764" s="2" t="s">
        <v>437</v>
      </c>
      <c r="V764" s="2" t="s">
        <v>209</v>
      </c>
      <c r="W764" s="2" t="s">
        <v>1322</v>
      </c>
      <c r="X764" s="2" t="s">
        <v>929</v>
      </c>
      <c r="Y764" s="2" t="s">
        <v>3498</v>
      </c>
      <c r="Z764" s="4">
        <v>190</v>
      </c>
      <c r="AA764" s="4">
        <f>=ROUNDDOWN(38,0)</f>
      </c>
      <c r="AB764" s="5">
        <v>5</v>
      </c>
      <c r="AC764" s="2" t="s">
        <v>206</v>
      </c>
      <c r="AD764" s="4"/>
      <c r="AE764" s="4"/>
      <c r="AF764" s="6">
        <v>65</v>
      </c>
      <c r="AG764" s="6"/>
      <c r="AH764" s="7">
        <v>1</v>
      </c>
      <c r="AI764" s="4"/>
      <c r="AJ764" s="4">
        <f>=ROUNDDOWN({0},0)</f>
      </c>
      <c r="AK764" s="5"/>
      <c r="AL764" s="2" t="s">
        <v>206</v>
      </c>
      <c r="AM764" s="4"/>
      <c r="AN764" s="4"/>
      <c r="AO764" s="7"/>
      <c r="AP764" s="4"/>
      <c r="AQ764" s="8"/>
      <c r="AR764" s="4"/>
      <c r="AS764" s="8"/>
      <c r="AT764" s="7"/>
      <c r="AU764" s="7"/>
      <c r="AV764" s="4" t="s">
        <v>206</v>
      </c>
      <c r="AW764" s="8" t="s">
        <v>206</v>
      </c>
      <c r="AX764" s="4" t="s">
        <v>206</v>
      </c>
      <c r="AY764" s="8" t="s">
        <v>206</v>
      </c>
      <c r="AZ764" s="7" t="s">
        <v>206</v>
      </c>
      <c r="BA764" s="7" t="s">
        <v>206</v>
      </c>
      <c r="BB764" s="7"/>
      <c r="BC764" s="4" t="s">
        <v>206</v>
      </c>
      <c r="BD764" s="8" t="s">
        <v>206</v>
      </c>
      <c r="BE764" s="4" t="s">
        <v>206</v>
      </c>
      <c r="BF764" s="8" t="s">
        <v>206</v>
      </c>
      <c r="BG764" s="7" t="s">
        <v>206</v>
      </c>
      <c r="BH764" s="7" t="s">
        <v>206</v>
      </c>
      <c r="BI764" s="7"/>
      <c r="BJ764" s="4">
        <v>6</v>
      </c>
      <c r="BK764" s="8">
        <v>107.62</v>
      </c>
      <c r="BL764" s="2" t="s">
        <v>4805</v>
      </c>
      <c r="BM764" s="7"/>
      <c r="BN764" s="7"/>
      <c r="BO764" s="4"/>
      <c r="BP764" s="8"/>
      <c r="BQ764" s="4"/>
      <c r="BR764" s="8"/>
      <c r="BS764" s="7"/>
      <c r="BT764" s="7"/>
      <c r="BU764" s="2" t="s">
        <v>4806</v>
      </c>
      <c r="BV764" s="2" t="s">
        <v>206</v>
      </c>
      <c r="BW764" s="2" t="s">
        <v>206</v>
      </c>
      <c r="BX764" s="2" t="s">
        <v>214</v>
      </c>
      <c r="BY764" s="2" t="s">
        <v>215</v>
      </c>
      <c r="BZ764" s="2" t="s">
        <v>203</v>
      </c>
      <c r="CA764" s="2" t="s">
        <v>1055</v>
      </c>
      <c r="CB764" s="2" t="s">
        <v>3502</v>
      </c>
      <c r="CC764" s="2" t="s">
        <v>218</v>
      </c>
      <c r="CD764" s="2" t="s">
        <v>206</v>
      </c>
      <c r="CE764" s="4">
        <v>190</v>
      </c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  <c r="DE764" s="4"/>
      <c r="DF764" s="4"/>
      <c r="DG764" s="4"/>
      <c r="DH764" s="4"/>
      <c r="DI764" s="4"/>
      <c r="DJ764" s="4"/>
      <c r="DK764" s="4"/>
      <c r="DL764" s="4"/>
      <c r="DM764" s="4"/>
      <c r="DN764" s="4"/>
      <c r="DO764" s="4"/>
      <c r="DP764" s="4"/>
      <c r="DQ764" s="4"/>
      <c r="DR764" s="4"/>
      <c r="DS764" s="4"/>
      <c r="DT764" s="4"/>
      <c r="DU764" s="4"/>
      <c r="DV764" s="4"/>
      <c r="DW764" s="4"/>
      <c r="DX764" s="4"/>
      <c r="DY764" s="4"/>
      <c r="DZ764" s="4"/>
      <c r="EA764" s="4"/>
      <c r="EB764" s="4"/>
      <c r="EC764" s="4"/>
      <c r="ED764" s="4"/>
      <c r="EE764" s="4"/>
      <c r="EF764" s="4"/>
      <c r="EG764" s="4"/>
      <c r="EH764" s="4"/>
      <c r="EI764" s="4"/>
      <c r="EJ764" s="4"/>
      <c r="EK764" s="4"/>
      <c r="EL764" s="4"/>
      <c r="EM764" s="4"/>
      <c r="EN764" s="4"/>
      <c r="EO764" s="4"/>
      <c r="EP764" s="4"/>
      <c r="EQ764" s="4"/>
      <c r="ER764" s="4"/>
      <c r="ES764" s="4"/>
      <c r="ET764" s="4"/>
      <c r="EU764" s="4"/>
      <c r="EV764" s="4"/>
      <c r="EW764" s="4"/>
      <c r="EX764" s="4"/>
      <c r="EY764" s="4"/>
      <c r="EZ764" s="4"/>
      <c r="FA764" s="4"/>
      <c r="FB764" s="4"/>
      <c r="FC764" s="4"/>
      <c r="FD764" s="4"/>
      <c r="FE764" s="4"/>
      <c r="FF764" s="4"/>
      <c r="FG764" s="4"/>
      <c r="FH764" s="4"/>
      <c r="FI764" s="4"/>
      <c r="FJ764" s="4"/>
      <c r="FK764" s="4"/>
      <c r="FL764" s="4"/>
      <c r="FM764" s="4"/>
      <c r="FN764" s="4"/>
      <c r="FO764" s="4"/>
      <c r="FP764" s="4"/>
      <c r="FQ764" s="4"/>
      <c r="FR764" s="4"/>
      <c r="FS764" s="4"/>
      <c r="FT764" s="4"/>
      <c r="FU764" s="4"/>
      <c r="FV764" s="4"/>
      <c r="FW764" s="4"/>
      <c r="FX764" s="4"/>
      <c r="FY764" s="4"/>
      <c r="FZ764" s="4"/>
      <c r="GA764" s="4"/>
      <c r="GB764" s="4"/>
      <c r="GC764" s="4"/>
      <c r="GD764" s="4"/>
      <c r="GE764" s="4"/>
      <c r="GF764" s="4"/>
    </row>
    <row r="765">
      <c r="A765" s="2" t="s">
        <v>4807</v>
      </c>
      <c r="B765" s="2" t="s">
        <v>613</v>
      </c>
      <c r="C765" s="2" t="s">
        <v>287</v>
      </c>
      <c r="D765" s="2" t="s">
        <v>628</v>
      </c>
      <c r="E765" s="2" t="s">
        <v>929</v>
      </c>
      <c r="F765" s="2" t="s">
        <v>4795</v>
      </c>
      <c r="G765" s="2" t="s">
        <v>4796</v>
      </c>
      <c r="H765" s="2" t="s">
        <v>4797</v>
      </c>
      <c r="I765" s="2" t="s">
        <v>4798</v>
      </c>
      <c r="J765" s="2" t="s">
        <v>4688</v>
      </c>
      <c r="K765" s="2" t="s">
        <v>3711</v>
      </c>
      <c r="L765" s="3">
        <v>13.5</v>
      </c>
      <c r="M765" s="3">
        <v>14.18</v>
      </c>
      <c r="N765" s="3">
        <v>29.99</v>
      </c>
      <c r="O765" s="2" t="s">
        <v>203</v>
      </c>
      <c r="P765" s="2" t="s">
        <v>204</v>
      </c>
      <c r="Q765" s="2" t="s">
        <v>205</v>
      </c>
      <c r="R765" s="2" t="s">
        <v>206</v>
      </c>
      <c r="S765" s="2" t="s">
        <v>4808</v>
      </c>
      <c r="T765" s="2" t="s">
        <v>206</v>
      </c>
      <c r="U765" s="2" t="s">
        <v>437</v>
      </c>
      <c r="V765" s="2" t="s">
        <v>209</v>
      </c>
      <c r="W765" s="2" t="s">
        <v>1322</v>
      </c>
      <c r="X765" s="2" t="s">
        <v>929</v>
      </c>
      <c r="Y765" s="2" t="s">
        <v>458</v>
      </c>
      <c r="Z765" s="4">
        <v>475</v>
      </c>
      <c r="AA765" s="4">
        <f>=ROUNDDOWN(79.1666666666667,0)</f>
      </c>
      <c r="AB765" s="5">
        <v>6</v>
      </c>
      <c r="AC765" s="2" t="s">
        <v>206</v>
      </c>
      <c r="AD765" s="4"/>
      <c r="AE765" s="4"/>
      <c r="AF765" s="6">
        <v>65</v>
      </c>
      <c r="AG765" s="6"/>
      <c r="AH765" s="7">
        <v>1</v>
      </c>
      <c r="AI765" s="4"/>
      <c r="AJ765" s="4">
        <f>=ROUNDDOWN({0},0)</f>
      </c>
      <c r="AK765" s="5"/>
      <c r="AL765" s="2" t="s">
        <v>206</v>
      </c>
      <c r="AM765" s="4"/>
      <c r="AN765" s="4"/>
      <c r="AO765" s="7"/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 t="s">
        <v>206</v>
      </c>
      <c r="BD765" s="8" t="s">
        <v>206</v>
      </c>
      <c r="BE765" s="4" t="s">
        <v>206</v>
      </c>
      <c r="BF765" s="8" t="s">
        <v>206</v>
      </c>
      <c r="BG765" s="7" t="s">
        <v>206</v>
      </c>
      <c r="BH765" s="7" t="s">
        <v>206</v>
      </c>
      <c r="BI765" s="7"/>
      <c r="BJ765" s="4">
        <v>32</v>
      </c>
      <c r="BK765" s="8">
        <v>455.15</v>
      </c>
      <c r="BL765" s="2" t="s">
        <v>4809</v>
      </c>
      <c r="BM765" s="7"/>
      <c r="BN765" s="7"/>
      <c r="BO765" s="4"/>
      <c r="BP765" s="8"/>
      <c r="BQ765" s="4"/>
      <c r="BR765" s="8"/>
      <c r="BS765" s="7"/>
      <c r="BT765" s="7"/>
      <c r="BU765" s="2" t="s">
        <v>4810</v>
      </c>
      <c r="BV765" s="2" t="s">
        <v>206</v>
      </c>
      <c r="BW765" s="2" t="s">
        <v>206</v>
      </c>
      <c r="BX765" s="2" t="s">
        <v>214</v>
      </c>
      <c r="BY765" s="2" t="s">
        <v>215</v>
      </c>
      <c r="BZ765" s="2" t="s">
        <v>203</v>
      </c>
      <c r="CA765" s="2" t="s">
        <v>4811</v>
      </c>
      <c r="CB765" s="2" t="s">
        <v>4812</v>
      </c>
      <c r="CC765" s="2" t="s">
        <v>218</v>
      </c>
      <c r="CD765" s="2" t="s">
        <v>206</v>
      </c>
      <c r="CE765" s="4">
        <v>475</v>
      </c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  <c r="DE765" s="4"/>
      <c r="DF765" s="4"/>
      <c r="DG765" s="4"/>
      <c r="DH765" s="4"/>
      <c r="DI765" s="4"/>
      <c r="DJ765" s="4"/>
      <c r="DK765" s="4"/>
      <c r="DL765" s="4"/>
      <c r="DM765" s="4"/>
      <c r="DN765" s="4"/>
      <c r="DO765" s="4"/>
      <c r="DP765" s="4"/>
      <c r="DQ765" s="4"/>
      <c r="DR765" s="4"/>
      <c r="DS765" s="4"/>
      <c r="DT765" s="4"/>
      <c r="DU765" s="4"/>
      <c r="DV765" s="4"/>
      <c r="DW765" s="4"/>
      <c r="DX765" s="4"/>
      <c r="DY765" s="4"/>
      <c r="DZ765" s="4"/>
      <c r="EA765" s="4"/>
      <c r="EB765" s="4"/>
      <c r="EC765" s="4"/>
      <c r="ED765" s="4"/>
      <c r="EE765" s="4"/>
      <c r="EF765" s="4"/>
      <c r="EG765" s="4"/>
      <c r="EH765" s="4"/>
      <c r="EI765" s="4"/>
      <c r="EJ765" s="4"/>
      <c r="EK765" s="4"/>
      <c r="EL765" s="4"/>
      <c r="EM765" s="4"/>
      <c r="EN765" s="4"/>
      <c r="EO765" s="4"/>
      <c r="EP765" s="4"/>
      <c r="EQ765" s="4"/>
      <c r="ER765" s="4"/>
      <c r="ES765" s="4"/>
      <c r="ET765" s="4"/>
      <c r="EU765" s="4"/>
      <c r="EV765" s="4"/>
      <c r="EW765" s="4"/>
      <c r="EX765" s="4"/>
      <c r="EY765" s="4"/>
      <c r="EZ765" s="4"/>
      <c r="FA765" s="4"/>
      <c r="FB765" s="4"/>
      <c r="FC765" s="4"/>
      <c r="FD765" s="4"/>
      <c r="FE765" s="4"/>
      <c r="FF765" s="4"/>
      <c r="FG765" s="4"/>
      <c r="FH765" s="4"/>
      <c r="FI765" s="4"/>
      <c r="FJ765" s="4"/>
      <c r="FK765" s="4"/>
      <c r="FL765" s="4"/>
      <c r="FM765" s="4"/>
      <c r="FN765" s="4"/>
      <c r="FO765" s="4"/>
      <c r="FP765" s="4"/>
      <c r="FQ765" s="4"/>
      <c r="FR765" s="4"/>
      <c r="FS765" s="4"/>
      <c r="FT765" s="4"/>
      <c r="FU765" s="4"/>
      <c r="FV765" s="4"/>
      <c r="FW765" s="4"/>
      <c r="FX765" s="4"/>
      <c r="FY765" s="4"/>
      <c r="FZ765" s="4"/>
      <c r="GA765" s="4"/>
      <c r="GB765" s="4"/>
      <c r="GC765" s="4"/>
      <c r="GD765" s="4"/>
      <c r="GE765" s="4"/>
      <c r="GF765" s="4"/>
    </row>
    <row r="766">
      <c r="A766" s="2" t="s">
        <v>4813</v>
      </c>
      <c r="B766" s="2" t="s">
        <v>613</v>
      </c>
      <c r="C766" s="2" t="s">
        <v>287</v>
      </c>
      <c r="D766" s="2" t="s">
        <v>628</v>
      </c>
      <c r="E766" s="2" t="s">
        <v>929</v>
      </c>
      <c r="F766" s="2" t="s">
        <v>4795</v>
      </c>
      <c r="G766" s="2" t="s">
        <v>4796</v>
      </c>
      <c r="H766" s="2" t="s">
        <v>4797</v>
      </c>
      <c r="I766" s="2" t="s">
        <v>4798</v>
      </c>
      <c r="J766" s="2" t="s">
        <v>4688</v>
      </c>
      <c r="K766" s="2" t="s">
        <v>202</v>
      </c>
      <c r="L766" s="3">
        <v>13.5</v>
      </c>
      <c r="M766" s="3">
        <v>14.18</v>
      </c>
      <c r="N766" s="3">
        <v>29.99</v>
      </c>
      <c r="O766" s="2" t="s">
        <v>203</v>
      </c>
      <c r="P766" s="2" t="s">
        <v>773</v>
      </c>
      <c r="Q766" s="2" t="s">
        <v>205</v>
      </c>
      <c r="R766" s="2" t="s">
        <v>206</v>
      </c>
      <c r="S766" s="2" t="s">
        <v>4814</v>
      </c>
      <c r="T766" s="2" t="s">
        <v>206</v>
      </c>
      <c r="U766" s="2" t="s">
        <v>437</v>
      </c>
      <c r="V766" s="2" t="s">
        <v>209</v>
      </c>
      <c r="W766" s="2" t="s">
        <v>1322</v>
      </c>
      <c r="X766" s="2" t="s">
        <v>929</v>
      </c>
      <c r="Y766" s="2" t="s">
        <v>3498</v>
      </c>
      <c r="Z766" s="4">
        <v>121</v>
      </c>
      <c r="AA766" s="4">
        <f>=ROUNDDOWN(17.2857142857143,0)</f>
      </c>
      <c r="AB766" s="5">
        <v>7</v>
      </c>
      <c r="AC766" s="2" t="s">
        <v>5</v>
      </c>
      <c r="AD766" s="4">
        <v>96</v>
      </c>
      <c r="AE766" s="4">
        <v>96</v>
      </c>
      <c r="AF766" s="6">
        <v>65</v>
      </c>
      <c r="AG766" s="6"/>
      <c r="AH766" s="7">
        <v>1</v>
      </c>
      <c r="AI766" s="4"/>
      <c r="AJ766" s="4">
        <f>=ROUNDDOWN({0},0)</f>
      </c>
      <c r="AK766" s="5"/>
      <c r="AL766" s="2" t="s">
        <v>206</v>
      </c>
      <c r="AM766" s="4"/>
      <c r="AN766" s="4"/>
      <c r="AO766" s="7"/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 t="s">
        <v>206</v>
      </c>
      <c r="BD766" s="8" t="s">
        <v>206</v>
      </c>
      <c r="BE766" s="4" t="s">
        <v>206</v>
      </c>
      <c r="BF766" s="8" t="s">
        <v>206</v>
      </c>
      <c r="BG766" s="7" t="s">
        <v>206</v>
      </c>
      <c r="BH766" s="7" t="s">
        <v>206</v>
      </c>
      <c r="BI766" s="7"/>
      <c r="BJ766" s="4">
        <v>22</v>
      </c>
      <c r="BK766" s="8">
        <v>305.82</v>
      </c>
      <c r="BL766" s="2" t="s">
        <v>739</v>
      </c>
      <c r="BM766" s="7"/>
      <c r="BN766" s="7"/>
      <c r="BO766" s="4"/>
      <c r="BP766" s="8"/>
      <c r="BQ766" s="4"/>
      <c r="BR766" s="8"/>
      <c r="BS766" s="7"/>
      <c r="BT766" s="7"/>
      <c r="BU766" s="2" t="s">
        <v>4815</v>
      </c>
      <c r="BV766" s="2" t="s">
        <v>206</v>
      </c>
      <c r="BW766" s="2" t="s">
        <v>206</v>
      </c>
      <c r="BX766" s="2" t="s">
        <v>214</v>
      </c>
      <c r="BY766" s="2" t="s">
        <v>215</v>
      </c>
      <c r="BZ766" s="2" t="s">
        <v>203</v>
      </c>
      <c r="CA766" s="2" t="s">
        <v>1055</v>
      </c>
      <c r="CB766" s="2" t="s">
        <v>3502</v>
      </c>
      <c r="CC766" s="2" t="s">
        <v>218</v>
      </c>
      <c r="CD766" s="2" t="s">
        <v>206</v>
      </c>
      <c r="CE766" s="4">
        <v>121</v>
      </c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>
        <v>96</v>
      </c>
      <c r="CW766" s="4"/>
      <c r="CX766" s="4"/>
      <c r="CY766" s="4"/>
      <c r="CZ766" s="4"/>
      <c r="DA766" s="4"/>
      <c r="DB766" s="4"/>
      <c r="DC766" s="4"/>
      <c r="DD766" s="4"/>
      <c r="DE766" s="4"/>
      <c r="DF766" s="4"/>
      <c r="DG766" s="4"/>
      <c r="DH766" s="4"/>
      <c r="DI766" s="4"/>
      <c r="DJ766" s="4"/>
      <c r="DK766" s="4"/>
      <c r="DL766" s="4"/>
      <c r="DM766" s="4"/>
      <c r="DN766" s="4"/>
      <c r="DO766" s="4"/>
      <c r="DP766" s="4"/>
      <c r="DQ766" s="4"/>
      <c r="DR766" s="4"/>
      <c r="DS766" s="4"/>
      <c r="DT766" s="4"/>
      <c r="DU766" s="4"/>
      <c r="DV766" s="4"/>
      <c r="DW766" s="4"/>
      <c r="DX766" s="4"/>
      <c r="DY766" s="4"/>
      <c r="DZ766" s="4"/>
      <c r="EA766" s="4"/>
      <c r="EB766" s="4"/>
      <c r="EC766" s="4"/>
      <c r="ED766" s="4"/>
      <c r="EE766" s="4"/>
      <c r="EF766" s="4"/>
      <c r="EG766" s="4"/>
      <c r="EH766" s="4"/>
      <c r="EI766" s="4"/>
      <c r="EJ766" s="4"/>
      <c r="EK766" s="4"/>
      <c r="EL766" s="4"/>
      <c r="EM766" s="4"/>
      <c r="EN766" s="4"/>
      <c r="EO766" s="4"/>
      <c r="EP766" s="4"/>
      <c r="EQ766" s="4"/>
      <c r="ER766" s="4"/>
      <c r="ES766" s="4"/>
      <c r="ET766" s="4"/>
      <c r="EU766" s="4"/>
      <c r="EV766" s="4"/>
      <c r="EW766" s="4"/>
      <c r="EX766" s="4"/>
      <c r="EY766" s="4"/>
      <c r="EZ766" s="4"/>
      <c r="FA766" s="4"/>
      <c r="FB766" s="4"/>
      <c r="FC766" s="4"/>
      <c r="FD766" s="4"/>
      <c r="FE766" s="4"/>
      <c r="FF766" s="4"/>
      <c r="FG766" s="4"/>
      <c r="FH766" s="4"/>
      <c r="FI766" s="4"/>
      <c r="FJ766" s="4"/>
      <c r="FK766" s="4"/>
      <c r="FL766" s="4"/>
      <c r="FM766" s="4"/>
      <c r="FN766" s="4"/>
      <c r="FO766" s="4"/>
      <c r="FP766" s="4"/>
      <c r="FQ766" s="4"/>
      <c r="FR766" s="4"/>
      <c r="FS766" s="4"/>
      <c r="FT766" s="4"/>
      <c r="FU766" s="4"/>
      <c r="FV766" s="4"/>
      <c r="FW766" s="4"/>
      <c r="FX766" s="4"/>
      <c r="FY766" s="4"/>
      <c r="FZ766" s="4"/>
      <c r="GA766" s="4"/>
      <c r="GB766" s="4"/>
      <c r="GC766" s="4"/>
      <c r="GD766" s="4"/>
      <c r="GE766" s="4"/>
      <c r="GF766" s="4"/>
    </row>
    <row r="767">
      <c r="A767" s="2" t="s">
        <v>4816</v>
      </c>
      <c r="B767" s="2" t="s">
        <v>800</v>
      </c>
      <c r="C767" s="2" t="s">
        <v>287</v>
      </c>
      <c r="D767" s="2" t="s">
        <v>801</v>
      </c>
      <c r="E767" s="2" t="s">
        <v>1262</v>
      </c>
      <c r="F767" s="2" t="s">
        <v>4817</v>
      </c>
      <c r="G767" s="2" t="s">
        <v>4818</v>
      </c>
      <c r="H767" s="2" t="s">
        <v>4818</v>
      </c>
      <c r="I767" s="2" t="s">
        <v>4819</v>
      </c>
      <c r="J767" s="2" t="s">
        <v>806</v>
      </c>
      <c r="K767" s="2" t="s">
        <v>4820</v>
      </c>
      <c r="L767" s="3">
        <v>23.8</v>
      </c>
      <c r="M767" s="3">
        <v>24.99</v>
      </c>
      <c r="N767" s="3">
        <v>49.99</v>
      </c>
      <c r="O767" s="2" t="s">
        <v>203</v>
      </c>
      <c r="P767" s="2" t="s">
        <v>467</v>
      </c>
      <c r="Q767" s="2" t="s">
        <v>205</v>
      </c>
      <c r="R767" s="2" t="s">
        <v>206</v>
      </c>
      <c r="S767" s="2" t="s">
        <v>4821</v>
      </c>
      <c r="T767" s="2" t="s">
        <v>206</v>
      </c>
      <c r="U767" s="2" t="s">
        <v>437</v>
      </c>
      <c r="V767" s="2" t="s">
        <v>209</v>
      </c>
      <c r="W767" s="2" t="s">
        <v>210</v>
      </c>
      <c r="X767" s="2" t="s">
        <v>206</v>
      </c>
      <c r="Y767" s="2" t="s">
        <v>4822</v>
      </c>
      <c r="Z767" s="4">
        <v>390</v>
      </c>
      <c r="AA767" s="4">
        <f>=ROUNDDOWN(130,0)</f>
      </c>
      <c r="AB767" s="5">
        <v>3</v>
      </c>
      <c r="AC767" s="2" t="s">
        <v>206</v>
      </c>
      <c r="AD767" s="4"/>
      <c r="AE767" s="4"/>
      <c r="AF767" s="6">
        <v>65</v>
      </c>
      <c r="AG767" s="6"/>
      <c r="AH767" s="7">
        <v>1</v>
      </c>
      <c r="AI767" s="4"/>
      <c r="AJ767" s="4">
        <f>=ROUNDDOWN({0},0)</f>
      </c>
      <c r="AK767" s="5"/>
      <c r="AL767" s="2" t="s">
        <v>206</v>
      </c>
      <c r="AM767" s="4"/>
      <c r="AN767" s="4"/>
      <c r="AO767" s="7"/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 t="s">
        <v>206</v>
      </c>
      <c r="BD767" s="8" t="s">
        <v>206</v>
      </c>
      <c r="BE767" s="4" t="s">
        <v>206</v>
      </c>
      <c r="BF767" s="8" t="s">
        <v>206</v>
      </c>
      <c r="BG767" s="7" t="s">
        <v>206</v>
      </c>
      <c r="BH767" s="7" t="s">
        <v>206</v>
      </c>
      <c r="BI767" s="7"/>
      <c r="BJ767" s="4">
        <v>27</v>
      </c>
      <c r="BK767" s="8">
        <v>727.98</v>
      </c>
      <c r="BL767" s="2" t="s">
        <v>4823</v>
      </c>
      <c r="BM767" s="7"/>
      <c r="BN767" s="7"/>
      <c r="BO767" s="4"/>
      <c r="BP767" s="8"/>
      <c r="BQ767" s="4"/>
      <c r="BR767" s="8"/>
      <c r="BS767" s="7"/>
      <c r="BT767" s="7"/>
      <c r="BU767" s="2" t="s">
        <v>4824</v>
      </c>
      <c r="BV767" s="2" t="s">
        <v>206</v>
      </c>
      <c r="BW767" s="2" t="s">
        <v>206</v>
      </c>
      <c r="BX767" s="2" t="s">
        <v>214</v>
      </c>
      <c r="BY767" s="2" t="s">
        <v>215</v>
      </c>
      <c r="BZ767" s="2" t="s">
        <v>203</v>
      </c>
      <c r="CA767" s="2" t="s">
        <v>4825</v>
      </c>
      <c r="CB767" s="2" t="s">
        <v>2589</v>
      </c>
      <c r="CC767" s="2" t="s">
        <v>218</v>
      </c>
      <c r="CD767" s="2" t="s">
        <v>206</v>
      </c>
      <c r="CE767" s="4">
        <v>390</v>
      </c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  <c r="DE767" s="4"/>
      <c r="DF767" s="4"/>
      <c r="DG767" s="4"/>
      <c r="DH767" s="4"/>
      <c r="DI767" s="4"/>
      <c r="DJ767" s="4"/>
      <c r="DK767" s="4"/>
      <c r="DL767" s="4"/>
      <c r="DM767" s="4"/>
      <c r="DN767" s="4"/>
      <c r="DO767" s="4"/>
      <c r="DP767" s="4"/>
      <c r="DQ767" s="4"/>
      <c r="DR767" s="4"/>
      <c r="DS767" s="4"/>
      <c r="DT767" s="4"/>
      <c r="DU767" s="4"/>
      <c r="DV767" s="4"/>
      <c r="DW767" s="4"/>
      <c r="DX767" s="4"/>
      <c r="DY767" s="4"/>
      <c r="DZ767" s="4"/>
      <c r="EA767" s="4"/>
      <c r="EB767" s="4"/>
      <c r="EC767" s="4"/>
      <c r="ED767" s="4"/>
      <c r="EE767" s="4"/>
      <c r="EF767" s="4"/>
      <c r="EG767" s="4"/>
      <c r="EH767" s="4"/>
      <c r="EI767" s="4"/>
      <c r="EJ767" s="4"/>
      <c r="EK767" s="4"/>
      <c r="EL767" s="4"/>
      <c r="EM767" s="4"/>
      <c r="EN767" s="4"/>
      <c r="EO767" s="4"/>
      <c r="EP767" s="4"/>
      <c r="EQ767" s="4"/>
      <c r="ER767" s="4"/>
      <c r="ES767" s="4"/>
      <c r="ET767" s="4"/>
      <c r="EU767" s="4"/>
      <c r="EV767" s="4"/>
      <c r="EW767" s="4"/>
      <c r="EX767" s="4"/>
      <c r="EY767" s="4"/>
      <c r="EZ767" s="4"/>
      <c r="FA767" s="4"/>
      <c r="FB767" s="4"/>
      <c r="FC767" s="4"/>
      <c r="FD767" s="4"/>
      <c r="FE767" s="4"/>
      <c r="FF767" s="4"/>
      <c r="FG767" s="4"/>
      <c r="FH767" s="4"/>
      <c r="FI767" s="4"/>
      <c r="FJ767" s="4"/>
      <c r="FK767" s="4"/>
      <c r="FL767" s="4"/>
      <c r="FM767" s="4"/>
      <c r="FN767" s="4"/>
      <c r="FO767" s="4"/>
      <c r="FP767" s="4"/>
      <c r="FQ767" s="4"/>
      <c r="FR767" s="4"/>
      <c r="FS767" s="4"/>
      <c r="FT767" s="4"/>
      <c r="FU767" s="4"/>
      <c r="FV767" s="4"/>
      <c r="FW767" s="4"/>
      <c r="FX767" s="4"/>
      <c r="FY767" s="4"/>
      <c r="FZ767" s="4"/>
      <c r="GA767" s="4"/>
      <c r="GB767" s="4"/>
      <c r="GC767" s="4"/>
      <c r="GD767" s="4"/>
      <c r="GE767" s="4"/>
      <c r="GF767" s="4"/>
    </row>
    <row r="768">
      <c r="A768" s="2" t="s">
        <v>4826</v>
      </c>
      <c r="B768" s="2" t="s">
        <v>800</v>
      </c>
      <c r="C768" s="2" t="s">
        <v>287</v>
      </c>
      <c r="D768" s="2" t="s">
        <v>801</v>
      </c>
      <c r="E768" s="2" t="s">
        <v>1262</v>
      </c>
      <c r="F768" s="2" t="s">
        <v>4817</v>
      </c>
      <c r="G768" s="2" t="s">
        <v>4818</v>
      </c>
      <c r="H768" s="2" t="s">
        <v>4818</v>
      </c>
      <c r="I768" s="2" t="s">
        <v>4819</v>
      </c>
      <c r="J768" s="2" t="s">
        <v>806</v>
      </c>
      <c r="K768" s="2" t="s">
        <v>674</v>
      </c>
      <c r="L768" s="3">
        <v>23.8</v>
      </c>
      <c r="M768" s="3">
        <v>24.99</v>
      </c>
      <c r="N768" s="3">
        <v>49.99</v>
      </c>
      <c r="O768" s="2" t="s">
        <v>203</v>
      </c>
      <c r="P768" s="2" t="s">
        <v>204</v>
      </c>
      <c r="Q768" s="2" t="s">
        <v>205</v>
      </c>
      <c r="R768" s="2" t="s">
        <v>206</v>
      </c>
      <c r="S768" s="2" t="s">
        <v>4827</v>
      </c>
      <c r="T768" s="2" t="s">
        <v>206</v>
      </c>
      <c r="U768" s="2" t="s">
        <v>437</v>
      </c>
      <c r="V768" s="2" t="s">
        <v>209</v>
      </c>
      <c r="W768" s="2" t="s">
        <v>210</v>
      </c>
      <c r="X768" s="2" t="s">
        <v>206</v>
      </c>
      <c r="Y768" s="2" t="s">
        <v>950</v>
      </c>
      <c r="Z768" s="4">
        <v>260</v>
      </c>
      <c r="AA768" s="4">
        <f>=ROUNDDOWN(52,0)</f>
      </c>
      <c r="AB768" s="5">
        <v>5</v>
      </c>
      <c r="AC768" s="2" t="s">
        <v>206</v>
      </c>
      <c r="AD768" s="4"/>
      <c r="AE768" s="4"/>
      <c r="AF768" s="6">
        <v>65</v>
      </c>
      <c r="AG768" s="6"/>
      <c r="AH768" s="7">
        <v>1</v>
      </c>
      <c r="AI768" s="4"/>
      <c r="AJ768" s="4">
        <f>=ROUNDDOWN({0},0)</f>
      </c>
      <c r="AK768" s="5"/>
      <c r="AL768" s="2" t="s">
        <v>206</v>
      </c>
      <c r="AM768" s="4"/>
      <c r="AN768" s="4"/>
      <c r="AO768" s="7"/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 t="s">
        <v>206</v>
      </c>
      <c r="BD768" s="8" t="s">
        <v>206</v>
      </c>
      <c r="BE768" s="4" t="s">
        <v>206</v>
      </c>
      <c r="BF768" s="8" t="s">
        <v>206</v>
      </c>
      <c r="BG768" s="7" t="s">
        <v>206</v>
      </c>
      <c r="BH768" s="7" t="s">
        <v>206</v>
      </c>
      <c r="BI768" s="7"/>
      <c r="BJ768" s="4">
        <v>42</v>
      </c>
      <c r="BK768" s="8">
        <v>1169.63</v>
      </c>
      <c r="BL768" s="2" t="s">
        <v>4828</v>
      </c>
      <c r="BM768" s="7"/>
      <c r="BN768" s="7"/>
      <c r="BO768" s="4"/>
      <c r="BP768" s="8"/>
      <c r="BQ768" s="4"/>
      <c r="BR768" s="8"/>
      <c r="BS768" s="7"/>
      <c r="BT768" s="7"/>
      <c r="BU768" s="2" t="s">
        <v>4829</v>
      </c>
      <c r="BV768" s="2" t="s">
        <v>206</v>
      </c>
      <c r="BW768" s="2" t="s">
        <v>206</v>
      </c>
      <c r="BX768" s="2" t="s">
        <v>214</v>
      </c>
      <c r="BY768" s="2" t="s">
        <v>215</v>
      </c>
      <c r="BZ768" s="2" t="s">
        <v>203</v>
      </c>
      <c r="CA768" s="2" t="s">
        <v>4825</v>
      </c>
      <c r="CB768" s="2" t="s">
        <v>2912</v>
      </c>
      <c r="CC768" s="2" t="s">
        <v>218</v>
      </c>
      <c r="CD768" s="2" t="s">
        <v>206</v>
      </c>
      <c r="CE768" s="4">
        <v>260</v>
      </c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  <c r="DE768" s="4"/>
      <c r="DF768" s="4"/>
      <c r="DG768" s="4"/>
      <c r="DH768" s="4"/>
      <c r="DI768" s="4"/>
      <c r="DJ768" s="4"/>
      <c r="DK768" s="4"/>
      <c r="DL768" s="4"/>
      <c r="DM768" s="4"/>
      <c r="DN768" s="4"/>
      <c r="DO768" s="4"/>
      <c r="DP768" s="4"/>
      <c r="DQ768" s="4"/>
      <c r="DR768" s="4"/>
      <c r="DS768" s="4"/>
      <c r="DT768" s="4"/>
      <c r="DU768" s="4"/>
      <c r="DV768" s="4"/>
      <c r="DW768" s="4"/>
      <c r="DX768" s="4"/>
      <c r="DY768" s="4"/>
      <c r="DZ768" s="4"/>
      <c r="EA768" s="4"/>
      <c r="EB768" s="4"/>
      <c r="EC768" s="4"/>
      <c r="ED768" s="4"/>
      <c r="EE768" s="4"/>
      <c r="EF768" s="4"/>
      <c r="EG768" s="4"/>
      <c r="EH768" s="4"/>
      <c r="EI768" s="4"/>
      <c r="EJ768" s="4"/>
      <c r="EK768" s="4"/>
      <c r="EL768" s="4"/>
      <c r="EM768" s="4"/>
      <c r="EN768" s="4"/>
      <c r="EO768" s="4"/>
      <c r="EP768" s="4"/>
      <c r="EQ768" s="4"/>
      <c r="ER768" s="4"/>
      <c r="ES768" s="4"/>
      <c r="ET768" s="4"/>
      <c r="EU768" s="4"/>
      <c r="EV768" s="4"/>
      <c r="EW768" s="4"/>
      <c r="EX768" s="4"/>
      <c r="EY768" s="4"/>
      <c r="EZ768" s="4"/>
      <c r="FA768" s="4"/>
      <c r="FB768" s="4"/>
      <c r="FC768" s="4"/>
      <c r="FD768" s="4"/>
      <c r="FE768" s="4"/>
      <c r="FF768" s="4"/>
      <c r="FG768" s="4"/>
      <c r="FH768" s="4"/>
      <c r="FI768" s="4"/>
      <c r="FJ768" s="4"/>
      <c r="FK768" s="4"/>
      <c r="FL768" s="4"/>
      <c r="FM768" s="4"/>
      <c r="FN768" s="4"/>
      <c r="FO768" s="4"/>
      <c r="FP768" s="4"/>
      <c r="FQ768" s="4"/>
      <c r="FR768" s="4"/>
      <c r="FS768" s="4"/>
      <c r="FT768" s="4"/>
      <c r="FU768" s="4"/>
      <c r="FV768" s="4"/>
      <c r="FW768" s="4"/>
      <c r="FX768" s="4"/>
      <c r="FY768" s="4"/>
      <c r="FZ768" s="4"/>
      <c r="GA768" s="4"/>
      <c r="GB768" s="4"/>
      <c r="GC768" s="4"/>
      <c r="GD768" s="4"/>
      <c r="GE768" s="4"/>
      <c r="GF768" s="4"/>
    </row>
    <row r="769">
      <c r="A769" s="2" t="s">
        <v>4830</v>
      </c>
      <c r="B769" s="2" t="s">
        <v>613</v>
      </c>
      <c r="C769" s="2" t="s">
        <v>287</v>
      </c>
      <c r="D769" s="2" t="s">
        <v>628</v>
      </c>
      <c r="E769" s="2" t="s">
        <v>629</v>
      </c>
      <c r="F769" s="2" t="s">
        <v>4831</v>
      </c>
      <c r="G769" s="2" t="s">
        <v>4832</v>
      </c>
      <c r="H769" s="2" t="s">
        <v>4833</v>
      </c>
      <c r="I769" s="2" t="s">
        <v>4834</v>
      </c>
      <c r="J769" s="2" t="s">
        <v>4688</v>
      </c>
      <c r="K769" s="2" t="s">
        <v>4835</v>
      </c>
      <c r="L769" s="3">
        <v>13.5</v>
      </c>
      <c r="M769" s="3">
        <v>14.18</v>
      </c>
      <c r="N769" s="3">
        <v>29.99</v>
      </c>
      <c r="O769" s="2" t="s">
        <v>203</v>
      </c>
      <c r="P769" s="2" t="s">
        <v>204</v>
      </c>
      <c r="Q769" s="2" t="s">
        <v>205</v>
      </c>
      <c r="R769" s="2" t="s">
        <v>206</v>
      </c>
      <c r="S769" s="2" t="s">
        <v>4836</v>
      </c>
      <c r="T769" s="2" t="s">
        <v>206</v>
      </c>
      <c r="U769" s="2" t="s">
        <v>437</v>
      </c>
      <c r="V769" s="2" t="s">
        <v>958</v>
      </c>
      <c r="W769" s="2" t="s">
        <v>439</v>
      </c>
      <c r="X769" s="2" t="s">
        <v>633</v>
      </c>
      <c r="Y769" s="2" t="s">
        <v>211</v>
      </c>
      <c r="Z769" s="4">
        <v>92</v>
      </c>
      <c r="AA769" s="4">
        <f>=ROUNDDOWN(8.36363636363636,0)</f>
      </c>
      <c r="AB769" s="5">
        <v>11</v>
      </c>
      <c r="AC769" s="2" t="s">
        <v>108</v>
      </c>
      <c r="AD769" s="4">
        <v>200</v>
      </c>
      <c r="AE769" s="4">
        <v>380</v>
      </c>
      <c r="AF769" s="6">
        <v>65</v>
      </c>
      <c r="AG769" s="6"/>
      <c r="AH769" s="7">
        <v>1</v>
      </c>
      <c r="AI769" s="4"/>
      <c r="AJ769" s="4">
        <f>=ROUNDDOWN({0},0)</f>
      </c>
      <c r="AK769" s="5"/>
      <c r="AL769" s="2" t="s">
        <v>206</v>
      </c>
      <c r="AM769" s="4"/>
      <c r="AN769" s="4"/>
      <c r="AO769" s="7"/>
      <c r="AP769" s="4"/>
      <c r="AQ769" s="8"/>
      <c r="AR769" s="4"/>
      <c r="AS769" s="8"/>
      <c r="AT769" s="7"/>
      <c r="AU769" s="7"/>
      <c r="AV769" s="4" t="s">
        <v>206</v>
      </c>
      <c r="AW769" s="8" t="s">
        <v>206</v>
      </c>
      <c r="AX769" s="4" t="s">
        <v>206</v>
      </c>
      <c r="AY769" s="8" t="s">
        <v>206</v>
      </c>
      <c r="AZ769" s="7" t="s">
        <v>206</v>
      </c>
      <c r="BA769" s="7" t="s">
        <v>206</v>
      </c>
      <c r="BB769" s="7"/>
      <c r="BC769" s="4" t="s">
        <v>206</v>
      </c>
      <c r="BD769" s="8" t="s">
        <v>206</v>
      </c>
      <c r="BE769" s="4" t="s">
        <v>206</v>
      </c>
      <c r="BF769" s="8" t="s">
        <v>206</v>
      </c>
      <c r="BG769" s="7" t="s">
        <v>206</v>
      </c>
      <c r="BH769" s="7" t="s">
        <v>206</v>
      </c>
      <c r="BI769" s="7"/>
      <c r="BJ769" s="4">
        <v>13</v>
      </c>
      <c r="BK769" s="8">
        <v>177.11</v>
      </c>
      <c r="BL769" s="2" t="s">
        <v>4837</v>
      </c>
      <c r="BM769" s="7"/>
      <c r="BN769" s="7"/>
      <c r="BO769" s="4"/>
      <c r="BP769" s="8"/>
      <c r="BQ769" s="4"/>
      <c r="BR769" s="8"/>
      <c r="BS769" s="7"/>
      <c r="BT769" s="7"/>
      <c r="BU769" s="2" t="s">
        <v>4838</v>
      </c>
      <c r="BV769" s="2" t="s">
        <v>206</v>
      </c>
      <c r="BW769" s="2" t="s">
        <v>206</v>
      </c>
      <c r="BX769" s="2" t="s">
        <v>426</v>
      </c>
      <c r="BY769" s="2" t="s">
        <v>215</v>
      </c>
      <c r="BZ769" s="2" t="s">
        <v>203</v>
      </c>
      <c r="CA769" s="2" t="s">
        <v>938</v>
      </c>
      <c r="CB769" s="2" t="s">
        <v>4839</v>
      </c>
      <c r="CC769" s="2" t="s">
        <v>218</v>
      </c>
      <c r="CD769" s="2" t="s">
        <v>206</v>
      </c>
      <c r="CE769" s="4">
        <v>92</v>
      </c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>
        <v>200</v>
      </c>
      <c r="CU769" s="4"/>
      <c r="CV769" s="4"/>
      <c r="CW769" s="4"/>
      <c r="CX769" s="4"/>
      <c r="CY769" s="4"/>
      <c r="CZ769" s="4"/>
      <c r="DA769" s="4"/>
      <c r="DB769" s="4"/>
      <c r="DC769" s="4"/>
      <c r="DD769" s="4"/>
      <c r="DE769" s="4"/>
      <c r="DF769" s="4"/>
      <c r="DG769" s="4"/>
      <c r="DH769" s="4"/>
      <c r="DI769" s="4"/>
      <c r="DJ769" s="4"/>
      <c r="DK769" s="4"/>
      <c r="DL769" s="4"/>
      <c r="DM769" s="4"/>
      <c r="DN769" s="4"/>
      <c r="DO769" s="4"/>
      <c r="DP769" s="4"/>
      <c r="DQ769" s="4"/>
      <c r="DR769" s="4"/>
      <c r="DS769" s="4"/>
      <c r="DT769" s="4"/>
      <c r="DU769" s="4"/>
      <c r="DV769" s="4"/>
      <c r="DW769" s="4"/>
      <c r="DX769" s="4"/>
      <c r="DY769" s="4"/>
      <c r="DZ769" s="4"/>
      <c r="EA769" s="4">
        <v>92</v>
      </c>
      <c r="EB769" s="4"/>
      <c r="EC769" s="4"/>
      <c r="ED769" s="4"/>
      <c r="EE769" s="4"/>
      <c r="EF769" s="4"/>
      <c r="EG769" s="4"/>
      <c r="EH769" s="4"/>
      <c r="EI769" s="4"/>
      <c r="EJ769" s="4"/>
      <c r="EK769" s="4"/>
      <c r="EL769" s="4"/>
      <c r="EM769" s="4"/>
      <c r="EN769" s="4"/>
      <c r="EO769" s="4"/>
      <c r="EP769" s="4"/>
      <c r="EQ769" s="4"/>
      <c r="ER769" s="4"/>
      <c r="ES769" s="4"/>
      <c r="ET769" s="4"/>
      <c r="EU769" s="4"/>
      <c r="EV769" s="4"/>
      <c r="EW769" s="4"/>
      <c r="EX769" s="4"/>
      <c r="EY769" s="4"/>
      <c r="EZ769" s="4"/>
      <c r="FA769" s="4"/>
      <c r="FB769" s="4"/>
      <c r="FC769" s="4"/>
      <c r="FD769" s="4"/>
      <c r="FE769" s="4"/>
      <c r="FF769" s="4"/>
      <c r="FG769" s="4"/>
      <c r="FH769" s="4">
        <v>88</v>
      </c>
      <c r="FI769" s="4"/>
      <c r="FJ769" s="4"/>
      <c r="FK769" s="4"/>
      <c r="FL769" s="4"/>
      <c r="FM769" s="4"/>
      <c r="FN769" s="4"/>
      <c r="FO769" s="4"/>
      <c r="FP769" s="4"/>
      <c r="FQ769" s="4"/>
      <c r="FR769" s="4"/>
      <c r="FS769" s="4"/>
      <c r="FT769" s="4"/>
      <c r="FU769" s="4"/>
      <c r="FV769" s="4"/>
      <c r="FW769" s="4"/>
      <c r="FX769" s="4"/>
      <c r="FY769" s="4"/>
      <c r="FZ769" s="4"/>
      <c r="GA769" s="4"/>
      <c r="GB769" s="4"/>
      <c r="GC769" s="4"/>
      <c r="GD769" s="4"/>
      <c r="GE769" s="4"/>
      <c r="GF769" s="4"/>
    </row>
    <row r="770">
      <c r="A770" s="2" t="s">
        <v>4840</v>
      </c>
      <c r="B770" s="2" t="s">
        <v>613</v>
      </c>
      <c r="C770" s="2" t="s">
        <v>287</v>
      </c>
      <c r="D770" s="2" t="s">
        <v>628</v>
      </c>
      <c r="E770" s="2" t="s">
        <v>629</v>
      </c>
      <c r="F770" s="2" t="s">
        <v>4831</v>
      </c>
      <c r="G770" s="2" t="s">
        <v>4832</v>
      </c>
      <c r="H770" s="2" t="s">
        <v>4833</v>
      </c>
      <c r="I770" s="2" t="s">
        <v>4834</v>
      </c>
      <c r="J770" s="2" t="s">
        <v>731</v>
      </c>
      <c r="K770" s="2" t="s">
        <v>4835</v>
      </c>
      <c r="L770" s="3">
        <v>18.4</v>
      </c>
      <c r="M770" s="3">
        <v>19.32</v>
      </c>
      <c r="N770" s="3">
        <v>39.99</v>
      </c>
      <c r="O770" s="2" t="s">
        <v>203</v>
      </c>
      <c r="P770" s="2" t="s">
        <v>204</v>
      </c>
      <c r="Q770" s="2" t="s">
        <v>205</v>
      </c>
      <c r="R770" s="2" t="s">
        <v>206</v>
      </c>
      <c r="S770" s="2" t="s">
        <v>4836</v>
      </c>
      <c r="T770" s="2" t="s">
        <v>206</v>
      </c>
      <c r="U770" s="2" t="s">
        <v>437</v>
      </c>
      <c r="V770" s="2" t="s">
        <v>958</v>
      </c>
      <c r="W770" s="2" t="s">
        <v>439</v>
      </c>
      <c r="X770" s="2" t="s">
        <v>633</v>
      </c>
      <c r="Y770" s="2" t="s">
        <v>810</v>
      </c>
      <c r="Z770" s="4">
        <v>179</v>
      </c>
      <c r="AA770" s="4">
        <f>=ROUNDDOWN(22.375,0)</f>
      </c>
      <c r="AB770" s="5">
        <v>8</v>
      </c>
      <c r="AC770" s="2" t="s">
        <v>108</v>
      </c>
      <c r="AD770" s="4">
        <v>208</v>
      </c>
      <c r="AE770" s="4">
        <v>240</v>
      </c>
      <c r="AF770" s="6">
        <v>65</v>
      </c>
      <c r="AG770" s="6"/>
      <c r="AH770" s="7">
        <v>1</v>
      </c>
      <c r="AI770" s="4"/>
      <c r="AJ770" s="4">
        <f>=ROUNDDOWN({0},0)</f>
      </c>
      <c r="AK770" s="5"/>
      <c r="AL770" s="2" t="s">
        <v>206</v>
      </c>
      <c r="AM770" s="4"/>
      <c r="AN770" s="4"/>
      <c r="AO770" s="7"/>
      <c r="AP770" s="4"/>
      <c r="AQ770" s="8"/>
      <c r="AR770" s="4"/>
      <c r="AS770" s="8"/>
      <c r="AT770" s="7"/>
      <c r="AU770" s="7"/>
      <c r="AV770" s="4" t="s">
        <v>206</v>
      </c>
      <c r="AW770" s="8" t="s">
        <v>206</v>
      </c>
      <c r="AX770" s="4" t="s">
        <v>206</v>
      </c>
      <c r="AY770" s="8" t="s">
        <v>206</v>
      </c>
      <c r="AZ770" s="7" t="s">
        <v>206</v>
      </c>
      <c r="BA770" s="7" t="s">
        <v>206</v>
      </c>
      <c r="BB770" s="7"/>
      <c r="BC770" s="4" t="s">
        <v>206</v>
      </c>
      <c r="BD770" s="8" t="s">
        <v>206</v>
      </c>
      <c r="BE770" s="4" t="s">
        <v>206</v>
      </c>
      <c r="BF770" s="8" t="s">
        <v>206</v>
      </c>
      <c r="BG770" s="7" t="s">
        <v>206</v>
      </c>
      <c r="BH770" s="7" t="s">
        <v>206</v>
      </c>
      <c r="BI770" s="7"/>
      <c r="BJ770" s="4">
        <v>21</v>
      </c>
      <c r="BK770" s="8">
        <v>392.47</v>
      </c>
      <c r="BL770" s="2" t="s">
        <v>4841</v>
      </c>
      <c r="BM770" s="7"/>
      <c r="BN770" s="7"/>
      <c r="BO770" s="4"/>
      <c r="BP770" s="8"/>
      <c r="BQ770" s="4"/>
      <c r="BR770" s="8"/>
      <c r="BS770" s="7"/>
      <c r="BT770" s="7"/>
      <c r="BU770" s="2" t="s">
        <v>4842</v>
      </c>
      <c r="BV770" s="2" t="s">
        <v>206</v>
      </c>
      <c r="BW770" s="2" t="s">
        <v>206</v>
      </c>
      <c r="BX770" s="2" t="s">
        <v>426</v>
      </c>
      <c r="BY770" s="2" t="s">
        <v>215</v>
      </c>
      <c r="BZ770" s="2" t="s">
        <v>203</v>
      </c>
      <c r="CA770" s="2" t="s">
        <v>938</v>
      </c>
      <c r="CB770" s="2" t="s">
        <v>2150</v>
      </c>
      <c r="CC770" s="2" t="s">
        <v>218</v>
      </c>
      <c r="CD770" s="2" t="s">
        <v>206</v>
      </c>
      <c r="CE770" s="4">
        <v>179</v>
      </c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>
        <v>208</v>
      </c>
      <c r="CU770" s="4"/>
      <c r="CV770" s="4"/>
      <c r="CW770" s="4"/>
      <c r="CX770" s="4"/>
      <c r="CY770" s="4"/>
      <c r="CZ770" s="4"/>
      <c r="DA770" s="4"/>
      <c r="DB770" s="4"/>
      <c r="DC770" s="4"/>
      <c r="DD770" s="4"/>
      <c r="DE770" s="4"/>
      <c r="DF770" s="4"/>
      <c r="DG770" s="4"/>
      <c r="DH770" s="4"/>
      <c r="DI770" s="4"/>
      <c r="DJ770" s="4"/>
      <c r="DK770" s="4"/>
      <c r="DL770" s="4"/>
      <c r="DM770" s="4"/>
      <c r="DN770" s="4"/>
      <c r="DO770" s="4"/>
      <c r="DP770" s="4"/>
      <c r="DQ770" s="4"/>
      <c r="DR770" s="4"/>
      <c r="DS770" s="4"/>
      <c r="DT770" s="4"/>
      <c r="DU770" s="4"/>
      <c r="DV770" s="4"/>
      <c r="DW770" s="4"/>
      <c r="DX770" s="4"/>
      <c r="DY770" s="4"/>
      <c r="DZ770" s="4"/>
      <c r="EA770" s="4"/>
      <c r="EB770" s="4"/>
      <c r="EC770" s="4"/>
      <c r="ED770" s="4"/>
      <c r="EE770" s="4"/>
      <c r="EF770" s="4"/>
      <c r="EG770" s="4"/>
      <c r="EH770" s="4"/>
      <c r="EI770" s="4"/>
      <c r="EJ770" s="4"/>
      <c r="EK770" s="4"/>
      <c r="EL770" s="4"/>
      <c r="EM770" s="4"/>
      <c r="EN770" s="4"/>
      <c r="EO770" s="4"/>
      <c r="EP770" s="4"/>
      <c r="EQ770" s="4"/>
      <c r="ER770" s="4"/>
      <c r="ES770" s="4"/>
      <c r="ET770" s="4"/>
      <c r="EU770" s="4"/>
      <c r="EV770" s="4"/>
      <c r="EW770" s="4"/>
      <c r="EX770" s="4"/>
      <c r="EY770" s="4"/>
      <c r="EZ770" s="4"/>
      <c r="FA770" s="4"/>
      <c r="FB770" s="4"/>
      <c r="FC770" s="4"/>
      <c r="FD770" s="4"/>
      <c r="FE770" s="4"/>
      <c r="FF770" s="4"/>
      <c r="FG770" s="4"/>
      <c r="FH770" s="4">
        <v>32</v>
      </c>
      <c r="FI770" s="4"/>
      <c r="FJ770" s="4"/>
      <c r="FK770" s="4"/>
      <c r="FL770" s="4"/>
      <c r="FM770" s="4"/>
      <c r="FN770" s="4"/>
      <c r="FO770" s="4"/>
      <c r="FP770" s="4"/>
      <c r="FQ770" s="4"/>
      <c r="FR770" s="4"/>
      <c r="FS770" s="4"/>
      <c r="FT770" s="4"/>
      <c r="FU770" s="4"/>
      <c r="FV770" s="4"/>
      <c r="FW770" s="4"/>
      <c r="FX770" s="4"/>
      <c r="FY770" s="4"/>
      <c r="FZ770" s="4"/>
      <c r="GA770" s="4"/>
      <c r="GB770" s="4"/>
      <c r="GC770" s="4"/>
      <c r="GD770" s="4"/>
      <c r="GE770" s="4"/>
      <c r="GF770" s="4"/>
    </row>
    <row r="771">
      <c r="A771" s="2" t="s">
        <v>4843</v>
      </c>
      <c r="B771" s="2" t="s">
        <v>613</v>
      </c>
      <c r="C771" s="2" t="s">
        <v>287</v>
      </c>
      <c r="D771" s="2" t="s">
        <v>614</v>
      </c>
      <c r="E771" s="2" t="s">
        <v>615</v>
      </c>
      <c r="F771" s="2" t="s">
        <v>4831</v>
      </c>
      <c r="G771" s="2" t="s">
        <v>4832</v>
      </c>
      <c r="H771" s="2" t="s">
        <v>4833</v>
      </c>
      <c r="I771" s="2" t="s">
        <v>4844</v>
      </c>
      <c r="J771" s="2" t="s">
        <v>620</v>
      </c>
      <c r="K771" s="2" t="s">
        <v>4835</v>
      </c>
      <c r="L771" s="3">
        <v>11.25</v>
      </c>
      <c r="M771" s="3">
        <v>11.81</v>
      </c>
      <c r="N771" s="3">
        <v>24.99</v>
      </c>
      <c r="O771" s="2" t="s">
        <v>203</v>
      </c>
      <c r="P771" s="2" t="s">
        <v>204</v>
      </c>
      <c r="Q771" s="2" t="s">
        <v>205</v>
      </c>
      <c r="R771" s="2" t="s">
        <v>206</v>
      </c>
      <c r="S771" s="2" t="s">
        <v>4836</v>
      </c>
      <c r="T771" s="2" t="s">
        <v>206</v>
      </c>
      <c r="U771" s="2" t="s">
        <v>437</v>
      </c>
      <c r="V771" s="2" t="s">
        <v>958</v>
      </c>
      <c r="W771" s="2" t="s">
        <v>439</v>
      </c>
      <c r="X771" s="2" t="s">
        <v>206</v>
      </c>
      <c r="Y771" s="2" t="s">
        <v>211</v>
      </c>
      <c r="Z771" s="4">
        <v>353</v>
      </c>
      <c r="AA771" s="4">
        <f>=ROUNDDOWN(23.5333333333333,0)</f>
      </c>
      <c r="AB771" s="5">
        <v>15</v>
      </c>
      <c r="AC771" s="2" t="s">
        <v>108</v>
      </c>
      <c r="AD771" s="4">
        <v>100</v>
      </c>
      <c r="AE771" s="4">
        <v>320</v>
      </c>
      <c r="AF771" s="6">
        <v>65</v>
      </c>
      <c r="AG771" s="6"/>
      <c r="AH771" s="7">
        <v>1</v>
      </c>
      <c r="AI771" s="4"/>
      <c r="AJ771" s="4">
        <f>=ROUNDDOWN({0},0)</f>
      </c>
      <c r="AK771" s="5"/>
      <c r="AL771" s="2" t="s">
        <v>206</v>
      </c>
      <c r="AM771" s="4"/>
      <c r="AN771" s="4"/>
      <c r="AO771" s="7"/>
      <c r="AP771" s="4"/>
      <c r="AQ771" s="8"/>
      <c r="AR771" s="4"/>
      <c r="AS771" s="8"/>
      <c r="AT771" s="7"/>
      <c r="AU771" s="7"/>
      <c r="AV771" s="4" t="s">
        <v>206</v>
      </c>
      <c r="AW771" s="8" t="s">
        <v>206</v>
      </c>
      <c r="AX771" s="4" t="s">
        <v>206</v>
      </c>
      <c r="AY771" s="8" t="s">
        <v>206</v>
      </c>
      <c r="AZ771" s="7" t="s">
        <v>206</v>
      </c>
      <c r="BA771" s="7" t="s">
        <v>206</v>
      </c>
      <c r="BB771" s="7"/>
      <c r="BC771" s="4" t="s">
        <v>206</v>
      </c>
      <c r="BD771" s="8" t="s">
        <v>206</v>
      </c>
      <c r="BE771" s="4" t="s">
        <v>206</v>
      </c>
      <c r="BF771" s="8" t="s">
        <v>206</v>
      </c>
      <c r="BG771" s="7" t="s">
        <v>206</v>
      </c>
      <c r="BH771" s="7" t="s">
        <v>206</v>
      </c>
      <c r="BI771" s="7"/>
      <c r="BJ771" s="4">
        <v>53</v>
      </c>
      <c r="BK771" s="8">
        <v>601.76</v>
      </c>
      <c r="BL771" s="2" t="s">
        <v>256</v>
      </c>
      <c r="BM771" s="7"/>
      <c r="BN771" s="7"/>
      <c r="BO771" s="4"/>
      <c r="BP771" s="8"/>
      <c r="BQ771" s="4"/>
      <c r="BR771" s="8"/>
      <c r="BS771" s="7"/>
      <c r="BT771" s="7"/>
      <c r="BU771" s="2" t="s">
        <v>4845</v>
      </c>
      <c r="BV771" s="2" t="s">
        <v>206</v>
      </c>
      <c r="BW771" s="2" t="s">
        <v>206</v>
      </c>
      <c r="BX771" s="2" t="s">
        <v>214</v>
      </c>
      <c r="BY771" s="2" t="s">
        <v>215</v>
      </c>
      <c r="BZ771" s="2" t="s">
        <v>203</v>
      </c>
      <c r="CA771" s="2" t="s">
        <v>2144</v>
      </c>
      <c r="CB771" s="2" t="s">
        <v>4846</v>
      </c>
      <c r="CC771" s="2" t="s">
        <v>218</v>
      </c>
      <c r="CD771" s="2" t="s">
        <v>206</v>
      </c>
      <c r="CE771" s="4">
        <v>353</v>
      </c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>
        <v>100</v>
      </c>
      <c r="CU771" s="4"/>
      <c r="CV771" s="4"/>
      <c r="CW771" s="4"/>
      <c r="CX771" s="4"/>
      <c r="CY771" s="4"/>
      <c r="CZ771" s="4"/>
      <c r="DA771" s="4"/>
      <c r="DB771" s="4"/>
      <c r="DC771" s="4"/>
      <c r="DD771" s="4"/>
      <c r="DE771" s="4"/>
      <c r="DF771" s="4"/>
      <c r="DG771" s="4"/>
      <c r="DH771" s="4"/>
      <c r="DI771" s="4"/>
      <c r="DJ771" s="4"/>
      <c r="DK771" s="4"/>
      <c r="DL771" s="4"/>
      <c r="DM771" s="4"/>
      <c r="DN771" s="4"/>
      <c r="DO771" s="4"/>
      <c r="DP771" s="4"/>
      <c r="DQ771" s="4"/>
      <c r="DR771" s="4"/>
      <c r="DS771" s="4"/>
      <c r="DT771" s="4"/>
      <c r="DU771" s="4"/>
      <c r="DV771" s="4"/>
      <c r="DW771" s="4"/>
      <c r="DX771" s="4"/>
      <c r="DY771" s="4"/>
      <c r="DZ771" s="4"/>
      <c r="EA771" s="4">
        <v>88</v>
      </c>
      <c r="EB771" s="4"/>
      <c r="EC771" s="4"/>
      <c r="ED771" s="4"/>
      <c r="EE771" s="4"/>
      <c r="EF771" s="4"/>
      <c r="EG771" s="4"/>
      <c r="EH771" s="4"/>
      <c r="EI771" s="4"/>
      <c r="EJ771" s="4"/>
      <c r="EK771" s="4"/>
      <c r="EL771" s="4"/>
      <c r="EM771" s="4"/>
      <c r="EN771" s="4"/>
      <c r="EO771" s="4"/>
      <c r="EP771" s="4"/>
      <c r="EQ771" s="4"/>
      <c r="ER771" s="4"/>
      <c r="ES771" s="4"/>
      <c r="ET771" s="4"/>
      <c r="EU771" s="4"/>
      <c r="EV771" s="4"/>
      <c r="EW771" s="4"/>
      <c r="EX771" s="4"/>
      <c r="EY771" s="4"/>
      <c r="EZ771" s="4"/>
      <c r="FA771" s="4"/>
      <c r="FB771" s="4"/>
      <c r="FC771" s="4"/>
      <c r="FD771" s="4"/>
      <c r="FE771" s="4"/>
      <c r="FF771" s="4"/>
      <c r="FG771" s="4"/>
      <c r="FH771" s="4">
        <v>132</v>
      </c>
      <c r="FI771" s="4"/>
      <c r="FJ771" s="4"/>
      <c r="FK771" s="4"/>
      <c r="FL771" s="4"/>
      <c r="FM771" s="4"/>
      <c r="FN771" s="4"/>
      <c r="FO771" s="4"/>
      <c r="FP771" s="4"/>
      <c r="FQ771" s="4"/>
      <c r="FR771" s="4"/>
      <c r="FS771" s="4"/>
      <c r="FT771" s="4"/>
      <c r="FU771" s="4"/>
      <c r="FV771" s="4"/>
      <c r="FW771" s="4"/>
      <c r="FX771" s="4"/>
      <c r="FY771" s="4"/>
      <c r="FZ771" s="4"/>
      <c r="GA771" s="4"/>
      <c r="GB771" s="4"/>
      <c r="GC771" s="4"/>
      <c r="GD771" s="4"/>
      <c r="GE771" s="4"/>
      <c r="GF771" s="4"/>
    </row>
    <row r="772">
      <c r="A772" s="2" t="s">
        <v>4847</v>
      </c>
      <c r="B772" s="2" t="s">
        <v>613</v>
      </c>
      <c r="C772" s="2" t="s">
        <v>287</v>
      </c>
      <c r="D772" s="2" t="s">
        <v>628</v>
      </c>
      <c r="E772" s="2" t="s">
        <v>629</v>
      </c>
      <c r="F772" s="2" t="s">
        <v>4831</v>
      </c>
      <c r="G772" s="2" t="s">
        <v>4832</v>
      </c>
      <c r="H772" s="2" t="s">
        <v>4833</v>
      </c>
      <c r="I772" s="2" t="s">
        <v>4834</v>
      </c>
      <c r="J772" s="2" t="s">
        <v>4688</v>
      </c>
      <c r="K772" s="2" t="s">
        <v>4848</v>
      </c>
      <c r="L772" s="3">
        <v>13.5</v>
      </c>
      <c r="M772" s="3">
        <v>14.18</v>
      </c>
      <c r="N772" s="3">
        <v>29.99</v>
      </c>
      <c r="O772" s="2" t="s">
        <v>203</v>
      </c>
      <c r="P772" s="2" t="s">
        <v>204</v>
      </c>
      <c r="Q772" s="2" t="s">
        <v>205</v>
      </c>
      <c r="R772" s="2" t="s">
        <v>206</v>
      </c>
      <c r="S772" s="2" t="s">
        <v>4849</v>
      </c>
      <c r="T772" s="2" t="s">
        <v>206</v>
      </c>
      <c r="U772" s="2" t="s">
        <v>437</v>
      </c>
      <c r="V772" s="2" t="s">
        <v>958</v>
      </c>
      <c r="W772" s="2" t="s">
        <v>439</v>
      </c>
      <c r="X772" s="2" t="s">
        <v>633</v>
      </c>
      <c r="Y772" s="2" t="s">
        <v>211</v>
      </c>
      <c r="Z772" s="4">
        <v>528</v>
      </c>
      <c r="AA772" s="4">
        <f>=ROUNDDOWN(66,0)</f>
      </c>
      <c r="AB772" s="5">
        <v>8</v>
      </c>
      <c r="AC772" s="2" t="s">
        <v>206</v>
      </c>
      <c r="AD772" s="4"/>
      <c r="AE772" s="4"/>
      <c r="AF772" s="6">
        <v>65</v>
      </c>
      <c r="AG772" s="6"/>
      <c r="AH772" s="7">
        <v>1</v>
      </c>
      <c r="AI772" s="4"/>
      <c r="AJ772" s="4">
        <f>=ROUNDDOWN({0},0)</f>
      </c>
      <c r="AK772" s="5"/>
      <c r="AL772" s="2" t="s">
        <v>206</v>
      </c>
      <c r="AM772" s="4"/>
      <c r="AN772" s="4"/>
      <c r="AO772" s="7"/>
      <c r="AP772" s="4"/>
      <c r="AQ772" s="8"/>
      <c r="AR772" s="4"/>
      <c r="AS772" s="8"/>
      <c r="AT772" s="7"/>
      <c r="AU772" s="7"/>
      <c r="AV772" s="4" t="s">
        <v>206</v>
      </c>
      <c r="AW772" s="8" t="s">
        <v>206</v>
      </c>
      <c r="AX772" s="4" t="s">
        <v>206</v>
      </c>
      <c r="AY772" s="8" t="s">
        <v>206</v>
      </c>
      <c r="AZ772" s="7" t="s">
        <v>206</v>
      </c>
      <c r="BA772" s="7" t="s">
        <v>206</v>
      </c>
      <c r="BB772" s="7"/>
      <c r="BC772" s="4" t="s">
        <v>206</v>
      </c>
      <c r="BD772" s="8" t="s">
        <v>206</v>
      </c>
      <c r="BE772" s="4" t="s">
        <v>206</v>
      </c>
      <c r="BF772" s="8" t="s">
        <v>206</v>
      </c>
      <c r="BG772" s="7" t="s">
        <v>206</v>
      </c>
      <c r="BH772" s="7" t="s">
        <v>206</v>
      </c>
      <c r="BI772" s="7"/>
      <c r="BJ772" s="4">
        <v>37</v>
      </c>
      <c r="BK772" s="8">
        <v>526.26</v>
      </c>
      <c r="BL772" s="2" t="s">
        <v>4850</v>
      </c>
      <c r="BM772" s="7"/>
      <c r="BN772" s="7"/>
      <c r="BO772" s="4"/>
      <c r="BP772" s="8"/>
      <c r="BQ772" s="4"/>
      <c r="BR772" s="8"/>
      <c r="BS772" s="7"/>
      <c r="BT772" s="7"/>
      <c r="BU772" s="2" t="s">
        <v>4851</v>
      </c>
      <c r="BV772" s="2" t="s">
        <v>206</v>
      </c>
      <c r="BW772" s="2" t="s">
        <v>206</v>
      </c>
      <c r="BX772" s="2" t="s">
        <v>426</v>
      </c>
      <c r="BY772" s="2" t="s">
        <v>215</v>
      </c>
      <c r="BZ772" s="2" t="s">
        <v>203</v>
      </c>
      <c r="CA772" s="2" t="s">
        <v>216</v>
      </c>
      <c r="CB772" s="2" t="s">
        <v>747</v>
      </c>
      <c r="CC772" s="2" t="s">
        <v>218</v>
      </c>
      <c r="CD772" s="2" t="s">
        <v>206</v>
      </c>
      <c r="CE772" s="4">
        <v>528</v>
      </c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  <c r="DE772" s="4"/>
      <c r="DF772" s="4"/>
      <c r="DG772" s="4"/>
      <c r="DH772" s="4"/>
      <c r="DI772" s="4"/>
      <c r="DJ772" s="4"/>
      <c r="DK772" s="4"/>
      <c r="DL772" s="4"/>
      <c r="DM772" s="4"/>
      <c r="DN772" s="4"/>
      <c r="DO772" s="4"/>
      <c r="DP772" s="4"/>
      <c r="DQ772" s="4"/>
      <c r="DR772" s="4"/>
      <c r="DS772" s="4"/>
      <c r="DT772" s="4"/>
      <c r="DU772" s="4"/>
      <c r="DV772" s="4"/>
      <c r="DW772" s="4"/>
      <c r="DX772" s="4"/>
      <c r="DY772" s="4"/>
      <c r="DZ772" s="4"/>
      <c r="EA772" s="4"/>
      <c r="EB772" s="4"/>
      <c r="EC772" s="4"/>
      <c r="ED772" s="4"/>
      <c r="EE772" s="4"/>
      <c r="EF772" s="4"/>
      <c r="EG772" s="4"/>
      <c r="EH772" s="4"/>
      <c r="EI772" s="4"/>
      <c r="EJ772" s="4"/>
      <c r="EK772" s="4"/>
      <c r="EL772" s="4"/>
      <c r="EM772" s="4"/>
      <c r="EN772" s="4"/>
      <c r="EO772" s="4"/>
      <c r="EP772" s="4"/>
      <c r="EQ772" s="4"/>
      <c r="ER772" s="4"/>
      <c r="ES772" s="4"/>
      <c r="ET772" s="4"/>
      <c r="EU772" s="4"/>
      <c r="EV772" s="4"/>
      <c r="EW772" s="4"/>
      <c r="EX772" s="4"/>
      <c r="EY772" s="4"/>
      <c r="EZ772" s="4"/>
      <c r="FA772" s="4"/>
      <c r="FB772" s="4"/>
      <c r="FC772" s="4"/>
      <c r="FD772" s="4"/>
      <c r="FE772" s="4"/>
      <c r="FF772" s="4"/>
      <c r="FG772" s="4"/>
      <c r="FH772" s="4"/>
      <c r="FI772" s="4"/>
      <c r="FJ772" s="4"/>
      <c r="FK772" s="4"/>
      <c r="FL772" s="4"/>
      <c r="FM772" s="4"/>
      <c r="FN772" s="4"/>
      <c r="FO772" s="4"/>
      <c r="FP772" s="4"/>
      <c r="FQ772" s="4"/>
      <c r="FR772" s="4"/>
      <c r="FS772" s="4"/>
      <c r="FT772" s="4"/>
      <c r="FU772" s="4"/>
      <c r="FV772" s="4"/>
      <c r="FW772" s="4"/>
      <c r="FX772" s="4"/>
      <c r="FY772" s="4"/>
      <c r="FZ772" s="4"/>
      <c r="GA772" s="4"/>
      <c r="GB772" s="4"/>
      <c r="GC772" s="4"/>
      <c r="GD772" s="4"/>
      <c r="GE772" s="4"/>
      <c r="GF772" s="4"/>
    </row>
    <row r="773">
      <c r="A773" s="2" t="s">
        <v>4852</v>
      </c>
      <c r="B773" s="2" t="s">
        <v>613</v>
      </c>
      <c r="C773" s="2" t="s">
        <v>287</v>
      </c>
      <c r="D773" s="2" t="s">
        <v>628</v>
      </c>
      <c r="E773" s="2" t="s">
        <v>629</v>
      </c>
      <c r="F773" s="2" t="s">
        <v>4831</v>
      </c>
      <c r="G773" s="2" t="s">
        <v>4832</v>
      </c>
      <c r="H773" s="2" t="s">
        <v>4833</v>
      </c>
      <c r="I773" s="2" t="s">
        <v>4834</v>
      </c>
      <c r="J773" s="2" t="s">
        <v>631</v>
      </c>
      <c r="K773" s="2" t="s">
        <v>4848</v>
      </c>
      <c r="L773" s="3">
        <v>15.75</v>
      </c>
      <c r="M773" s="3">
        <v>16.54</v>
      </c>
      <c r="N773" s="3">
        <v>34.99</v>
      </c>
      <c r="O773" s="2" t="s">
        <v>203</v>
      </c>
      <c r="P773" s="2" t="s">
        <v>204</v>
      </c>
      <c r="Q773" s="2" t="s">
        <v>205</v>
      </c>
      <c r="R773" s="2" t="s">
        <v>206</v>
      </c>
      <c r="S773" s="2" t="s">
        <v>4849</v>
      </c>
      <c r="T773" s="2" t="s">
        <v>206</v>
      </c>
      <c r="U773" s="2" t="s">
        <v>437</v>
      </c>
      <c r="V773" s="2" t="s">
        <v>958</v>
      </c>
      <c r="W773" s="2" t="s">
        <v>439</v>
      </c>
      <c r="X773" s="2" t="s">
        <v>633</v>
      </c>
      <c r="Y773" s="2" t="s">
        <v>211</v>
      </c>
      <c r="Z773" s="4">
        <v>437</v>
      </c>
      <c r="AA773" s="4">
        <f>=ROUNDDOWN(23,0)</f>
      </c>
      <c r="AB773" s="5">
        <v>19</v>
      </c>
      <c r="AC773" s="2" t="s">
        <v>127</v>
      </c>
      <c r="AD773" s="4">
        <v>300</v>
      </c>
      <c r="AE773" s="4">
        <v>300</v>
      </c>
      <c r="AF773" s="6">
        <v>65</v>
      </c>
      <c r="AG773" s="6"/>
      <c r="AH773" s="7">
        <v>1</v>
      </c>
      <c r="AI773" s="4"/>
      <c r="AJ773" s="4">
        <f>=ROUNDDOWN({0},0)</f>
      </c>
      <c r="AK773" s="5"/>
      <c r="AL773" s="2" t="s">
        <v>206</v>
      </c>
      <c r="AM773" s="4"/>
      <c r="AN773" s="4"/>
      <c r="AO773" s="7"/>
      <c r="AP773" s="4"/>
      <c r="AQ773" s="8"/>
      <c r="AR773" s="4"/>
      <c r="AS773" s="8"/>
      <c r="AT773" s="7"/>
      <c r="AU773" s="7"/>
      <c r="AV773" s="4" t="s">
        <v>206</v>
      </c>
      <c r="AW773" s="8" t="s">
        <v>206</v>
      </c>
      <c r="AX773" s="4" t="s">
        <v>206</v>
      </c>
      <c r="AY773" s="8" t="s">
        <v>206</v>
      </c>
      <c r="AZ773" s="7" t="s">
        <v>206</v>
      </c>
      <c r="BA773" s="7" t="s">
        <v>206</v>
      </c>
      <c r="BB773" s="7"/>
      <c r="BC773" s="4" t="s">
        <v>206</v>
      </c>
      <c r="BD773" s="8" t="s">
        <v>206</v>
      </c>
      <c r="BE773" s="4" t="s">
        <v>206</v>
      </c>
      <c r="BF773" s="8" t="s">
        <v>206</v>
      </c>
      <c r="BG773" s="7" t="s">
        <v>206</v>
      </c>
      <c r="BH773" s="7" t="s">
        <v>206</v>
      </c>
      <c r="BI773" s="7"/>
      <c r="BJ773" s="4">
        <v>104</v>
      </c>
      <c r="BK773" s="8">
        <v>1665.15</v>
      </c>
      <c r="BL773" s="2" t="s">
        <v>4853</v>
      </c>
      <c r="BM773" s="7"/>
      <c r="BN773" s="7"/>
      <c r="BO773" s="4"/>
      <c r="BP773" s="8"/>
      <c r="BQ773" s="4"/>
      <c r="BR773" s="8"/>
      <c r="BS773" s="7"/>
      <c r="BT773" s="7"/>
      <c r="BU773" s="2" t="s">
        <v>4854</v>
      </c>
      <c r="BV773" s="2" t="s">
        <v>206</v>
      </c>
      <c r="BW773" s="2" t="s">
        <v>206</v>
      </c>
      <c r="BX773" s="2" t="s">
        <v>426</v>
      </c>
      <c r="BY773" s="2" t="s">
        <v>215</v>
      </c>
      <c r="BZ773" s="2" t="s">
        <v>203</v>
      </c>
      <c r="CA773" s="2" t="s">
        <v>216</v>
      </c>
      <c r="CB773" s="2" t="s">
        <v>4855</v>
      </c>
      <c r="CC773" s="2" t="s">
        <v>218</v>
      </c>
      <c r="CD773" s="2" t="s">
        <v>206</v>
      </c>
      <c r="CE773" s="4">
        <v>437</v>
      </c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  <c r="DE773" s="4"/>
      <c r="DF773" s="4"/>
      <c r="DG773" s="4"/>
      <c r="DH773" s="4"/>
      <c r="DI773" s="4"/>
      <c r="DJ773" s="4"/>
      <c r="DK773" s="4"/>
      <c r="DL773" s="4"/>
      <c r="DM773" s="4"/>
      <c r="DN773" s="4"/>
      <c r="DO773" s="4">
        <v>300</v>
      </c>
      <c r="DP773" s="4"/>
      <c r="DQ773" s="4"/>
      <c r="DR773" s="4"/>
      <c r="DS773" s="4"/>
      <c r="DT773" s="4"/>
      <c r="DU773" s="4"/>
      <c r="DV773" s="4"/>
      <c r="DW773" s="4"/>
      <c r="DX773" s="4"/>
      <c r="DY773" s="4"/>
      <c r="DZ773" s="4"/>
      <c r="EA773" s="4"/>
      <c r="EB773" s="4"/>
      <c r="EC773" s="4"/>
      <c r="ED773" s="4"/>
      <c r="EE773" s="4"/>
      <c r="EF773" s="4"/>
      <c r="EG773" s="4"/>
      <c r="EH773" s="4"/>
      <c r="EI773" s="4"/>
      <c r="EJ773" s="4"/>
      <c r="EK773" s="4"/>
      <c r="EL773" s="4"/>
      <c r="EM773" s="4"/>
      <c r="EN773" s="4"/>
      <c r="EO773" s="4"/>
      <c r="EP773" s="4"/>
      <c r="EQ773" s="4"/>
      <c r="ER773" s="4"/>
      <c r="ES773" s="4"/>
      <c r="ET773" s="4"/>
      <c r="EU773" s="4"/>
      <c r="EV773" s="4"/>
      <c r="EW773" s="4"/>
      <c r="EX773" s="4"/>
      <c r="EY773" s="4"/>
      <c r="EZ773" s="4"/>
      <c r="FA773" s="4"/>
      <c r="FB773" s="4"/>
      <c r="FC773" s="4"/>
      <c r="FD773" s="4"/>
      <c r="FE773" s="4"/>
      <c r="FF773" s="4"/>
      <c r="FG773" s="4"/>
      <c r="FH773" s="4"/>
      <c r="FI773" s="4"/>
      <c r="FJ773" s="4"/>
      <c r="FK773" s="4"/>
      <c r="FL773" s="4"/>
      <c r="FM773" s="4"/>
      <c r="FN773" s="4"/>
      <c r="FO773" s="4"/>
      <c r="FP773" s="4"/>
      <c r="FQ773" s="4"/>
      <c r="FR773" s="4"/>
      <c r="FS773" s="4"/>
      <c r="FT773" s="4"/>
      <c r="FU773" s="4"/>
      <c r="FV773" s="4"/>
      <c r="FW773" s="4"/>
      <c r="FX773" s="4"/>
      <c r="FY773" s="4"/>
      <c r="FZ773" s="4"/>
      <c r="GA773" s="4"/>
      <c r="GB773" s="4"/>
      <c r="GC773" s="4"/>
      <c r="GD773" s="4"/>
      <c r="GE773" s="4"/>
      <c r="GF773" s="4"/>
    </row>
    <row r="774">
      <c r="A774" s="2" t="s">
        <v>4856</v>
      </c>
      <c r="B774" s="2" t="s">
        <v>613</v>
      </c>
      <c r="C774" s="2" t="s">
        <v>287</v>
      </c>
      <c r="D774" s="2" t="s">
        <v>628</v>
      </c>
      <c r="E774" s="2" t="s">
        <v>629</v>
      </c>
      <c r="F774" s="2" t="s">
        <v>4831</v>
      </c>
      <c r="G774" s="2" t="s">
        <v>4832</v>
      </c>
      <c r="H774" s="2" t="s">
        <v>4833</v>
      </c>
      <c r="I774" s="2" t="s">
        <v>4834</v>
      </c>
      <c r="J774" s="2" t="s">
        <v>853</v>
      </c>
      <c r="K774" s="2" t="s">
        <v>4848</v>
      </c>
      <c r="L774" s="3">
        <v>20.7</v>
      </c>
      <c r="M774" s="3">
        <v>21.74</v>
      </c>
      <c r="N774" s="3">
        <v>44.99</v>
      </c>
      <c r="O774" s="2" t="s">
        <v>203</v>
      </c>
      <c r="P774" s="2" t="s">
        <v>204</v>
      </c>
      <c r="Q774" s="2" t="s">
        <v>205</v>
      </c>
      <c r="R774" s="2" t="s">
        <v>206</v>
      </c>
      <c r="S774" s="2" t="s">
        <v>4849</v>
      </c>
      <c r="T774" s="2" t="s">
        <v>206</v>
      </c>
      <c r="U774" s="2" t="s">
        <v>437</v>
      </c>
      <c r="V774" s="2" t="s">
        <v>958</v>
      </c>
      <c r="W774" s="2" t="s">
        <v>439</v>
      </c>
      <c r="X774" s="2" t="s">
        <v>633</v>
      </c>
      <c r="Y774" s="2" t="s">
        <v>211</v>
      </c>
      <c r="Z774" s="4">
        <v>171</v>
      </c>
      <c r="AA774" s="4">
        <f>=ROUNDDOWN(21.375,0)</f>
      </c>
      <c r="AB774" s="5">
        <v>8</v>
      </c>
      <c r="AC774" s="2" t="s">
        <v>127</v>
      </c>
      <c r="AD774" s="4">
        <v>100</v>
      </c>
      <c r="AE774" s="4">
        <v>100</v>
      </c>
      <c r="AF774" s="6">
        <v>65</v>
      </c>
      <c r="AG774" s="6"/>
      <c r="AH774" s="7">
        <v>1</v>
      </c>
      <c r="AI774" s="4"/>
      <c r="AJ774" s="4">
        <f>=ROUNDDOWN({0},0)</f>
      </c>
      <c r="AK774" s="5"/>
      <c r="AL774" s="2" t="s">
        <v>206</v>
      </c>
      <c r="AM774" s="4"/>
      <c r="AN774" s="4"/>
      <c r="AO774" s="7"/>
      <c r="AP774" s="4"/>
      <c r="AQ774" s="8"/>
      <c r="AR774" s="4"/>
      <c r="AS774" s="8"/>
      <c r="AT774" s="7"/>
      <c r="AU774" s="7"/>
      <c r="AV774" s="4" t="s">
        <v>206</v>
      </c>
      <c r="AW774" s="8" t="s">
        <v>206</v>
      </c>
      <c r="AX774" s="4" t="s">
        <v>206</v>
      </c>
      <c r="AY774" s="8" t="s">
        <v>206</v>
      </c>
      <c r="AZ774" s="7" t="s">
        <v>206</v>
      </c>
      <c r="BA774" s="7" t="s">
        <v>206</v>
      </c>
      <c r="BB774" s="7"/>
      <c r="BC774" s="4" t="s">
        <v>206</v>
      </c>
      <c r="BD774" s="8" t="s">
        <v>206</v>
      </c>
      <c r="BE774" s="4" t="s">
        <v>206</v>
      </c>
      <c r="BF774" s="8" t="s">
        <v>206</v>
      </c>
      <c r="BG774" s="7" t="s">
        <v>206</v>
      </c>
      <c r="BH774" s="7" t="s">
        <v>206</v>
      </c>
      <c r="BI774" s="7"/>
      <c r="BJ774" s="4">
        <v>5</v>
      </c>
      <c r="BK774" s="8">
        <v>109.89</v>
      </c>
      <c r="BL774" s="2" t="s">
        <v>4857</v>
      </c>
      <c r="BM774" s="7"/>
      <c r="BN774" s="7"/>
      <c r="BO774" s="4"/>
      <c r="BP774" s="8"/>
      <c r="BQ774" s="4"/>
      <c r="BR774" s="8"/>
      <c r="BS774" s="7"/>
      <c r="BT774" s="7"/>
      <c r="BU774" s="2" t="s">
        <v>4858</v>
      </c>
      <c r="BV774" s="2" t="s">
        <v>206</v>
      </c>
      <c r="BW774" s="2" t="s">
        <v>206</v>
      </c>
      <c r="BX774" s="2" t="s">
        <v>426</v>
      </c>
      <c r="BY774" s="2" t="s">
        <v>215</v>
      </c>
      <c r="BZ774" s="2" t="s">
        <v>203</v>
      </c>
      <c r="CA774" s="2" t="s">
        <v>216</v>
      </c>
      <c r="CB774" s="2" t="s">
        <v>4859</v>
      </c>
      <c r="CC774" s="2" t="s">
        <v>218</v>
      </c>
      <c r="CD774" s="2" t="s">
        <v>206</v>
      </c>
      <c r="CE774" s="4">
        <v>171</v>
      </c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  <c r="DE774" s="4"/>
      <c r="DF774" s="4"/>
      <c r="DG774" s="4"/>
      <c r="DH774" s="4"/>
      <c r="DI774" s="4"/>
      <c r="DJ774" s="4"/>
      <c r="DK774" s="4"/>
      <c r="DL774" s="4"/>
      <c r="DM774" s="4"/>
      <c r="DN774" s="4"/>
      <c r="DO774" s="4">
        <v>100</v>
      </c>
      <c r="DP774" s="4"/>
      <c r="DQ774" s="4"/>
      <c r="DR774" s="4"/>
      <c r="DS774" s="4"/>
      <c r="DT774" s="4"/>
      <c r="DU774" s="4"/>
      <c r="DV774" s="4"/>
      <c r="DW774" s="4"/>
      <c r="DX774" s="4"/>
      <c r="DY774" s="4"/>
      <c r="DZ774" s="4"/>
      <c r="EA774" s="4"/>
      <c r="EB774" s="4"/>
      <c r="EC774" s="4"/>
      <c r="ED774" s="4"/>
      <c r="EE774" s="4"/>
      <c r="EF774" s="4"/>
      <c r="EG774" s="4"/>
      <c r="EH774" s="4"/>
      <c r="EI774" s="4"/>
      <c r="EJ774" s="4"/>
      <c r="EK774" s="4"/>
      <c r="EL774" s="4"/>
      <c r="EM774" s="4"/>
      <c r="EN774" s="4"/>
      <c r="EO774" s="4"/>
      <c r="EP774" s="4"/>
      <c r="EQ774" s="4"/>
      <c r="ER774" s="4"/>
      <c r="ES774" s="4"/>
      <c r="ET774" s="4"/>
      <c r="EU774" s="4"/>
      <c r="EV774" s="4"/>
      <c r="EW774" s="4"/>
      <c r="EX774" s="4"/>
      <c r="EY774" s="4"/>
      <c r="EZ774" s="4"/>
      <c r="FA774" s="4"/>
      <c r="FB774" s="4"/>
      <c r="FC774" s="4"/>
      <c r="FD774" s="4"/>
      <c r="FE774" s="4"/>
      <c r="FF774" s="4"/>
      <c r="FG774" s="4"/>
      <c r="FH774" s="4"/>
      <c r="FI774" s="4"/>
      <c r="FJ774" s="4"/>
      <c r="FK774" s="4"/>
      <c r="FL774" s="4"/>
      <c r="FM774" s="4"/>
      <c r="FN774" s="4"/>
      <c r="FO774" s="4"/>
      <c r="FP774" s="4"/>
      <c r="FQ774" s="4"/>
      <c r="FR774" s="4"/>
      <c r="FS774" s="4"/>
      <c r="FT774" s="4"/>
      <c r="FU774" s="4"/>
      <c r="FV774" s="4"/>
      <c r="FW774" s="4"/>
      <c r="FX774" s="4"/>
      <c r="FY774" s="4"/>
      <c r="FZ774" s="4"/>
      <c r="GA774" s="4"/>
      <c r="GB774" s="4"/>
      <c r="GC774" s="4"/>
      <c r="GD774" s="4"/>
      <c r="GE774" s="4"/>
      <c r="GF774" s="4"/>
    </row>
    <row r="775">
      <c r="A775" s="2" t="s">
        <v>4860</v>
      </c>
      <c r="B775" s="2" t="s">
        <v>613</v>
      </c>
      <c r="C775" s="2" t="s">
        <v>287</v>
      </c>
      <c r="D775" s="2" t="s">
        <v>628</v>
      </c>
      <c r="E775" s="2" t="s">
        <v>629</v>
      </c>
      <c r="F775" s="2" t="s">
        <v>4831</v>
      </c>
      <c r="G775" s="2" t="s">
        <v>4832</v>
      </c>
      <c r="H775" s="2" t="s">
        <v>4833</v>
      </c>
      <c r="I775" s="2" t="s">
        <v>4834</v>
      </c>
      <c r="J775" s="2" t="s">
        <v>853</v>
      </c>
      <c r="K775" s="2" t="s">
        <v>4861</v>
      </c>
      <c r="L775" s="3">
        <v>20.7</v>
      </c>
      <c r="M775" s="3">
        <v>21.74</v>
      </c>
      <c r="N775" s="3">
        <v>44.99</v>
      </c>
      <c r="O775" s="2" t="s">
        <v>203</v>
      </c>
      <c r="P775" s="2" t="s">
        <v>204</v>
      </c>
      <c r="Q775" s="2" t="s">
        <v>205</v>
      </c>
      <c r="R775" s="2" t="s">
        <v>206</v>
      </c>
      <c r="S775" s="2" t="s">
        <v>4862</v>
      </c>
      <c r="T775" s="2" t="s">
        <v>206</v>
      </c>
      <c r="U775" s="2" t="s">
        <v>437</v>
      </c>
      <c r="V775" s="2" t="s">
        <v>958</v>
      </c>
      <c r="W775" s="2" t="s">
        <v>439</v>
      </c>
      <c r="X775" s="2" t="s">
        <v>633</v>
      </c>
      <c r="Y775" s="2" t="s">
        <v>211</v>
      </c>
      <c r="Z775" s="4">
        <v>193</v>
      </c>
      <c r="AA775" s="4">
        <f>=ROUNDDOWN(64.3333333333333,0)</f>
      </c>
      <c r="AB775" s="5">
        <v>3</v>
      </c>
      <c r="AC775" s="2" t="s">
        <v>206</v>
      </c>
      <c r="AD775" s="4"/>
      <c r="AE775" s="4"/>
      <c r="AF775" s="6">
        <v>65</v>
      </c>
      <c r="AG775" s="6"/>
      <c r="AH775" s="7">
        <v>1</v>
      </c>
      <c r="AI775" s="4"/>
      <c r="AJ775" s="4">
        <f>=ROUNDDOWN({0},0)</f>
      </c>
      <c r="AK775" s="5"/>
      <c r="AL775" s="2" t="s">
        <v>206</v>
      </c>
      <c r="AM775" s="4"/>
      <c r="AN775" s="4"/>
      <c r="AO775" s="7"/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 t="s">
        <v>206</v>
      </c>
      <c r="BD775" s="8" t="s">
        <v>206</v>
      </c>
      <c r="BE775" s="4" t="s">
        <v>206</v>
      </c>
      <c r="BF775" s="8" t="s">
        <v>206</v>
      </c>
      <c r="BG775" s="7" t="s">
        <v>206</v>
      </c>
      <c r="BH775" s="7" t="s">
        <v>206</v>
      </c>
      <c r="BI775" s="7"/>
      <c r="BJ775" s="4">
        <v>10</v>
      </c>
      <c r="BK775" s="8">
        <v>226.82</v>
      </c>
      <c r="BL775" s="2" t="s">
        <v>4863</v>
      </c>
      <c r="BM775" s="7"/>
      <c r="BN775" s="7"/>
      <c r="BO775" s="4"/>
      <c r="BP775" s="8"/>
      <c r="BQ775" s="4"/>
      <c r="BR775" s="8"/>
      <c r="BS775" s="7"/>
      <c r="BT775" s="7"/>
      <c r="BU775" s="2" t="s">
        <v>4864</v>
      </c>
      <c r="BV775" s="2" t="s">
        <v>206</v>
      </c>
      <c r="BW775" s="2" t="s">
        <v>206</v>
      </c>
      <c r="BX775" s="2" t="s">
        <v>426</v>
      </c>
      <c r="BY775" s="2" t="s">
        <v>215</v>
      </c>
      <c r="BZ775" s="2" t="s">
        <v>203</v>
      </c>
      <c r="CA775" s="2" t="s">
        <v>216</v>
      </c>
      <c r="CB775" s="2" t="s">
        <v>4644</v>
      </c>
      <c r="CC775" s="2" t="s">
        <v>218</v>
      </c>
      <c r="CD775" s="2" t="s">
        <v>206</v>
      </c>
      <c r="CE775" s="4">
        <v>193</v>
      </c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  <c r="DE775" s="4"/>
      <c r="DF775" s="4"/>
      <c r="DG775" s="4"/>
      <c r="DH775" s="4"/>
      <c r="DI775" s="4"/>
      <c r="DJ775" s="4"/>
      <c r="DK775" s="4"/>
      <c r="DL775" s="4"/>
      <c r="DM775" s="4"/>
      <c r="DN775" s="4"/>
      <c r="DO775" s="4"/>
      <c r="DP775" s="4"/>
      <c r="DQ775" s="4"/>
      <c r="DR775" s="4"/>
      <c r="DS775" s="4"/>
      <c r="DT775" s="4"/>
      <c r="DU775" s="4"/>
      <c r="DV775" s="4"/>
      <c r="DW775" s="4"/>
      <c r="DX775" s="4"/>
      <c r="DY775" s="4"/>
      <c r="DZ775" s="4"/>
      <c r="EA775" s="4"/>
      <c r="EB775" s="4"/>
      <c r="EC775" s="4"/>
      <c r="ED775" s="4"/>
      <c r="EE775" s="4"/>
      <c r="EF775" s="4"/>
      <c r="EG775" s="4"/>
      <c r="EH775" s="4"/>
      <c r="EI775" s="4"/>
      <c r="EJ775" s="4"/>
      <c r="EK775" s="4"/>
      <c r="EL775" s="4"/>
      <c r="EM775" s="4"/>
      <c r="EN775" s="4"/>
      <c r="EO775" s="4"/>
      <c r="EP775" s="4"/>
      <c r="EQ775" s="4"/>
      <c r="ER775" s="4"/>
      <c r="ES775" s="4"/>
      <c r="ET775" s="4"/>
      <c r="EU775" s="4"/>
      <c r="EV775" s="4"/>
      <c r="EW775" s="4"/>
      <c r="EX775" s="4"/>
      <c r="EY775" s="4"/>
      <c r="EZ775" s="4"/>
      <c r="FA775" s="4"/>
      <c r="FB775" s="4"/>
      <c r="FC775" s="4"/>
      <c r="FD775" s="4"/>
      <c r="FE775" s="4"/>
      <c r="FF775" s="4"/>
      <c r="FG775" s="4"/>
      <c r="FH775" s="4"/>
      <c r="FI775" s="4"/>
      <c r="FJ775" s="4"/>
      <c r="FK775" s="4"/>
      <c r="FL775" s="4"/>
      <c r="FM775" s="4"/>
      <c r="FN775" s="4"/>
      <c r="FO775" s="4"/>
      <c r="FP775" s="4"/>
      <c r="FQ775" s="4"/>
      <c r="FR775" s="4"/>
      <c r="FS775" s="4"/>
      <c r="FT775" s="4"/>
      <c r="FU775" s="4"/>
      <c r="FV775" s="4"/>
      <c r="FW775" s="4"/>
      <c r="FX775" s="4"/>
      <c r="FY775" s="4"/>
      <c r="FZ775" s="4"/>
      <c r="GA775" s="4"/>
      <c r="GB775" s="4"/>
      <c r="GC775" s="4"/>
      <c r="GD775" s="4"/>
      <c r="GE775" s="4"/>
      <c r="GF775" s="4"/>
    </row>
    <row r="776">
      <c r="A776" s="2" t="s">
        <v>4865</v>
      </c>
      <c r="B776" s="2" t="s">
        <v>613</v>
      </c>
      <c r="C776" s="2" t="s">
        <v>287</v>
      </c>
      <c r="D776" s="2" t="s">
        <v>628</v>
      </c>
      <c r="E776" s="2" t="s">
        <v>629</v>
      </c>
      <c r="F776" s="2" t="s">
        <v>4831</v>
      </c>
      <c r="G776" s="2" t="s">
        <v>4832</v>
      </c>
      <c r="H776" s="2" t="s">
        <v>4833</v>
      </c>
      <c r="I776" s="2" t="s">
        <v>4834</v>
      </c>
      <c r="J776" s="2" t="s">
        <v>4688</v>
      </c>
      <c r="K776" s="2" t="s">
        <v>4866</v>
      </c>
      <c r="L776" s="3">
        <v>13.5</v>
      </c>
      <c r="M776" s="3">
        <v>14.18</v>
      </c>
      <c r="N776" s="3">
        <v>29.99</v>
      </c>
      <c r="O776" s="2" t="s">
        <v>203</v>
      </c>
      <c r="P776" s="2" t="s">
        <v>204</v>
      </c>
      <c r="Q776" s="2" t="s">
        <v>205</v>
      </c>
      <c r="R776" s="2" t="s">
        <v>206</v>
      </c>
      <c r="S776" s="2" t="s">
        <v>4867</v>
      </c>
      <c r="T776" s="2" t="s">
        <v>206</v>
      </c>
      <c r="U776" s="2" t="s">
        <v>437</v>
      </c>
      <c r="V776" s="2" t="s">
        <v>958</v>
      </c>
      <c r="W776" s="2" t="s">
        <v>439</v>
      </c>
      <c r="X776" s="2" t="s">
        <v>633</v>
      </c>
      <c r="Y776" s="2" t="s">
        <v>211</v>
      </c>
      <c r="Z776" s="4">
        <v>150</v>
      </c>
      <c r="AA776" s="4">
        <f>=ROUNDDOWN(21.4285714285714,0)</f>
      </c>
      <c r="AB776" s="5">
        <v>7</v>
      </c>
      <c r="AC776" s="2" t="s">
        <v>5</v>
      </c>
      <c r="AD776" s="4">
        <v>116</v>
      </c>
      <c r="AE776" s="4">
        <v>216</v>
      </c>
      <c r="AF776" s="6">
        <v>65</v>
      </c>
      <c r="AG776" s="6"/>
      <c r="AH776" s="7">
        <v>1</v>
      </c>
      <c r="AI776" s="4"/>
      <c r="AJ776" s="4">
        <f>=ROUNDDOWN({0},0)</f>
      </c>
      <c r="AK776" s="5"/>
      <c r="AL776" s="2" t="s">
        <v>206</v>
      </c>
      <c r="AM776" s="4"/>
      <c r="AN776" s="4"/>
      <c r="AO776" s="7"/>
      <c r="AP776" s="4"/>
      <c r="AQ776" s="8"/>
      <c r="AR776" s="4"/>
      <c r="AS776" s="8"/>
      <c r="AT776" s="7"/>
      <c r="AU776" s="7"/>
      <c r="AV776" s="4" t="s">
        <v>206</v>
      </c>
      <c r="AW776" s="8" t="s">
        <v>206</v>
      </c>
      <c r="AX776" s="4" t="s">
        <v>206</v>
      </c>
      <c r="AY776" s="8" t="s">
        <v>206</v>
      </c>
      <c r="AZ776" s="7" t="s">
        <v>206</v>
      </c>
      <c r="BA776" s="7" t="s">
        <v>206</v>
      </c>
      <c r="BB776" s="7"/>
      <c r="BC776" s="4" t="s">
        <v>206</v>
      </c>
      <c r="BD776" s="8" t="s">
        <v>206</v>
      </c>
      <c r="BE776" s="4" t="s">
        <v>206</v>
      </c>
      <c r="BF776" s="8" t="s">
        <v>206</v>
      </c>
      <c r="BG776" s="7" t="s">
        <v>206</v>
      </c>
      <c r="BH776" s="7" t="s">
        <v>206</v>
      </c>
      <c r="BI776" s="7"/>
      <c r="BJ776" s="4">
        <v>21</v>
      </c>
      <c r="BK776" s="8">
        <v>271.7</v>
      </c>
      <c r="BL776" s="2" t="s">
        <v>1864</v>
      </c>
      <c r="BM776" s="7"/>
      <c r="BN776" s="7"/>
      <c r="BO776" s="4"/>
      <c r="BP776" s="8"/>
      <c r="BQ776" s="4"/>
      <c r="BR776" s="8"/>
      <c r="BS776" s="7"/>
      <c r="BT776" s="7"/>
      <c r="BU776" s="2" t="s">
        <v>4868</v>
      </c>
      <c r="BV776" s="2" t="s">
        <v>206</v>
      </c>
      <c r="BW776" s="2" t="s">
        <v>206</v>
      </c>
      <c r="BX776" s="2" t="s">
        <v>426</v>
      </c>
      <c r="BY776" s="2" t="s">
        <v>215</v>
      </c>
      <c r="BZ776" s="2" t="s">
        <v>203</v>
      </c>
      <c r="CA776" s="2" t="s">
        <v>216</v>
      </c>
      <c r="CB776" s="2" t="s">
        <v>4869</v>
      </c>
      <c r="CC776" s="2" t="s">
        <v>218</v>
      </c>
      <c r="CD776" s="2" t="s">
        <v>206</v>
      </c>
      <c r="CE776" s="4">
        <v>150</v>
      </c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>
        <v>116</v>
      </c>
      <c r="CW776" s="4"/>
      <c r="CX776" s="4"/>
      <c r="CY776" s="4"/>
      <c r="CZ776" s="4"/>
      <c r="DA776" s="4"/>
      <c r="DB776" s="4"/>
      <c r="DC776" s="4"/>
      <c r="DD776" s="4"/>
      <c r="DE776" s="4"/>
      <c r="DF776" s="4"/>
      <c r="DG776" s="4"/>
      <c r="DH776" s="4"/>
      <c r="DI776" s="4"/>
      <c r="DJ776" s="4"/>
      <c r="DK776" s="4"/>
      <c r="DL776" s="4"/>
      <c r="DM776" s="4"/>
      <c r="DN776" s="4"/>
      <c r="DO776" s="4"/>
      <c r="DP776" s="4"/>
      <c r="DQ776" s="4"/>
      <c r="DR776" s="4"/>
      <c r="DS776" s="4"/>
      <c r="DT776" s="4"/>
      <c r="DU776" s="4"/>
      <c r="DV776" s="4"/>
      <c r="DW776" s="4"/>
      <c r="DX776" s="4"/>
      <c r="DY776" s="4"/>
      <c r="DZ776" s="4"/>
      <c r="EA776" s="4"/>
      <c r="EB776" s="4"/>
      <c r="EC776" s="4"/>
      <c r="ED776" s="4"/>
      <c r="EE776" s="4"/>
      <c r="EF776" s="4"/>
      <c r="EG776" s="4"/>
      <c r="EH776" s="4"/>
      <c r="EI776" s="4"/>
      <c r="EJ776" s="4"/>
      <c r="EK776" s="4"/>
      <c r="EL776" s="4">
        <v>100</v>
      </c>
      <c r="EM776" s="4"/>
      <c r="EN776" s="4"/>
      <c r="EO776" s="4"/>
      <c r="EP776" s="4"/>
      <c r="EQ776" s="4"/>
      <c r="ER776" s="4"/>
      <c r="ES776" s="4"/>
      <c r="ET776" s="4"/>
      <c r="EU776" s="4"/>
      <c r="EV776" s="4"/>
      <c r="EW776" s="4"/>
      <c r="EX776" s="4"/>
      <c r="EY776" s="4"/>
      <c r="EZ776" s="4"/>
      <c r="FA776" s="4"/>
      <c r="FB776" s="4"/>
      <c r="FC776" s="4"/>
      <c r="FD776" s="4"/>
      <c r="FE776" s="4"/>
      <c r="FF776" s="4"/>
      <c r="FG776" s="4"/>
      <c r="FH776" s="4"/>
      <c r="FI776" s="4"/>
      <c r="FJ776" s="4"/>
      <c r="FK776" s="4"/>
      <c r="FL776" s="4"/>
      <c r="FM776" s="4"/>
      <c r="FN776" s="4"/>
      <c r="FO776" s="4"/>
      <c r="FP776" s="4"/>
      <c r="FQ776" s="4"/>
      <c r="FR776" s="4"/>
      <c r="FS776" s="4"/>
      <c r="FT776" s="4"/>
      <c r="FU776" s="4"/>
      <c r="FV776" s="4"/>
      <c r="FW776" s="4"/>
      <c r="FX776" s="4"/>
      <c r="FY776" s="4"/>
      <c r="FZ776" s="4"/>
      <c r="GA776" s="4"/>
      <c r="GB776" s="4"/>
      <c r="GC776" s="4"/>
      <c r="GD776" s="4"/>
      <c r="GE776" s="4"/>
      <c r="GF776" s="4"/>
    </row>
    <row r="777">
      <c r="A777" s="2" t="s">
        <v>4870</v>
      </c>
      <c r="B777" s="2" t="s">
        <v>613</v>
      </c>
      <c r="C777" s="2" t="s">
        <v>287</v>
      </c>
      <c r="D777" s="2" t="s">
        <v>628</v>
      </c>
      <c r="E777" s="2" t="s">
        <v>629</v>
      </c>
      <c r="F777" s="2" t="s">
        <v>4831</v>
      </c>
      <c r="G777" s="2" t="s">
        <v>4832</v>
      </c>
      <c r="H777" s="2" t="s">
        <v>4833</v>
      </c>
      <c r="I777" s="2" t="s">
        <v>4834</v>
      </c>
      <c r="J777" s="2" t="s">
        <v>631</v>
      </c>
      <c r="K777" s="2" t="s">
        <v>4866</v>
      </c>
      <c r="L777" s="3">
        <v>15.75</v>
      </c>
      <c r="M777" s="3">
        <v>16.54</v>
      </c>
      <c r="N777" s="3">
        <v>34.99</v>
      </c>
      <c r="O777" s="2" t="s">
        <v>203</v>
      </c>
      <c r="P777" s="2" t="s">
        <v>204</v>
      </c>
      <c r="Q777" s="2" t="s">
        <v>205</v>
      </c>
      <c r="R777" s="2" t="s">
        <v>206</v>
      </c>
      <c r="S777" s="2" t="s">
        <v>4867</v>
      </c>
      <c r="T777" s="2" t="s">
        <v>206</v>
      </c>
      <c r="U777" s="2" t="s">
        <v>437</v>
      </c>
      <c r="V777" s="2" t="s">
        <v>958</v>
      </c>
      <c r="W777" s="2" t="s">
        <v>439</v>
      </c>
      <c r="X777" s="2" t="s">
        <v>633</v>
      </c>
      <c r="Y777" s="2" t="s">
        <v>211</v>
      </c>
      <c r="Z777" s="4">
        <v>409</v>
      </c>
      <c r="AA777" s="4">
        <f>=ROUNDDOWN(34.0833333333333,0)</f>
      </c>
      <c r="AB777" s="5">
        <v>12</v>
      </c>
      <c r="AC777" s="2" t="s">
        <v>5</v>
      </c>
      <c r="AD777" s="4">
        <v>80</v>
      </c>
      <c r="AE777" s="4">
        <v>252</v>
      </c>
      <c r="AF777" s="6">
        <v>65</v>
      </c>
      <c r="AG777" s="6"/>
      <c r="AH777" s="7">
        <v>1</v>
      </c>
      <c r="AI777" s="4"/>
      <c r="AJ777" s="4">
        <f>=ROUNDDOWN({0},0)</f>
      </c>
      <c r="AK777" s="5"/>
      <c r="AL777" s="2" t="s">
        <v>206</v>
      </c>
      <c r="AM777" s="4"/>
      <c r="AN777" s="4"/>
      <c r="AO777" s="7"/>
      <c r="AP777" s="4"/>
      <c r="AQ777" s="8"/>
      <c r="AR777" s="4"/>
      <c r="AS777" s="8"/>
      <c r="AT777" s="7"/>
      <c r="AU777" s="7"/>
      <c r="AV777" s="4" t="s">
        <v>206</v>
      </c>
      <c r="AW777" s="8" t="s">
        <v>206</v>
      </c>
      <c r="AX777" s="4" t="s">
        <v>206</v>
      </c>
      <c r="AY777" s="8" t="s">
        <v>206</v>
      </c>
      <c r="AZ777" s="7" t="s">
        <v>206</v>
      </c>
      <c r="BA777" s="7" t="s">
        <v>206</v>
      </c>
      <c r="BB777" s="7"/>
      <c r="BC777" s="4" t="s">
        <v>206</v>
      </c>
      <c r="BD777" s="8" t="s">
        <v>206</v>
      </c>
      <c r="BE777" s="4" t="s">
        <v>206</v>
      </c>
      <c r="BF777" s="8" t="s">
        <v>206</v>
      </c>
      <c r="BG777" s="7" t="s">
        <v>206</v>
      </c>
      <c r="BH777" s="7" t="s">
        <v>206</v>
      </c>
      <c r="BI777" s="7"/>
      <c r="BJ777" s="4">
        <v>30</v>
      </c>
      <c r="BK777" s="8">
        <v>618.92</v>
      </c>
      <c r="BL777" s="2" t="s">
        <v>4850</v>
      </c>
      <c r="BM777" s="7"/>
      <c r="BN777" s="7"/>
      <c r="BO777" s="4"/>
      <c r="BP777" s="8"/>
      <c r="BQ777" s="4"/>
      <c r="BR777" s="8"/>
      <c r="BS777" s="7"/>
      <c r="BT777" s="7"/>
      <c r="BU777" s="2" t="s">
        <v>4871</v>
      </c>
      <c r="BV777" s="2" t="s">
        <v>206</v>
      </c>
      <c r="BW777" s="2" t="s">
        <v>206</v>
      </c>
      <c r="BX777" s="2" t="s">
        <v>426</v>
      </c>
      <c r="BY777" s="2" t="s">
        <v>215</v>
      </c>
      <c r="BZ777" s="2" t="s">
        <v>203</v>
      </c>
      <c r="CA777" s="2" t="s">
        <v>216</v>
      </c>
      <c r="CB777" s="2" t="s">
        <v>4872</v>
      </c>
      <c r="CC777" s="2" t="s">
        <v>218</v>
      </c>
      <c r="CD777" s="2" t="s">
        <v>206</v>
      </c>
      <c r="CE777" s="4">
        <v>409</v>
      </c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>
        <v>80</v>
      </c>
      <c r="CW777" s="4"/>
      <c r="CX777" s="4"/>
      <c r="CY777" s="4"/>
      <c r="CZ777" s="4"/>
      <c r="DA777" s="4"/>
      <c r="DB777" s="4"/>
      <c r="DC777" s="4"/>
      <c r="DD777" s="4"/>
      <c r="DE777" s="4"/>
      <c r="DF777" s="4"/>
      <c r="DG777" s="4"/>
      <c r="DH777" s="4"/>
      <c r="DI777" s="4"/>
      <c r="DJ777" s="4"/>
      <c r="DK777" s="4"/>
      <c r="DL777" s="4"/>
      <c r="DM777" s="4"/>
      <c r="DN777" s="4"/>
      <c r="DO777" s="4"/>
      <c r="DP777" s="4"/>
      <c r="DQ777" s="4"/>
      <c r="DR777" s="4"/>
      <c r="DS777" s="4"/>
      <c r="DT777" s="4"/>
      <c r="DU777" s="4"/>
      <c r="DV777" s="4"/>
      <c r="DW777" s="4"/>
      <c r="DX777" s="4"/>
      <c r="DY777" s="4"/>
      <c r="DZ777" s="4"/>
      <c r="EA777" s="4"/>
      <c r="EB777" s="4"/>
      <c r="EC777" s="4"/>
      <c r="ED777" s="4"/>
      <c r="EE777" s="4"/>
      <c r="EF777" s="4"/>
      <c r="EG777" s="4"/>
      <c r="EH777" s="4"/>
      <c r="EI777" s="4"/>
      <c r="EJ777" s="4"/>
      <c r="EK777" s="4"/>
      <c r="EL777" s="4">
        <v>172</v>
      </c>
      <c r="EM777" s="4"/>
      <c r="EN777" s="4"/>
      <c r="EO777" s="4"/>
      <c r="EP777" s="4"/>
      <c r="EQ777" s="4"/>
      <c r="ER777" s="4"/>
      <c r="ES777" s="4"/>
      <c r="ET777" s="4"/>
      <c r="EU777" s="4"/>
      <c r="EV777" s="4"/>
      <c r="EW777" s="4"/>
      <c r="EX777" s="4"/>
      <c r="EY777" s="4"/>
      <c r="EZ777" s="4"/>
      <c r="FA777" s="4"/>
      <c r="FB777" s="4"/>
      <c r="FC777" s="4"/>
      <c r="FD777" s="4"/>
      <c r="FE777" s="4"/>
      <c r="FF777" s="4"/>
      <c r="FG777" s="4"/>
      <c r="FH777" s="4"/>
      <c r="FI777" s="4"/>
      <c r="FJ777" s="4"/>
      <c r="FK777" s="4"/>
      <c r="FL777" s="4"/>
      <c r="FM777" s="4"/>
      <c r="FN777" s="4"/>
      <c r="FO777" s="4"/>
      <c r="FP777" s="4"/>
      <c r="FQ777" s="4"/>
      <c r="FR777" s="4"/>
      <c r="FS777" s="4"/>
      <c r="FT777" s="4"/>
      <c r="FU777" s="4"/>
      <c r="FV777" s="4"/>
      <c r="FW777" s="4"/>
      <c r="FX777" s="4"/>
      <c r="FY777" s="4"/>
      <c r="FZ777" s="4"/>
      <c r="GA777" s="4"/>
      <c r="GB777" s="4"/>
      <c r="GC777" s="4"/>
      <c r="GD777" s="4"/>
      <c r="GE777" s="4"/>
      <c r="GF777" s="4"/>
    </row>
    <row r="778">
      <c r="A778" s="2" t="s">
        <v>4873</v>
      </c>
      <c r="B778" s="2" t="s">
        <v>613</v>
      </c>
      <c r="C778" s="2" t="s">
        <v>287</v>
      </c>
      <c r="D778" s="2" t="s">
        <v>628</v>
      </c>
      <c r="E778" s="2" t="s">
        <v>629</v>
      </c>
      <c r="F778" s="2" t="s">
        <v>4831</v>
      </c>
      <c r="G778" s="2" t="s">
        <v>4832</v>
      </c>
      <c r="H778" s="2" t="s">
        <v>4833</v>
      </c>
      <c r="I778" s="2" t="s">
        <v>4834</v>
      </c>
      <c r="J778" s="2" t="s">
        <v>731</v>
      </c>
      <c r="K778" s="2" t="s">
        <v>4866</v>
      </c>
      <c r="L778" s="3">
        <v>18.4</v>
      </c>
      <c r="M778" s="3">
        <v>19.32</v>
      </c>
      <c r="N778" s="3">
        <v>39.99</v>
      </c>
      <c r="O778" s="2" t="s">
        <v>203</v>
      </c>
      <c r="P778" s="2" t="s">
        <v>204</v>
      </c>
      <c r="Q778" s="2" t="s">
        <v>205</v>
      </c>
      <c r="R778" s="2" t="s">
        <v>206</v>
      </c>
      <c r="S778" s="2" t="s">
        <v>4867</v>
      </c>
      <c r="T778" s="2" t="s">
        <v>206</v>
      </c>
      <c r="U778" s="2" t="s">
        <v>437</v>
      </c>
      <c r="V778" s="2" t="s">
        <v>958</v>
      </c>
      <c r="W778" s="2" t="s">
        <v>439</v>
      </c>
      <c r="X778" s="2" t="s">
        <v>633</v>
      </c>
      <c r="Y778" s="2" t="s">
        <v>211</v>
      </c>
      <c r="Z778" s="4">
        <v>121</v>
      </c>
      <c r="AA778" s="4">
        <f>=ROUNDDOWN(24.2,0)</f>
      </c>
      <c r="AB778" s="5">
        <v>5</v>
      </c>
      <c r="AC778" s="2" t="s">
        <v>5</v>
      </c>
      <c r="AD778" s="4">
        <v>116</v>
      </c>
      <c r="AE778" s="4">
        <v>220</v>
      </c>
      <c r="AF778" s="6">
        <v>65</v>
      </c>
      <c r="AG778" s="6"/>
      <c r="AH778" s="7">
        <v>1</v>
      </c>
      <c r="AI778" s="4"/>
      <c r="AJ778" s="4">
        <f>=ROUNDDOWN({0},0)</f>
      </c>
      <c r="AK778" s="5"/>
      <c r="AL778" s="2" t="s">
        <v>206</v>
      </c>
      <c r="AM778" s="4"/>
      <c r="AN778" s="4"/>
      <c r="AO778" s="7"/>
      <c r="AP778" s="4"/>
      <c r="AQ778" s="8"/>
      <c r="AR778" s="4"/>
      <c r="AS778" s="8"/>
      <c r="AT778" s="7"/>
      <c r="AU778" s="7"/>
      <c r="AV778" s="4" t="s">
        <v>206</v>
      </c>
      <c r="AW778" s="8" t="s">
        <v>206</v>
      </c>
      <c r="AX778" s="4" t="s">
        <v>206</v>
      </c>
      <c r="AY778" s="8" t="s">
        <v>206</v>
      </c>
      <c r="AZ778" s="7" t="s">
        <v>206</v>
      </c>
      <c r="BA778" s="7" t="s">
        <v>206</v>
      </c>
      <c r="BB778" s="7"/>
      <c r="BC778" s="4" t="s">
        <v>206</v>
      </c>
      <c r="BD778" s="8" t="s">
        <v>206</v>
      </c>
      <c r="BE778" s="4" t="s">
        <v>206</v>
      </c>
      <c r="BF778" s="8" t="s">
        <v>206</v>
      </c>
      <c r="BG778" s="7" t="s">
        <v>206</v>
      </c>
      <c r="BH778" s="7" t="s">
        <v>206</v>
      </c>
      <c r="BI778" s="7"/>
      <c r="BJ778" s="4">
        <v>13</v>
      </c>
      <c r="BK778" s="8">
        <v>237.49</v>
      </c>
      <c r="BL778" s="2" t="s">
        <v>2419</v>
      </c>
      <c r="BM778" s="7"/>
      <c r="BN778" s="7"/>
      <c r="BO778" s="4"/>
      <c r="BP778" s="8"/>
      <c r="BQ778" s="4"/>
      <c r="BR778" s="8"/>
      <c r="BS778" s="7"/>
      <c r="BT778" s="7"/>
      <c r="BU778" s="2" t="s">
        <v>4874</v>
      </c>
      <c r="BV778" s="2" t="s">
        <v>206</v>
      </c>
      <c r="BW778" s="2" t="s">
        <v>206</v>
      </c>
      <c r="BX778" s="2" t="s">
        <v>426</v>
      </c>
      <c r="BY778" s="2" t="s">
        <v>215</v>
      </c>
      <c r="BZ778" s="2" t="s">
        <v>203</v>
      </c>
      <c r="CA778" s="2" t="s">
        <v>216</v>
      </c>
      <c r="CB778" s="2" t="s">
        <v>4875</v>
      </c>
      <c r="CC778" s="2" t="s">
        <v>218</v>
      </c>
      <c r="CD778" s="2" t="s">
        <v>206</v>
      </c>
      <c r="CE778" s="4">
        <v>121</v>
      </c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>
        <v>116</v>
      </c>
      <c r="CW778" s="4"/>
      <c r="CX778" s="4"/>
      <c r="CY778" s="4"/>
      <c r="CZ778" s="4"/>
      <c r="DA778" s="4"/>
      <c r="DB778" s="4"/>
      <c r="DC778" s="4"/>
      <c r="DD778" s="4"/>
      <c r="DE778" s="4"/>
      <c r="DF778" s="4"/>
      <c r="DG778" s="4"/>
      <c r="DH778" s="4"/>
      <c r="DI778" s="4"/>
      <c r="DJ778" s="4"/>
      <c r="DK778" s="4"/>
      <c r="DL778" s="4"/>
      <c r="DM778" s="4"/>
      <c r="DN778" s="4"/>
      <c r="DO778" s="4"/>
      <c r="DP778" s="4"/>
      <c r="DQ778" s="4"/>
      <c r="DR778" s="4"/>
      <c r="DS778" s="4"/>
      <c r="DT778" s="4"/>
      <c r="DU778" s="4"/>
      <c r="DV778" s="4"/>
      <c r="DW778" s="4"/>
      <c r="DX778" s="4"/>
      <c r="DY778" s="4"/>
      <c r="DZ778" s="4"/>
      <c r="EA778" s="4"/>
      <c r="EB778" s="4"/>
      <c r="EC778" s="4"/>
      <c r="ED778" s="4"/>
      <c r="EE778" s="4"/>
      <c r="EF778" s="4"/>
      <c r="EG778" s="4"/>
      <c r="EH778" s="4"/>
      <c r="EI778" s="4"/>
      <c r="EJ778" s="4"/>
      <c r="EK778" s="4"/>
      <c r="EL778" s="4">
        <v>104</v>
      </c>
      <c r="EM778" s="4"/>
      <c r="EN778" s="4"/>
      <c r="EO778" s="4"/>
      <c r="EP778" s="4"/>
      <c r="EQ778" s="4"/>
      <c r="ER778" s="4"/>
      <c r="ES778" s="4"/>
      <c r="ET778" s="4"/>
      <c r="EU778" s="4"/>
      <c r="EV778" s="4"/>
      <c r="EW778" s="4"/>
      <c r="EX778" s="4"/>
      <c r="EY778" s="4"/>
      <c r="EZ778" s="4"/>
      <c r="FA778" s="4"/>
      <c r="FB778" s="4"/>
      <c r="FC778" s="4"/>
      <c r="FD778" s="4"/>
      <c r="FE778" s="4"/>
      <c r="FF778" s="4"/>
      <c r="FG778" s="4"/>
      <c r="FH778" s="4"/>
      <c r="FI778" s="4"/>
      <c r="FJ778" s="4"/>
      <c r="FK778" s="4"/>
      <c r="FL778" s="4"/>
      <c r="FM778" s="4"/>
      <c r="FN778" s="4"/>
      <c r="FO778" s="4"/>
      <c r="FP778" s="4"/>
      <c r="FQ778" s="4"/>
      <c r="FR778" s="4"/>
      <c r="FS778" s="4"/>
      <c r="FT778" s="4"/>
      <c r="FU778" s="4"/>
      <c r="FV778" s="4"/>
      <c r="FW778" s="4"/>
      <c r="FX778" s="4"/>
      <c r="FY778" s="4"/>
      <c r="FZ778" s="4"/>
      <c r="GA778" s="4"/>
      <c r="GB778" s="4"/>
      <c r="GC778" s="4"/>
      <c r="GD778" s="4"/>
      <c r="GE778" s="4"/>
      <c r="GF778" s="4"/>
    </row>
    <row r="779">
      <c r="A779" s="2" t="s">
        <v>4876</v>
      </c>
      <c r="B779" s="2" t="s">
        <v>613</v>
      </c>
      <c r="C779" s="2" t="s">
        <v>287</v>
      </c>
      <c r="D779" s="2" t="s">
        <v>614</v>
      </c>
      <c r="E779" s="2" t="s">
        <v>615</v>
      </c>
      <c r="F779" s="2" t="s">
        <v>4831</v>
      </c>
      <c r="G779" s="2" t="s">
        <v>4832</v>
      </c>
      <c r="H779" s="2" t="s">
        <v>4833</v>
      </c>
      <c r="I779" s="2" t="s">
        <v>4844</v>
      </c>
      <c r="J779" s="2" t="s">
        <v>620</v>
      </c>
      <c r="K779" s="2" t="s">
        <v>4866</v>
      </c>
      <c r="L779" s="3">
        <v>11.25</v>
      </c>
      <c r="M779" s="3">
        <v>11.81</v>
      </c>
      <c r="N779" s="3">
        <v>24.99</v>
      </c>
      <c r="O779" s="2" t="s">
        <v>203</v>
      </c>
      <c r="P779" s="2" t="s">
        <v>204</v>
      </c>
      <c r="Q779" s="2" t="s">
        <v>205</v>
      </c>
      <c r="R779" s="2" t="s">
        <v>206</v>
      </c>
      <c r="S779" s="2" t="s">
        <v>4867</v>
      </c>
      <c r="T779" s="2" t="s">
        <v>206</v>
      </c>
      <c r="U779" s="2" t="s">
        <v>437</v>
      </c>
      <c r="V779" s="2" t="s">
        <v>958</v>
      </c>
      <c r="W779" s="2" t="s">
        <v>439</v>
      </c>
      <c r="X779" s="2" t="s">
        <v>206</v>
      </c>
      <c r="Y779" s="2" t="s">
        <v>753</v>
      </c>
      <c r="Z779" s="4">
        <v>240</v>
      </c>
      <c r="AA779" s="4">
        <f>=ROUNDDOWN(20,0)</f>
      </c>
      <c r="AB779" s="5">
        <v>12</v>
      </c>
      <c r="AC779" s="2" t="s">
        <v>5</v>
      </c>
      <c r="AD779" s="4">
        <v>296</v>
      </c>
      <c r="AE779" s="4">
        <v>428</v>
      </c>
      <c r="AF779" s="6">
        <v>65</v>
      </c>
      <c r="AG779" s="6"/>
      <c r="AH779" s="7">
        <v>1</v>
      </c>
      <c r="AI779" s="4"/>
      <c r="AJ779" s="4">
        <f>=ROUNDDOWN({0},0)</f>
      </c>
      <c r="AK779" s="5"/>
      <c r="AL779" s="2" t="s">
        <v>206</v>
      </c>
      <c r="AM779" s="4"/>
      <c r="AN779" s="4"/>
      <c r="AO779" s="7"/>
      <c r="AP779" s="4"/>
      <c r="AQ779" s="8"/>
      <c r="AR779" s="4"/>
      <c r="AS779" s="8"/>
      <c r="AT779" s="7"/>
      <c r="AU779" s="7"/>
      <c r="AV779" s="4" t="s">
        <v>206</v>
      </c>
      <c r="AW779" s="8" t="s">
        <v>206</v>
      </c>
      <c r="AX779" s="4" t="s">
        <v>206</v>
      </c>
      <c r="AY779" s="8" t="s">
        <v>206</v>
      </c>
      <c r="AZ779" s="7" t="s">
        <v>206</v>
      </c>
      <c r="BA779" s="7" t="s">
        <v>206</v>
      </c>
      <c r="BB779" s="7"/>
      <c r="BC779" s="4" t="s">
        <v>206</v>
      </c>
      <c r="BD779" s="8" t="s">
        <v>206</v>
      </c>
      <c r="BE779" s="4" t="s">
        <v>206</v>
      </c>
      <c r="BF779" s="8" t="s">
        <v>206</v>
      </c>
      <c r="BG779" s="7" t="s">
        <v>206</v>
      </c>
      <c r="BH779" s="7" t="s">
        <v>206</v>
      </c>
      <c r="BI779" s="7"/>
      <c r="BJ779" s="4">
        <v>44</v>
      </c>
      <c r="BK779" s="8">
        <v>465.93</v>
      </c>
      <c r="BL779" s="2" t="s">
        <v>4857</v>
      </c>
      <c r="BM779" s="7"/>
      <c r="BN779" s="7"/>
      <c r="BO779" s="4"/>
      <c r="BP779" s="8"/>
      <c r="BQ779" s="4"/>
      <c r="BR779" s="8"/>
      <c r="BS779" s="7"/>
      <c r="BT779" s="7"/>
      <c r="BU779" s="2" t="s">
        <v>4877</v>
      </c>
      <c r="BV779" s="2" t="s">
        <v>206</v>
      </c>
      <c r="BW779" s="2" t="s">
        <v>206</v>
      </c>
      <c r="BX779" s="2" t="s">
        <v>214</v>
      </c>
      <c r="BY779" s="2" t="s">
        <v>215</v>
      </c>
      <c r="BZ779" s="2" t="s">
        <v>203</v>
      </c>
      <c r="CA779" s="2" t="s">
        <v>216</v>
      </c>
      <c r="CB779" s="2" t="s">
        <v>3240</v>
      </c>
      <c r="CC779" s="2" t="s">
        <v>218</v>
      </c>
      <c r="CD779" s="2" t="s">
        <v>206</v>
      </c>
      <c r="CE779" s="4">
        <v>240</v>
      </c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>
        <v>296</v>
      </c>
      <c r="CW779" s="4"/>
      <c r="CX779" s="4"/>
      <c r="CY779" s="4"/>
      <c r="CZ779" s="4"/>
      <c r="DA779" s="4"/>
      <c r="DB779" s="4"/>
      <c r="DC779" s="4"/>
      <c r="DD779" s="4"/>
      <c r="DE779" s="4"/>
      <c r="DF779" s="4"/>
      <c r="DG779" s="4"/>
      <c r="DH779" s="4"/>
      <c r="DI779" s="4"/>
      <c r="DJ779" s="4"/>
      <c r="DK779" s="4"/>
      <c r="DL779" s="4"/>
      <c r="DM779" s="4"/>
      <c r="DN779" s="4"/>
      <c r="DO779" s="4"/>
      <c r="DP779" s="4"/>
      <c r="DQ779" s="4"/>
      <c r="DR779" s="4"/>
      <c r="DS779" s="4"/>
      <c r="DT779" s="4"/>
      <c r="DU779" s="4"/>
      <c r="DV779" s="4"/>
      <c r="DW779" s="4"/>
      <c r="DX779" s="4"/>
      <c r="DY779" s="4"/>
      <c r="DZ779" s="4"/>
      <c r="EA779" s="4"/>
      <c r="EB779" s="4"/>
      <c r="EC779" s="4"/>
      <c r="ED779" s="4"/>
      <c r="EE779" s="4"/>
      <c r="EF779" s="4"/>
      <c r="EG779" s="4"/>
      <c r="EH779" s="4"/>
      <c r="EI779" s="4"/>
      <c r="EJ779" s="4"/>
      <c r="EK779" s="4"/>
      <c r="EL779" s="4">
        <v>132</v>
      </c>
      <c r="EM779" s="4"/>
      <c r="EN779" s="4"/>
      <c r="EO779" s="4"/>
      <c r="EP779" s="4"/>
      <c r="EQ779" s="4"/>
      <c r="ER779" s="4"/>
      <c r="ES779" s="4"/>
      <c r="ET779" s="4"/>
      <c r="EU779" s="4"/>
      <c r="EV779" s="4"/>
      <c r="EW779" s="4"/>
      <c r="EX779" s="4"/>
      <c r="EY779" s="4"/>
      <c r="EZ779" s="4"/>
      <c r="FA779" s="4"/>
      <c r="FB779" s="4"/>
      <c r="FC779" s="4"/>
      <c r="FD779" s="4"/>
      <c r="FE779" s="4"/>
      <c r="FF779" s="4"/>
      <c r="FG779" s="4"/>
      <c r="FH779" s="4"/>
      <c r="FI779" s="4"/>
      <c r="FJ779" s="4"/>
      <c r="FK779" s="4"/>
      <c r="FL779" s="4"/>
      <c r="FM779" s="4"/>
      <c r="FN779" s="4"/>
      <c r="FO779" s="4"/>
      <c r="FP779" s="4"/>
      <c r="FQ779" s="4"/>
      <c r="FR779" s="4"/>
      <c r="FS779" s="4"/>
      <c r="FT779" s="4"/>
      <c r="FU779" s="4"/>
      <c r="FV779" s="4"/>
      <c r="FW779" s="4"/>
      <c r="FX779" s="4"/>
      <c r="FY779" s="4"/>
      <c r="FZ779" s="4"/>
      <c r="GA779" s="4"/>
      <c r="GB779" s="4"/>
      <c r="GC779" s="4"/>
      <c r="GD779" s="4"/>
      <c r="GE779" s="4"/>
      <c r="GF779" s="4"/>
    </row>
    <row r="780">
      <c r="A780" s="2" t="s">
        <v>4878</v>
      </c>
      <c r="B780" s="2" t="s">
        <v>429</v>
      </c>
      <c r="C780" s="2" t="s">
        <v>462</v>
      </c>
      <c r="D780" s="2" t="s">
        <v>895</v>
      </c>
      <c r="E780" s="2" t="s">
        <v>2171</v>
      </c>
      <c r="F780" s="2" t="s">
        <v>4879</v>
      </c>
      <c r="G780" s="2" t="s">
        <v>4879</v>
      </c>
      <c r="H780" s="2" t="s">
        <v>4879</v>
      </c>
      <c r="I780" s="2" t="s">
        <v>4880</v>
      </c>
      <c r="J780" s="2" t="s">
        <v>434</v>
      </c>
      <c r="K780" s="2" t="s">
        <v>483</v>
      </c>
      <c r="L780" s="3">
        <v>22.24</v>
      </c>
      <c r="M780" s="3">
        <v>23.35</v>
      </c>
      <c r="N780" s="3">
        <v>50.99</v>
      </c>
      <c r="O780" s="2" t="s">
        <v>203</v>
      </c>
      <c r="P780" s="2" t="s">
        <v>492</v>
      </c>
      <c r="Q780" s="2" t="s">
        <v>205</v>
      </c>
      <c r="R780" s="2" t="s">
        <v>206</v>
      </c>
      <c r="S780" s="2" t="s">
        <v>4881</v>
      </c>
      <c r="T780" s="2" t="s">
        <v>206</v>
      </c>
      <c r="U780" s="2" t="s">
        <v>437</v>
      </c>
      <c r="V780" s="2" t="s">
        <v>209</v>
      </c>
      <c r="W780" s="2" t="s">
        <v>1210</v>
      </c>
      <c r="X780" s="2" t="s">
        <v>206</v>
      </c>
      <c r="Y780" s="2" t="s">
        <v>493</v>
      </c>
      <c r="Z780" s="4">
        <v>272</v>
      </c>
      <c r="AA780" s="4">
        <f>=ROUNDDOWN(14.6236559139785,0)</f>
      </c>
      <c r="AB780" s="5">
        <v>18.6</v>
      </c>
      <c r="AC780" s="2" t="s">
        <v>144</v>
      </c>
      <c r="AD780" s="4">
        <v>200</v>
      </c>
      <c r="AE780" s="4">
        <v>200</v>
      </c>
      <c r="AF780" s="6">
        <v>65</v>
      </c>
      <c r="AG780" s="6"/>
      <c r="AH780" s="7">
        <v>1</v>
      </c>
      <c r="AI780" s="4"/>
      <c r="AJ780" s="4">
        <f>=ROUNDDOWN({0},0)</f>
      </c>
      <c r="AK780" s="5"/>
      <c r="AL780" s="2" t="s">
        <v>206</v>
      </c>
      <c r="AM780" s="4"/>
      <c r="AN780" s="4"/>
      <c r="AO780" s="7"/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>
        <v>93</v>
      </c>
      <c r="BK780" s="8">
        <v>2419.56</v>
      </c>
      <c r="BL780" s="2" t="s">
        <v>4882</v>
      </c>
      <c r="BM780" s="7"/>
      <c r="BN780" s="7"/>
      <c r="BO780" s="4"/>
      <c r="BP780" s="8"/>
      <c r="BQ780" s="4"/>
      <c r="BR780" s="8"/>
      <c r="BS780" s="7"/>
      <c r="BT780" s="7"/>
      <c r="BU780" s="2" t="s">
        <v>4883</v>
      </c>
      <c r="BV780" s="2" t="s">
        <v>206</v>
      </c>
      <c r="BW780" s="2" t="s">
        <v>206</v>
      </c>
      <c r="BX780" s="2" t="s">
        <v>214</v>
      </c>
      <c r="BY780" s="2" t="s">
        <v>215</v>
      </c>
      <c r="BZ780" s="2" t="s">
        <v>203</v>
      </c>
      <c r="CA780" s="2" t="s">
        <v>3252</v>
      </c>
      <c r="CB780" s="2" t="s">
        <v>4884</v>
      </c>
      <c r="CC780" s="2" t="s">
        <v>218</v>
      </c>
      <c r="CD780" s="2" t="s">
        <v>206</v>
      </c>
      <c r="CE780" s="4"/>
      <c r="CF780" s="4">
        <v>272</v>
      </c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  <c r="DE780" s="4"/>
      <c r="DF780" s="4"/>
      <c r="DG780" s="4"/>
      <c r="DH780" s="4"/>
      <c r="DI780" s="4"/>
      <c r="DJ780" s="4"/>
      <c r="DK780" s="4"/>
      <c r="DL780" s="4"/>
      <c r="DM780" s="4"/>
      <c r="DN780" s="4"/>
      <c r="DO780" s="4"/>
      <c r="DP780" s="4"/>
      <c r="DQ780" s="4"/>
      <c r="DR780" s="4"/>
      <c r="DS780" s="4"/>
      <c r="DT780" s="4"/>
      <c r="DU780" s="4"/>
      <c r="DV780" s="4"/>
      <c r="DW780" s="4"/>
      <c r="DX780" s="4"/>
      <c r="DY780" s="4"/>
      <c r="DZ780" s="4"/>
      <c r="EA780" s="4"/>
      <c r="EB780" s="4"/>
      <c r="EC780" s="4"/>
      <c r="ED780" s="4"/>
      <c r="EE780" s="4"/>
      <c r="EF780" s="4">
        <v>200</v>
      </c>
      <c r="EG780" s="4"/>
      <c r="EH780" s="4"/>
      <c r="EI780" s="4"/>
      <c r="EJ780" s="4"/>
      <c r="EK780" s="4"/>
      <c r="EL780" s="4"/>
      <c r="EM780" s="4"/>
      <c r="EN780" s="4"/>
      <c r="EO780" s="4"/>
      <c r="EP780" s="4"/>
      <c r="EQ780" s="4"/>
      <c r="ER780" s="4"/>
      <c r="ES780" s="4"/>
      <c r="ET780" s="4"/>
      <c r="EU780" s="4"/>
      <c r="EV780" s="4"/>
      <c r="EW780" s="4"/>
      <c r="EX780" s="4"/>
      <c r="EY780" s="4"/>
      <c r="EZ780" s="4"/>
      <c r="FA780" s="4"/>
      <c r="FB780" s="4"/>
      <c r="FC780" s="4"/>
      <c r="FD780" s="4"/>
      <c r="FE780" s="4"/>
      <c r="FF780" s="4"/>
      <c r="FG780" s="4"/>
      <c r="FH780" s="4"/>
      <c r="FI780" s="4"/>
      <c r="FJ780" s="4"/>
      <c r="FK780" s="4"/>
      <c r="FL780" s="4"/>
      <c r="FM780" s="4"/>
      <c r="FN780" s="4"/>
      <c r="FO780" s="4"/>
      <c r="FP780" s="4"/>
      <c r="FQ780" s="4"/>
      <c r="FR780" s="4"/>
      <c r="FS780" s="4"/>
      <c r="FT780" s="4"/>
      <c r="FU780" s="4"/>
      <c r="FV780" s="4"/>
      <c r="FW780" s="4"/>
      <c r="FX780" s="4"/>
      <c r="FY780" s="4"/>
      <c r="FZ780" s="4"/>
      <c r="GA780" s="4"/>
      <c r="GB780" s="4"/>
      <c r="GC780" s="4"/>
      <c r="GD780" s="4"/>
      <c r="GE780" s="4"/>
      <c r="GF780" s="4"/>
    </row>
    <row r="781">
      <c r="A781" s="2" t="s">
        <v>4885</v>
      </c>
      <c r="B781" s="2" t="s">
        <v>461</v>
      </c>
      <c r="C781" s="2" t="s">
        <v>462</v>
      </c>
      <c r="D781" s="2" t="s">
        <v>975</v>
      </c>
      <c r="E781" s="2" t="s">
        <v>976</v>
      </c>
      <c r="F781" s="2" t="s">
        <v>4886</v>
      </c>
      <c r="G781" s="2" t="s">
        <v>4886</v>
      </c>
      <c r="H781" s="2" t="s">
        <v>206</v>
      </c>
      <c r="I781" s="2" t="s">
        <v>1208</v>
      </c>
      <c r="J781" s="2" t="s">
        <v>434</v>
      </c>
      <c r="K781" s="2" t="s">
        <v>4887</v>
      </c>
      <c r="L781" s="3">
        <v>194.75</v>
      </c>
      <c r="M781" s="3">
        <v>204.49</v>
      </c>
      <c r="N781" s="3">
        <v>409</v>
      </c>
      <c r="O781" s="2" t="s">
        <v>203</v>
      </c>
      <c r="P781" s="2" t="s">
        <v>467</v>
      </c>
      <c r="Q781" s="2" t="s">
        <v>205</v>
      </c>
      <c r="R781" s="2" t="s">
        <v>206</v>
      </c>
      <c r="S781" s="2" t="s">
        <v>4888</v>
      </c>
      <c r="T781" s="2" t="s">
        <v>206</v>
      </c>
      <c r="U781" s="2" t="s">
        <v>206</v>
      </c>
      <c r="V781" s="2" t="s">
        <v>209</v>
      </c>
      <c r="W781" s="2" t="s">
        <v>453</v>
      </c>
      <c r="X781" s="2" t="s">
        <v>206</v>
      </c>
      <c r="Y781" s="2" t="s">
        <v>211</v>
      </c>
      <c r="Z781" s="4">
        <v>92</v>
      </c>
      <c r="AA781" s="4">
        <f>=ROUNDDOWN(46,0)</f>
      </c>
      <c r="AB781" s="5">
        <v>2</v>
      </c>
      <c r="AC781" s="2" t="s">
        <v>206</v>
      </c>
      <c r="AD781" s="4"/>
      <c r="AE781" s="4"/>
      <c r="AF781" s="6">
        <v>66</v>
      </c>
      <c r="AG781" s="6">
        <v>49</v>
      </c>
      <c r="AH781" s="7">
        <v>1</v>
      </c>
      <c r="AI781" s="4"/>
      <c r="AJ781" s="4">
        <f>=ROUNDDOWN({0},0)</f>
      </c>
      <c r="AK781" s="5"/>
      <c r="AL781" s="2" t="s">
        <v>206</v>
      </c>
      <c r="AM781" s="4"/>
      <c r="AN781" s="4"/>
      <c r="AO781" s="7"/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>
        <v>6</v>
      </c>
      <c r="BK781" s="8">
        <v>1157.79</v>
      </c>
      <c r="BL781" s="2" t="s">
        <v>4889</v>
      </c>
      <c r="BM781" s="7"/>
      <c r="BN781" s="7"/>
      <c r="BO781" s="4"/>
      <c r="BP781" s="8"/>
      <c r="BQ781" s="4"/>
      <c r="BR781" s="8"/>
      <c r="BS781" s="7"/>
      <c r="BT781" s="7"/>
      <c r="BU781" s="2" t="s">
        <v>4890</v>
      </c>
      <c r="BV781" s="2" t="s">
        <v>206</v>
      </c>
      <c r="BW781" s="2" t="s">
        <v>206</v>
      </c>
      <c r="BX781" s="2" t="s">
        <v>214</v>
      </c>
      <c r="BY781" s="2" t="s">
        <v>215</v>
      </c>
      <c r="BZ781" s="2" t="s">
        <v>203</v>
      </c>
      <c r="CA781" s="2" t="s">
        <v>4891</v>
      </c>
      <c r="CB781" s="2" t="s">
        <v>4892</v>
      </c>
      <c r="CC781" s="2" t="s">
        <v>218</v>
      </c>
      <c r="CD781" s="2" t="s">
        <v>206</v>
      </c>
      <c r="CE781" s="4"/>
      <c r="CF781" s="4">
        <v>92</v>
      </c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  <c r="DE781" s="4"/>
      <c r="DF781" s="4"/>
      <c r="DG781" s="4"/>
      <c r="DH781" s="4"/>
      <c r="DI781" s="4"/>
      <c r="DJ781" s="4"/>
      <c r="DK781" s="4"/>
      <c r="DL781" s="4"/>
      <c r="DM781" s="4"/>
      <c r="DN781" s="4"/>
      <c r="DO781" s="4"/>
      <c r="DP781" s="4"/>
      <c r="DQ781" s="4"/>
      <c r="DR781" s="4"/>
      <c r="DS781" s="4"/>
      <c r="DT781" s="4"/>
      <c r="DU781" s="4"/>
      <c r="DV781" s="4"/>
      <c r="DW781" s="4"/>
      <c r="DX781" s="4"/>
      <c r="DY781" s="4"/>
      <c r="DZ781" s="4"/>
      <c r="EA781" s="4"/>
      <c r="EB781" s="4"/>
      <c r="EC781" s="4"/>
      <c r="ED781" s="4"/>
      <c r="EE781" s="4"/>
      <c r="EF781" s="4"/>
      <c r="EG781" s="4"/>
      <c r="EH781" s="4"/>
      <c r="EI781" s="4"/>
      <c r="EJ781" s="4"/>
      <c r="EK781" s="4"/>
      <c r="EL781" s="4"/>
      <c r="EM781" s="4"/>
      <c r="EN781" s="4"/>
      <c r="EO781" s="4"/>
      <c r="EP781" s="4"/>
      <c r="EQ781" s="4"/>
      <c r="ER781" s="4"/>
      <c r="ES781" s="4"/>
      <c r="ET781" s="4"/>
      <c r="EU781" s="4"/>
      <c r="EV781" s="4"/>
      <c r="EW781" s="4"/>
      <c r="EX781" s="4"/>
      <c r="EY781" s="4"/>
      <c r="EZ781" s="4"/>
      <c r="FA781" s="4"/>
      <c r="FB781" s="4"/>
      <c r="FC781" s="4"/>
      <c r="FD781" s="4"/>
      <c r="FE781" s="4"/>
      <c r="FF781" s="4"/>
      <c r="FG781" s="4"/>
      <c r="FH781" s="4"/>
      <c r="FI781" s="4"/>
      <c r="FJ781" s="4"/>
      <c r="FK781" s="4"/>
      <c r="FL781" s="4"/>
      <c r="FM781" s="4"/>
      <c r="FN781" s="4"/>
      <c r="FO781" s="4"/>
      <c r="FP781" s="4"/>
      <c r="FQ781" s="4"/>
      <c r="FR781" s="4"/>
      <c r="FS781" s="4"/>
      <c r="FT781" s="4"/>
      <c r="FU781" s="4"/>
      <c r="FV781" s="4"/>
      <c r="FW781" s="4"/>
      <c r="FX781" s="4"/>
      <c r="FY781" s="4"/>
      <c r="FZ781" s="4"/>
      <c r="GA781" s="4"/>
      <c r="GB781" s="4"/>
      <c r="GC781" s="4"/>
      <c r="GD781" s="4"/>
      <c r="GE781" s="4"/>
      <c r="GF781" s="4"/>
    </row>
    <row r="782">
      <c r="A782" s="2" t="s">
        <v>4893</v>
      </c>
      <c r="B782" s="2" t="s">
        <v>429</v>
      </c>
      <c r="C782" s="2" t="s">
        <v>287</v>
      </c>
      <c r="D782" s="2" t="s">
        <v>909</v>
      </c>
      <c r="E782" s="2" t="s">
        <v>431</v>
      </c>
      <c r="F782" s="2" t="s">
        <v>4894</v>
      </c>
      <c r="G782" s="2" t="s">
        <v>4894</v>
      </c>
      <c r="H782" s="2" t="s">
        <v>4894</v>
      </c>
      <c r="I782" s="2" t="s">
        <v>4284</v>
      </c>
      <c r="J782" s="2" t="s">
        <v>434</v>
      </c>
      <c r="K782" s="2" t="s">
        <v>262</v>
      </c>
      <c r="L782" s="3">
        <v>55.77</v>
      </c>
      <c r="M782" s="3">
        <v>58.56</v>
      </c>
      <c r="N782" s="3">
        <v>118.99</v>
      </c>
      <c r="O782" s="2" t="s">
        <v>203</v>
      </c>
      <c r="P782" s="2" t="s">
        <v>467</v>
      </c>
      <c r="Q782" s="2" t="s">
        <v>205</v>
      </c>
      <c r="R782" s="2" t="s">
        <v>206</v>
      </c>
      <c r="S782" s="2" t="s">
        <v>4895</v>
      </c>
      <c r="T782" s="2" t="s">
        <v>206</v>
      </c>
      <c r="U782" s="2" t="s">
        <v>235</v>
      </c>
      <c r="V782" s="2" t="s">
        <v>901</v>
      </c>
      <c r="W782" s="2" t="s">
        <v>901</v>
      </c>
      <c r="X782" s="2" t="s">
        <v>206</v>
      </c>
      <c r="Y782" s="2" t="s">
        <v>493</v>
      </c>
      <c r="Z782" s="4">
        <v>49</v>
      </c>
      <c r="AA782" s="4">
        <f>=ROUNDDOWN(16.3333333333333,0)</f>
      </c>
      <c r="AB782" s="5">
        <v>3</v>
      </c>
      <c r="AC782" s="2" t="s">
        <v>206</v>
      </c>
      <c r="AD782" s="4"/>
      <c r="AE782" s="4"/>
      <c r="AF782" s="6">
        <v>63</v>
      </c>
      <c r="AG782" s="6"/>
      <c r="AH782" s="7">
        <v>1</v>
      </c>
      <c r="AI782" s="4"/>
      <c r="AJ782" s="4">
        <f>=ROUNDDOWN({0},0)</f>
      </c>
      <c r="AK782" s="5"/>
      <c r="AL782" s="2" t="s">
        <v>206</v>
      </c>
      <c r="AM782" s="4"/>
      <c r="AN782" s="4"/>
      <c r="AO782" s="7"/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/>
      <c r="BD782" s="8"/>
      <c r="BE782" s="4"/>
      <c r="BF782" s="8"/>
      <c r="BG782" s="7"/>
      <c r="BH782" s="7"/>
      <c r="BI782" s="7"/>
      <c r="BJ782" s="4">
        <v>10</v>
      </c>
      <c r="BK782" s="8">
        <v>643.28</v>
      </c>
      <c r="BL782" s="2" t="s">
        <v>4896</v>
      </c>
      <c r="BM782" s="7"/>
      <c r="BN782" s="7"/>
      <c r="BO782" s="4"/>
      <c r="BP782" s="8"/>
      <c r="BQ782" s="4"/>
      <c r="BR782" s="8"/>
      <c r="BS782" s="7"/>
      <c r="BT782" s="7"/>
      <c r="BU782" s="2" t="s">
        <v>4897</v>
      </c>
      <c r="BV782" s="2" t="s">
        <v>206</v>
      </c>
      <c r="BW782" s="2" t="s">
        <v>206</v>
      </c>
      <c r="BX782" s="2" t="s">
        <v>214</v>
      </c>
      <c r="BY782" s="2" t="s">
        <v>215</v>
      </c>
      <c r="BZ782" s="2" t="s">
        <v>203</v>
      </c>
      <c r="CA782" s="2" t="s">
        <v>1630</v>
      </c>
      <c r="CB782" s="2" t="s">
        <v>1327</v>
      </c>
      <c r="CC782" s="2" t="s">
        <v>218</v>
      </c>
      <c r="CD782" s="2" t="s">
        <v>206</v>
      </c>
      <c r="CE782" s="4"/>
      <c r="CF782" s="4">
        <v>49</v>
      </c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  <c r="DE782" s="4"/>
      <c r="DF782" s="4"/>
      <c r="DG782" s="4"/>
      <c r="DH782" s="4"/>
      <c r="DI782" s="4"/>
      <c r="DJ782" s="4"/>
      <c r="DK782" s="4"/>
      <c r="DL782" s="4"/>
      <c r="DM782" s="4"/>
      <c r="DN782" s="4"/>
      <c r="DO782" s="4"/>
      <c r="DP782" s="4"/>
      <c r="DQ782" s="4"/>
      <c r="DR782" s="4"/>
      <c r="DS782" s="4"/>
      <c r="DT782" s="4"/>
      <c r="DU782" s="4"/>
      <c r="DV782" s="4"/>
      <c r="DW782" s="4"/>
      <c r="DX782" s="4"/>
      <c r="DY782" s="4"/>
      <c r="DZ782" s="4"/>
      <c r="EA782" s="4"/>
      <c r="EB782" s="4"/>
      <c r="EC782" s="4"/>
      <c r="ED782" s="4"/>
      <c r="EE782" s="4"/>
      <c r="EF782" s="4"/>
      <c r="EG782" s="4"/>
      <c r="EH782" s="4"/>
      <c r="EI782" s="4"/>
      <c r="EJ782" s="4"/>
      <c r="EK782" s="4"/>
      <c r="EL782" s="4"/>
      <c r="EM782" s="4"/>
      <c r="EN782" s="4"/>
      <c r="EO782" s="4"/>
      <c r="EP782" s="4"/>
      <c r="EQ782" s="4"/>
      <c r="ER782" s="4"/>
      <c r="ES782" s="4"/>
      <c r="ET782" s="4"/>
      <c r="EU782" s="4"/>
      <c r="EV782" s="4"/>
      <c r="EW782" s="4"/>
      <c r="EX782" s="4"/>
      <c r="EY782" s="4"/>
      <c r="EZ782" s="4"/>
      <c r="FA782" s="4"/>
      <c r="FB782" s="4"/>
      <c r="FC782" s="4"/>
      <c r="FD782" s="4"/>
      <c r="FE782" s="4"/>
      <c r="FF782" s="4"/>
      <c r="FG782" s="4"/>
      <c r="FH782" s="4"/>
      <c r="FI782" s="4"/>
      <c r="FJ782" s="4"/>
      <c r="FK782" s="4"/>
      <c r="FL782" s="4"/>
      <c r="FM782" s="4"/>
      <c r="FN782" s="4"/>
      <c r="FO782" s="4"/>
      <c r="FP782" s="4"/>
      <c r="FQ782" s="4"/>
      <c r="FR782" s="4"/>
      <c r="FS782" s="4"/>
      <c r="FT782" s="4"/>
      <c r="FU782" s="4"/>
      <c r="FV782" s="4"/>
      <c r="FW782" s="4"/>
      <c r="FX782" s="4"/>
      <c r="FY782" s="4"/>
      <c r="FZ782" s="4"/>
      <c r="GA782" s="4"/>
      <c r="GB782" s="4"/>
      <c r="GC782" s="4"/>
      <c r="GD782" s="4"/>
      <c r="GE782" s="4"/>
      <c r="GF782" s="4"/>
    </row>
    <row r="783">
      <c r="A783" s="2" t="s">
        <v>4898</v>
      </c>
      <c r="B783" s="2" t="s">
        <v>613</v>
      </c>
      <c r="C783" s="2" t="s">
        <v>287</v>
      </c>
      <c r="D783" s="2" t="s">
        <v>628</v>
      </c>
      <c r="E783" s="2" t="s">
        <v>629</v>
      </c>
      <c r="F783" s="2" t="s">
        <v>4899</v>
      </c>
      <c r="G783" s="2" t="s">
        <v>4900</v>
      </c>
      <c r="H783" s="2" t="s">
        <v>4084</v>
      </c>
      <c r="I783" s="2" t="s">
        <v>4901</v>
      </c>
      <c r="J783" s="2" t="s">
        <v>631</v>
      </c>
      <c r="K783" s="2" t="s">
        <v>605</v>
      </c>
      <c r="L783" s="3">
        <v>16.45</v>
      </c>
      <c r="M783" s="3">
        <v>17.27</v>
      </c>
      <c r="N783" s="3">
        <v>34.99</v>
      </c>
      <c r="O783" s="2" t="s">
        <v>203</v>
      </c>
      <c r="P783" s="2" t="s">
        <v>467</v>
      </c>
      <c r="Q783" s="2" t="s">
        <v>205</v>
      </c>
      <c r="R783" s="2" t="s">
        <v>206</v>
      </c>
      <c r="S783" s="2" t="s">
        <v>4902</v>
      </c>
      <c r="T783" s="2" t="s">
        <v>206</v>
      </c>
      <c r="U783" s="2" t="s">
        <v>206</v>
      </c>
      <c r="V783" s="2" t="s">
        <v>622</v>
      </c>
      <c r="W783" s="2" t="s">
        <v>453</v>
      </c>
      <c r="X783" s="2" t="s">
        <v>633</v>
      </c>
      <c r="Y783" s="2" t="s">
        <v>4903</v>
      </c>
      <c r="Z783" s="4">
        <v>340</v>
      </c>
      <c r="AA783" s="4">
        <f>=ROUNDDOWN(37.7777777777778,0)</f>
      </c>
      <c r="AB783" s="5">
        <v>9</v>
      </c>
      <c r="AC783" s="2" t="s">
        <v>206</v>
      </c>
      <c r="AD783" s="4"/>
      <c r="AE783" s="4"/>
      <c r="AF783" s="6">
        <v>64</v>
      </c>
      <c r="AG783" s="6"/>
      <c r="AH783" s="7">
        <v>1</v>
      </c>
      <c r="AI783" s="4"/>
      <c r="AJ783" s="4">
        <f>=ROUNDDOWN({0},0)</f>
      </c>
      <c r="AK783" s="5"/>
      <c r="AL783" s="2" t="s">
        <v>206</v>
      </c>
      <c r="AM783" s="4"/>
      <c r="AN783" s="4"/>
      <c r="AO783" s="7"/>
      <c r="AP783" s="4"/>
      <c r="AQ783" s="8"/>
      <c r="AR783" s="4"/>
      <c r="AS783" s="8"/>
      <c r="AT783" s="7"/>
      <c r="AU783" s="7"/>
      <c r="AV783" s="4" t="s">
        <v>206</v>
      </c>
      <c r="AW783" s="8" t="s">
        <v>206</v>
      </c>
      <c r="AX783" s="4" t="s">
        <v>206</v>
      </c>
      <c r="AY783" s="8" t="s">
        <v>206</v>
      </c>
      <c r="AZ783" s="7" t="s">
        <v>206</v>
      </c>
      <c r="BA783" s="7" t="s">
        <v>206</v>
      </c>
      <c r="BB783" s="7"/>
      <c r="BC783" s="4" t="s">
        <v>206</v>
      </c>
      <c r="BD783" s="8" t="s">
        <v>206</v>
      </c>
      <c r="BE783" s="4" t="s">
        <v>206</v>
      </c>
      <c r="BF783" s="8" t="s">
        <v>206</v>
      </c>
      <c r="BG783" s="7" t="s">
        <v>206</v>
      </c>
      <c r="BH783" s="7" t="s">
        <v>206</v>
      </c>
      <c r="BI783" s="7"/>
      <c r="BJ783" s="4">
        <v>31</v>
      </c>
      <c r="BK783" s="8">
        <v>546.39</v>
      </c>
      <c r="BL783" s="2" t="s">
        <v>2029</v>
      </c>
      <c r="BM783" s="7"/>
      <c r="BN783" s="7"/>
      <c r="BO783" s="4"/>
      <c r="BP783" s="8"/>
      <c r="BQ783" s="4"/>
      <c r="BR783" s="8"/>
      <c r="BS783" s="7"/>
      <c r="BT783" s="7"/>
      <c r="BU783" s="2" t="s">
        <v>4904</v>
      </c>
      <c r="BV783" s="2" t="s">
        <v>206</v>
      </c>
      <c r="BW783" s="2" t="s">
        <v>206</v>
      </c>
      <c r="BX783" s="2" t="s">
        <v>214</v>
      </c>
      <c r="BY783" s="2" t="s">
        <v>215</v>
      </c>
      <c r="BZ783" s="2" t="s">
        <v>203</v>
      </c>
      <c r="CA783" s="2" t="s">
        <v>4905</v>
      </c>
      <c r="CB783" s="2" t="s">
        <v>4906</v>
      </c>
      <c r="CC783" s="2" t="s">
        <v>218</v>
      </c>
      <c r="CD783" s="2" t="s">
        <v>206</v>
      </c>
      <c r="CE783" s="4">
        <v>340</v>
      </c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  <c r="DE783" s="4"/>
      <c r="DF783" s="4"/>
      <c r="DG783" s="4"/>
      <c r="DH783" s="4"/>
      <c r="DI783" s="4"/>
      <c r="DJ783" s="4"/>
      <c r="DK783" s="4"/>
      <c r="DL783" s="4"/>
      <c r="DM783" s="4"/>
      <c r="DN783" s="4"/>
      <c r="DO783" s="4"/>
      <c r="DP783" s="4"/>
      <c r="DQ783" s="4"/>
      <c r="DR783" s="4"/>
      <c r="DS783" s="4"/>
      <c r="DT783" s="4"/>
      <c r="DU783" s="4"/>
      <c r="DV783" s="4"/>
      <c r="DW783" s="4"/>
      <c r="DX783" s="4"/>
      <c r="DY783" s="4"/>
      <c r="DZ783" s="4"/>
      <c r="EA783" s="4"/>
      <c r="EB783" s="4"/>
      <c r="EC783" s="4"/>
      <c r="ED783" s="4"/>
      <c r="EE783" s="4"/>
      <c r="EF783" s="4"/>
      <c r="EG783" s="4"/>
      <c r="EH783" s="4"/>
      <c r="EI783" s="4"/>
      <c r="EJ783" s="4"/>
      <c r="EK783" s="4"/>
      <c r="EL783" s="4"/>
      <c r="EM783" s="4"/>
      <c r="EN783" s="4"/>
      <c r="EO783" s="4"/>
      <c r="EP783" s="4"/>
      <c r="EQ783" s="4"/>
      <c r="ER783" s="4"/>
      <c r="ES783" s="4"/>
      <c r="ET783" s="4"/>
      <c r="EU783" s="4"/>
      <c r="EV783" s="4"/>
      <c r="EW783" s="4"/>
      <c r="EX783" s="4"/>
      <c r="EY783" s="4"/>
      <c r="EZ783" s="4"/>
      <c r="FA783" s="4"/>
      <c r="FB783" s="4"/>
      <c r="FC783" s="4"/>
      <c r="FD783" s="4"/>
      <c r="FE783" s="4"/>
      <c r="FF783" s="4"/>
      <c r="FG783" s="4"/>
      <c r="FH783" s="4"/>
      <c r="FI783" s="4"/>
      <c r="FJ783" s="4"/>
      <c r="FK783" s="4"/>
      <c r="FL783" s="4"/>
      <c r="FM783" s="4"/>
      <c r="FN783" s="4"/>
      <c r="FO783" s="4"/>
      <c r="FP783" s="4"/>
      <c r="FQ783" s="4"/>
      <c r="FR783" s="4"/>
      <c r="FS783" s="4"/>
      <c r="FT783" s="4"/>
      <c r="FU783" s="4"/>
      <c r="FV783" s="4"/>
      <c r="FW783" s="4"/>
      <c r="FX783" s="4"/>
      <c r="FY783" s="4"/>
      <c r="FZ783" s="4"/>
      <c r="GA783" s="4"/>
      <c r="GB783" s="4"/>
      <c r="GC783" s="4"/>
      <c r="GD783" s="4"/>
      <c r="GE783" s="4"/>
      <c r="GF783" s="4"/>
    </row>
    <row r="784">
      <c r="A784" s="2" t="s">
        <v>4907</v>
      </c>
      <c r="B784" s="2" t="s">
        <v>613</v>
      </c>
      <c r="C784" s="2" t="s">
        <v>287</v>
      </c>
      <c r="D784" s="2" t="s">
        <v>614</v>
      </c>
      <c r="E784" s="2" t="s">
        <v>615</v>
      </c>
      <c r="F784" s="2" t="s">
        <v>4899</v>
      </c>
      <c r="G784" s="2" t="s">
        <v>4900</v>
      </c>
      <c r="H784" s="2" t="s">
        <v>4084</v>
      </c>
      <c r="I784" s="2" t="s">
        <v>4908</v>
      </c>
      <c r="J784" s="2" t="s">
        <v>620</v>
      </c>
      <c r="K784" s="2" t="s">
        <v>605</v>
      </c>
      <c r="L784" s="3">
        <v>11.25</v>
      </c>
      <c r="M784" s="3">
        <v>11.81</v>
      </c>
      <c r="N784" s="3">
        <v>24.99</v>
      </c>
      <c r="O784" s="2" t="s">
        <v>203</v>
      </c>
      <c r="P784" s="2" t="s">
        <v>467</v>
      </c>
      <c r="Q784" s="2" t="s">
        <v>205</v>
      </c>
      <c r="R784" s="2" t="s">
        <v>206</v>
      </c>
      <c r="S784" s="2" t="s">
        <v>4902</v>
      </c>
      <c r="T784" s="2" t="s">
        <v>206</v>
      </c>
      <c r="U784" s="2" t="s">
        <v>206</v>
      </c>
      <c r="V784" s="2" t="s">
        <v>622</v>
      </c>
      <c r="W784" s="2" t="s">
        <v>453</v>
      </c>
      <c r="X784" s="2" t="s">
        <v>206</v>
      </c>
      <c r="Y784" s="2" t="s">
        <v>4903</v>
      </c>
      <c r="Z784" s="4">
        <v>234</v>
      </c>
      <c r="AA784" s="4">
        <f>=ROUNDDOWN(26,0)</f>
      </c>
      <c r="AB784" s="5">
        <v>9</v>
      </c>
      <c r="AC784" s="2" t="s">
        <v>206</v>
      </c>
      <c r="AD784" s="4"/>
      <c r="AE784" s="4"/>
      <c r="AF784" s="6">
        <v>64</v>
      </c>
      <c r="AG784" s="6"/>
      <c r="AH784" s="7">
        <v>0.6452</v>
      </c>
      <c r="AI784" s="4"/>
      <c r="AJ784" s="4">
        <f>=ROUNDDOWN({0},0)</f>
      </c>
      <c r="AK784" s="5"/>
      <c r="AL784" s="2" t="s">
        <v>206</v>
      </c>
      <c r="AM784" s="4"/>
      <c r="AN784" s="4"/>
      <c r="AO784" s="7"/>
      <c r="AP784" s="4"/>
      <c r="AQ784" s="8"/>
      <c r="AR784" s="4"/>
      <c r="AS784" s="8"/>
      <c r="AT784" s="7"/>
      <c r="AU784" s="7"/>
      <c r="AV784" s="4" t="s">
        <v>206</v>
      </c>
      <c r="AW784" s="8" t="s">
        <v>206</v>
      </c>
      <c r="AX784" s="4" t="s">
        <v>206</v>
      </c>
      <c r="AY784" s="8" t="s">
        <v>206</v>
      </c>
      <c r="AZ784" s="7" t="s">
        <v>206</v>
      </c>
      <c r="BA784" s="7" t="s">
        <v>206</v>
      </c>
      <c r="BB784" s="7"/>
      <c r="BC784" s="4" t="s">
        <v>206</v>
      </c>
      <c r="BD784" s="8" t="s">
        <v>206</v>
      </c>
      <c r="BE784" s="4" t="s">
        <v>206</v>
      </c>
      <c r="BF784" s="8" t="s">
        <v>206</v>
      </c>
      <c r="BG784" s="7" t="s">
        <v>206</v>
      </c>
      <c r="BH784" s="7" t="s">
        <v>206</v>
      </c>
      <c r="BI784" s="7"/>
      <c r="BJ784" s="4">
        <v>30</v>
      </c>
      <c r="BK784" s="8">
        <v>421.3</v>
      </c>
      <c r="BL784" s="2" t="s">
        <v>4909</v>
      </c>
      <c r="BM784" s="7"/>
      <c r="BN784" s="7"/>
      <c r="BO784" s="4"/>
      <c r="BP784" s="8"/>
      <c r="BQ784" s="4"/>
      <c r="BR784" s="8"/>
      <c r="BS784" s="7"/>
      <c r="BT784" s="7"/>
      <c r="BU784" s="2" t="s">
        <v>4910</v>
      </c>
      <c r="BV784" s="2" t="s">
        <v>206</v>
      </c>
      <c r="BW784" s="2" t="s">
        <v>206</v>
      </c>
      <c r="BX784" s="2" t="s">
        <v>214</v>
      </c>
      <c r="BY784" s="2" t="s">
        <v>215</v>
      </c>
      <c r="BZ784" s="2" t="s">
        <v>203</v>
      </c>
      <c r="CA784" s="2" t="s">
        <v>4905</v>
      </c>
      <c r="CB784" s="2" t="s">
        <v>4911</v>
      </c>
      <c r="CC784" s="2" t="s">
        <v>218</v>
      </c>
      <c r="CD784" s="2" t="s">
        <v>206</v>
      </c>
      <c r="CE784" s="4">
        <v>234</v>
      </c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  <c r="DE784" s="4"/>
      <c r="DF784" s="4"/>
      <c r="DG784" s="4"/>
      <c r="DH784" s="4"/>
      <c r="DI784" s="4"/>
      <c r="DJ784" s="4"/>
      <c r="DK784" s="4"/>
      <c r="DL784" s="4"/>
      <c r="DM784" s="4"/>
      <c r="DN784" s="4"/>
      <c r="DO784" s="4"/>
      <c r="DP784" s="4"/>
      <c r="DQ784" s="4"/>
      <c r="DR784" s="4"/>
      <c r="DS784" s="4"/>
      <c r="DT784" s="4"/>
      <c r="DU784" s="4"/>
      <c r="DV784" s="4"/>
      <c r="DW784" s="4"/>
      <c r="DX784" s="4"/>
      <c r="DY784" s="4"/>
      <c r="DZ784" s="4"/>
      <c r="EA784" s="4"/>
      <c r="EB784" s="4"/>
      <c r="EC784" s="4"/>
      <c r="ED784" s="4"/>
      <c r="EE784" s="4"/>
      <c r="EF784" s="4"/>
      <c r="EG784" s="4"/>
      <c r="EH784" s="4"/>
      <c r="EI784" s="4"/>
      <c r="EJ784" s="4"/>
      <c r="EK784" s="4"/>
      <c r="EL784" s="4"/>
      <c r="EM784" s="4"/>
      <c r="EN784" s="4"/>
      <c r="EO784" s="4"/>
      <c r="EP784" s="4"/>
      <c r="EQ784" s="4"/>
      <c r="ER784" s="4"/>
      <c r="ES784" s="4"/>
      <c r="ET784" s="4"/>
      <c r="EU784" s="4"/>
      <c r="EV784" s="4"/>
      <c r="EW784" s="4"/>
      <c r="EX784" s="4"/>
      <c r="EY784" s="4"/>
      <c r="EZ784" s="4"/>
      <c r="FA784" s="4"/>
      <c r="FB784" s="4"/>
      <c r="FC784" s="4"/>
      <c r="FD784" s="4"/>
      <c r="FE784" s="4"/>
      <c r="FF784" s="4"/>
      <c r="FG784" s="4"/>
      <c r="FH784" s="4"/>
      <c r="FI784" s="4"/>
      <c r="FJ784" s="4"/>
      <c r="FK784" s="4"/>
      <c r="FL784" s="4"/>
      <c r="FM784" s="4"/>
      <c r="FN784" s="4"/>
      <c r="FO784" s="4"/>
      <c r="FP784" s="4"/>
      <c r="FQ784" s="4"/>
      <c r="FR784" s="4"/>
      <c r="FS784" s="4"/>
      <c r="FT784" s="4"/>
      <c r="FU784" s="4"/>
      <c r="FV784" s="4"/>
      <c r="FW784" s="4"/>
      <c r="FX784" s="4"/>
      <c r="FY784" s="4"/>
      <c r="FZ784" s="4"/>
      <c r="GA784" s="4"/>
      <c r="GB784" s="4"/>
      <c r="GC784" s="4"/>
      <c r="GD784" s="4"/>
      <c r="GE784" s="4"/>
      <c r="GF784" s="4"/>
    </row>
    <row r="785">
      <c r="A785" s="2" t="s">
        <v>4912</v>
      </c>
      <c r="B785" s="2" t="s">
        <v>528</v>
      </c>
      <c r="C785" s="2" t="s">
        <v>287</v>
      </c>
      <c r="D785" s="2" t="s">
        <v>529</v>
      </c>
      <c r="E785" s="2" t="s">
        <v>816</v>
      </c>
      <c r="F785" s="2" t="s">
        <v>4899</v>
      </c>
      <c r="G785" s="2" t="s">
        <v>4900</v>
      </c>
      <c r="H785" s="2" t="s">
        <v>4084</v>
      </c>
      <c r="I785" s="2" t="s">
        <v>4913</v>
      </c>
      <c r="J785" s="2" t="s">
        <v>310</v>
      </c>
      <c r="K785" s="2" t="s">
        <v>1915</v>
      </c>
      <c r="L785" s="3">
        <v>76.49</v>
      </c>
      <c r="M785" s="3">
        <v>80.32</v>
      </c>
      <c r="N785" s="3">
        <v>159.99</v>
      </c>
      <c r="O785" s="2" t="s">
        <v>203</v>
      </c>
      <c r="P785" s="2" t="s">
        <v>204</v>
      </c>
      <c r="Q785" s="2" t="s">
        <v>205</v>
      </c>
      <c r="R785" s="2" t="s">
        <v>206</v>
      </c>
      <c r="S785" s="2" t="s">
        <v>4914</v>
      </c>
      <c r="T785" s="2" t="s">
        <v>206</v>
      </c>
      <c r="U785" s="2" t="s">
        <v>537</v>
      </c>
      <c r="V785" s="2" t="s">
        <v>622</v>
      </c>
      <c r="W785" s="2" t="s">
        <v>539</v>
      </c>
      <c r="X785" s="2" t="s">
        <v>4387</v>
      </c>
      <c r="Y785" s="2" t="s">
        <v>211</v>
      </c>
      <c r="Z785" s="4">
        <v>167</v>
      </c>
      <c r="AA785" s="4">
        <f>=ROUNDDOWN(55.6666666666667,0)</f>
      </c>
      <c r="AB785" s="5">
        <v>3</v>
      </c>
      <c r="AC785" s="2" t="s">
        <v>206</v>
      </c>
      <c r="AD785" s="4"/>
      <c r="AE785" s="4"/>
      <c r="AF785" s="6">
        <v>64</v>
      </c>
      <c r="AG785" s="6">
        <v>47</v>
      </c>
      <c r="AH785" s="7">
        <v>1</v>
      </c>
      <c r="AI785" s="4"/>
      <c r="AJ785" s="4">
        <f>=ROUNDDOWN({0},0)</f>
      </c>
      <c r="AK785" s="5"/>
      <c r="AL785" s="2" t="s">
        <v>206</v>
      </c>
      <c r="AM785" s="4"/>
      <c r="AN785" s="4"/>
      <c r="AO785" s="7"/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 t="s">
        <v>206</v>
      </c>
      <c r="BD785" s="8" t="s">
        <v>206</v>
      </c>
      <c r="BE785" s="4" t="s">
        <v>206</v>
      </c>
      <c r="BF785" s="8" t="s">
        <v>206</v>
      </c>
      <c r="BG785" s="7" t="s">
        <v>206</v>
      </c>
      <c r="BH785" s="7" t="s">
        <v>206</v>
      </c>
      <c r="BI785" s="7"/>
      <c r="BJ785" s="4">
        <v>10</v>
      </c>
      <c r="BK785" s="8">
        <v>716.8</v>
      </c>
      <c r="BL785" s="2" t="s">
        <v>3557</v>
      </c>
      <c r="BM785" s="7"/>
      <c r="BN785" s="7"/>
      <c r="BO785" s="4"/>
      <c r="BP785" s="8"/>
      <c r="BQ785" s="4"/>
      <c r="BR785" s="8"/>
      <c r="BS785" s="7"/>
      <c r="BT785" s="7"/>
      <c r="BU785" s="2" t="s">
        <v>4915</v>
      </c>
      <c r="BV785" s="2" t="s">
        <v>206</v>
      </c>
      <c r="BW785" s="2" t="s">
        <v>206</v>
      </c>
      <c r="BX785" s="2" t="s">
        <v>426</v>
      </c>
      <c r="BY785" s="2" t="s">
        <v>215</v>
      </c>
      <c r="BZ785" s="2" t="s">
        <v>203</v>
      </c>
      <c r="CA785" s="2" t="s">
        <v>2031</v>
      </c>
      <c r="CB785" s="2" t="s">
        <v>4916</v>
      </c>
      <c r="CC785" s="2" t="s">
        <v>218</v>
      </c>
      <c r="CD785" s="2" t="s">
        <v>206</v>
      </c>
      <c r="CE785" s="4">
        <v>101</v>
      </c>
      <c r="CF785" s="4"/>
      <c r="CG785" s="4"/>
      <c r="CH785" s="4">
        <v>66</v>
      </c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  <c r="DE785" s="4"/>
      <c r="DF785" s="4"/>
      <c r="DG785" s="4"/>
      <c r="DH785" s="4"/>
      <c r="DI785" s="4"/>
      <c r="DJ785" s="4"/>
      <c r="DK785" s="4"/>
      <c r="DL785" s="4"/>
      <c r="DM785" s="4"/>
      <c r="DN785" s="4"/>
      <c r="DO785" s="4"/>
      <c r="DP785" s="4"/>
      <c r="DQ785" s="4"/>
      <c r="DR785" s="4"/>
      <c r="DS785" s="4"/>
      <c r="DT785" s="4"/>
      <c r="DU785" s="4"/>
      <c r="DV785" s="4"/>
      <c r="DW785" s="4"/>
      <c r="DX785" s="4"/>
      <c r="DY785" s="4"/>
      <c r="DZ785" s="4"/>
      <c r="EA785" s="4"/>
      <c r="EB785" s="4"/>
      <c r="EC785" s="4"/>
      <c r="ED785" s="4"/>
      <c r="EE785" s="4"/>
      <c r="EF785" s="4"/>
      <c r="EG785" s="4"/>
      <c r="EH785" s="4"/>
      <c r="EI785" s="4"/>
      <c r="EJ785" s="4"/>
      <c r="EK785" s="4"/>
      <c r="EL785" s="4"/>
      <c r="EM785" s="4"/>
      <c r="EN785" s="4"/>
      <c r="EO785" s="4"/>
      <c r="EP785" s="4"/>
      <c r="EQ785" s="4"/>
      <c r="ER785" s="4"/>
      <c r="ES785" s="4"/>
      <c r="ET785" s="4"/>
      <c r="EU785" s="4"/>
      <c r="EV785" s="4"/>
      <c r="EW785" s="4"/>
      <c r="EX785" s="4"/>
      <c r="EY785" s="4"/>
      <c r="EZ785" s="4"/>
      <c r="FA785" s="4"/>
      <c r="FB785" s="4"/>
      <c r="FC785" s="4"/>
      <c r="FD785" s="4"/>
      <c r="FE785" s="4"/>
      <c r="FF785" s="4"/>
      <c r="FG785" s="4"/>
      <c r="FH785" s="4"/>
      <c r="FI785" s="4"/>
      <c r="FJ785" s="4"/>
      <c r="FK785" s="4"/>
      <c r="FL785" s="4"/>
      <c r="FM785" s="4"/>
      <c r="FN785" s="4"/>
      <c r="FO785" s="4"/>
      <c r="FP785" s="4"/>
      <c r="FQ785" s="4"/>
      <c r="FR785" s="4"/>
      <c r="FS785" s="4"/>
      <c r="FT785" s="4"/>
      <c r="FU785" s="4"/>
      <c r="FV785" s="4"/>
      <c r="FW785" s="4"/>
      <c r="FX785" s="4"/>
      <c r="FY785" s="4"/>
      <c r="FZ785" s="4"/>
      <c r="GA785" s="4"/>
      <c r="GB785" s="4"/>
      <c r="GC785" s="4"/>
      <c r="GD785" s="4"/>
      <c r="GE785" s="4"/>
      <c r="GF785" s="4"/>
    </row>
    <row r="786">
      <c r="A786" s="2" t="s">
        <v>4917</v>
      </c>
      <c r="B786" s="2" t="s">
        <v>613</v>
      </c>
      <c r="C786" s="2" t="s">
        <v>287</v>
      </c>
      <c r="D786" s="2" t="s">
        <v>628</v>
      </c>
      <c r="E786" s="2" t="s">
        <v>629</v>
      </c>
      <c r="F786" s="2" t="s">
        <v>4899</v>
      </c>
      <c r="G786" s="2" t="s">
        <v>4900</v>
      </c>
      <c r="H786" s="2" t="s">
        <v>4084</v>
      </c>
      <c r="I786" s="2" t="s">
        <v>4901</v>
      </c>
      <c r="J786" s="2" t="s">
        <v>631</v>
      </c>
      <c r="K786" s="2" t="s">
        <v>674</v>
      </c>
      <c r="L786" s="3">
        <v>16.45</v>
      </c>
      <c r="M786" s="3">
        <v>17.27</v>
      </c>
      <c r="N786" s="3">
        <v>34.99</v>
      </c>
      <c r="O786" s="2" t="s">
        <v>203</v>
      </c>
      <c r="P786" s="2" t="s">
        <v>204</v>
      </c>
      <c r="Q786" s="2" t="s">
        <v>205</v>
      </c>
      <c r="R786" s="2" t="s">
        <v>206</v>
      </c>
      <c r="S786" s="2" t="s">
        <v>4918</v>
      </c>
      <c r="T786" s="2" t="s">
        <v>206</v>
      </c>
      <c r="U786" s="2" t="s">
        <v>206</v>
      </c>
      <c r="V786" s="2" t="s">
        <v>622</v>
      </c>
      <c r="W786" s="2" t="s">
        <v>453</v>
      </c>
      <c r="X786" s="2" t="s">
        <v>633</v>
      </c>
      <c r="Y786" s="2" t="s">
        <v>211</v>
      </c>
      <c r="Z786" s="4">
        <v>447</v>
      </c>
      <c r="AA786" s="4">
        <f>=ROUNDDOWN(19.4347826086957,0)</f>
      </c>
      <c r="AB786" s="5">
        <v>23</v>
      </c>
      <c r="AC786" s="2" t="s">
        <v>119</v>
      </c>
      <c r="AD786" s="4">
        <v>520</v>
      </c>
      <c r="AE786" s="4">
        <v>520</v>
      </c>
      <c r="AF786" s="6">
        <v>64</v>
      </c>
      <c r="AG786" s="6"/>
      <c r="AH786" s="7">
        <v>1</v>
      </c>
      <c r="AI786" s="4"/>
      <c r="AJ786" s="4">
        <f>=ROUNDDOWN({0},0)</f>
      </c>
      <c r="AK786" s="5"/>
      <c r="AL786" s="2" t="s">
        <v>206</v>
      </c>
      <c r="AM786" s="4"/>
      <c r="AN786" s="4"/>
      <c r="AO786" s="7"/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 t="s">
        <v>206</v>
      </c>
      <c r="BD786" s="8" t="s">
        <v>206</v>
      </c>
      <c r="BE786" s="4" t="s">
        <v>206</v>
      </c>
      <c r="BF786" s="8" t="s">
        <v>206</v>
      </c>
      <c r="BG786" s="7" t="s">
        <v>206</v>
      </c>
      <c r="BH786" s="7" t="s">
        <v>206</v>
      </c>
      <c r="BI786" s="7"/>
      <c r="BJ786" s="4">
        <v>89</v>
      </c>
      <c r="BK786" s="8">
        <v>1580.12</v>
      </c>
      <c r="BL786" s="2" t="s">
        <v>4919</v>
      </c>
      <c r="BM786" s="7"/>
      <c r="BN786" s="7"/>
      <c r="BO786" s="4"/>
      <c r="BP786" s="8"/>
      <c r="BQ786" s="4"/>
      <c r="BR786" s="8"/>
      <c r="BS786" s="7"/>
      <c r="BT786" s="7"/>
      <c r="BU786" s="2" t="s">
        <v>4920</v>
      </c>
      <c r="BV786" s="2" t="s">
        <v>206</v>
      </c>
      <c r="BW786" s="2" t="s">
        <v>206</v>
      </c>
      <c r="BX786" s="2" t="s">
        <v>214</v>
      </c>
      <c r="BY786" s="2" t="s">
        <v>215</v>
      </c>
      <c r="BZ786" s="2" t="s">
        <v>203</v>
      </c>
      <c r="CA786" s="2" t="s">
        <v>216</v>
      </c>
      <c r="CB786" s="2" t="s">
        <v>4921</v>
      </c>
      <c r="CC786" s="2" t="s">
        <v>218</v>
      </c>
      <c r="CD786" s="2" t="s">
        <v>206</v>
      </c>
      <c r="CE786" s="4">
        <v>447</v>
      </c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  <c r="DE786" s="4"/>
      <c r="DF786" s="4"/>
      <c r="DG786" s="4">
        <v>520</v>
      </c>
      <c r="DH786" s="4"/>
      <c r="DI786" s="4"/>
      <c r="DJ786" s="4"/>
      <c r="DK786" s="4"/>
      <c r="DL786" s="4"/>
      <c r="DM786" s="4"/>
      <c r="DN786" s="4"/>
      <c r="DO786" s="4"/>
      <c r="DP786" s="4"/>
      <c r="DQ786" s="4"/>
      <c r="DR786" s="4"/>
      <c r="DS786" s="4"/>
      <c r="DT786" s="4"/>
      <c r="DU786" s="4"/>
      <c r="DV786" s="4"/>
      <c r="DW786" s="4"/>
      <c r="DX786" s="4"/>
      <c r="DY786" s="4"/>
      <c r="DZ786" s="4"/>
      <c r="EA786" s="4"/>
      <c r="EB786" s="4"/>
      <c r="EC786" s="4"/>
      <c r="ED786" s="4"/>
      <c r="EE786" s="4"/>
      <c r="EF786" s="4"/>
      <c r="EG786" s="4"/>
      <c r="EH786" s="4"/>
      <c r="EI786" s="4"/>
      <c r="EJ786" s="4"/>
      <c r="EK786" s="4"/>
      <c r="EL786" s="4"/>
      <c r="EM786" s="4"/>
      <c r="EN786" s="4"/>
      <c r="EO786" s="4"/>
      <c r="EP786" s="4"/>
      <c r="EQ786" s="4"/>
      <c r="ER786" s="4"/>
      <c r="ES786" s="4"/>
      <c r="ET786" s="4"/>
      <c r="EU786" s="4"/>
      <c r="EV786" s="4"/>
      <c r="EW786" s="4"/>
      <c r="EX786" s="4"/>
      <c r="EY786" s="4"/>
      <c r="EZ786" s="4"/>
      <c r="FA786" s="4"/>
      <c r="FB786" s="4"/>
      <c r="FC786" s="4"/>
      <c r="FD786" s="4"/>
      <c r="FE786" s="4"/>
      <c r="FF786" s="4"/>
      <c r="FG786" s="4"/>
      <c r="FH786" s="4"/>
      <c r="FI786" s="4"/>
      <c r="FJ786" s="4"/>
      <c r="FK786" s="4"/>
      <c r="FL786" s="4"/>
      <c r="FM786" s="4"/>
      <c r="FN786" s="4"/>
      <c r="FO786" s="4"/>
      <c r="FP786" s="4"/>
      <c r="FQ786" s="4"/>
      <c r="FR786" s="4"/>
      <c r="FS786" s="4"/>
      <c r="FT786" s="4"/>
      <c r="FU786" s="4"/>
      <c r="FV786" s="4"/>
      <c r="FW786" s="4"/>
      <c r="FX786" s="4"/>
      <c r="FY786" s="4"/>
      <c r="FZ786" s="4"/>
      <c r="GA786" s="4"/>
      <c r="GB786" s="4"/>
      <c r="GC786" s="4"/>
      <c r="GD786" s="4"/>
      <c r="GE786" s="4"/>
      <c r="GF786" s="4"/>
    </row>
    <row r="787">
      <c r="A787" s="2" t="s">
        <v>4922</v>
      </c>
      <c r="B787" s="2" t="s">
        <v>613</v>
      </c>
      <c r="C787" s="2" t="s">
        <v>287</v>
      </c>
      <c r="D787" s="2" t="s">
        <v>628</v>
      </c>
      <c r="E787" s="2" t="s">
        <v>629</v>
      </c>
      <c r="F787" s="2" t="s">
        <v>4899</v>
      </c>
      <c r="G787" s="2" t="s">
        <v>4900</v>
      </c>
      <c r="H787" s="2" t="s">
        <v>4084</v>
      </c>
      <c r="I787" s="2" t="s">
        <v>4901</v>
      </c>
      <c r="J787" s="2" t="s">
        <v>631</v>
      </c>
      <c r="K787" s="2" t="s">
        <v>554</v>
      </c>
      <c r="L787" s="3">
        <v>16.45</v>
      </c>
      <c r="M787" s="3">
        <v>17.27</v>
      </c>
      <c r="N787" s="3">
        <v>34.99</v>
      </c>
      <c r="O787" s="2" t="s">
        <v>203</v>
      </c>
      <c r="P787" s="2" t="s">
        <v>204</v>
      </c>
      <c r="Q787" s="2" t="s">
        <v>205</v>
      </c>
      <c r="R787" s="2" t="s">
        <v>206</v>
      </c>
      <c r="S787" s="2" t="s">
        <v>4923</v>
      </c>
      <c r="T787" s="2" t="s">
        <v>206</v>
      </c>
      <c r="U787" s="2" t="s">
        <v>437</v>
      </c>
      <c r="V787" s="2" t="s">
        <v>622</v>
      </c>
      <c r="W787" s="2" t="s">
        <v>453</v>
      </c>
      <c r="X787" s="2" t="s">
        <v>633</v>
      </c>
      <c r="Y787" s="2" t="s">
        <v>4678</v>
      </c>
      <c r="Z787" s="4">
        <v>356</v>
      </c>
      <c r="AA787" s="4">
        <f>=ROUNDDOWN(32.3636363636364,0)</f>
      </c>
      <c r="AB787" s="5">
        <v>11</v>
      </c>
      <c r="AC787" s="2" t="s">
        <v>119</v>
      </c>
      <c r="AD787" s="4">
        <v>220</v>
      </c>
      <c r="AE787" s="4">
        <v>220</v>
      </c>
      <c r="AF787" s="6">
        <v>64</v>
      </c>
      <c r="AG787" s="6"/>
      <c r="AH787" s="7">
        <v>1</v>
      </c>
      <c r="AI787" s="4"/>
      <c r="AJ787" s="4">
        <f>=ROUNDDOWN({0},0)</f>
      </c>
      <c r="AK787" s="5"/>
      <c r="AL787" s="2" t="s">
        <v>206</v>
      </c>
      <c r="AM787" s="4"/>
      <c r="AN787" s="4"/>
      <c r="AO787" s="7"/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 t="s">
        <v>206</v>
      </c>
      <c r="BD787" s="8" t="s">
        <v>206</v>
      </c>
      <c r="BE787" s="4" t="s">
        <v>206</v>
      </c>
      <c r="BF787" s="8" t="s">
        <v>206</v>
      </c>
      <c r="BG787" s="7" t="s">
        <v>206</v>
      </c>
      <c r="BH787" s="7" t="s">
        <v>206</v>
      </c>
      <c r="BI787" s="7"/>
      <c r="BJ787" s="4">
        <v>47</v>
      </c>
      <c r="BK787" s="8">
        <v>830.96</v>
      </c>
      <c r="BL787" s="2" t="s">
        <v>739</v>
      </c>
      <c r="BM787" s="7"/>
      <c r="BN787" s="7"/>
      <c r="BO787" s="4"/>
      <c r="BP787" s="8"/>
      <c r="BQ787" s="4"/>
      <c r="BR787" s="8"/>
      <c r="BS787" s="7"/>
      <c r="BT787" s="7"/>
      <c r="BU787" s="2" t="s">
        <v>4924</v>
      </c>
      <c r="BV787" s="2" t="s">
        <v>206</v>
      </c>
      <c r="BW787" s="2" t="s">
        <v>206</v>
      </c>
      <c r="BX787" s="2" t="s">
        <v>214</v>
      </c>
      <c r="BY787" s="2" t="s">
        <v>215</v>
      </c>
      <c r="BZ787" s="2" t="s">
        <v>203</v>
      </c>
      <c r="CA787" s="2" t="s">
        <v>4181</v>
      </c>
      <c r="CB787" s="2" t="s">
        <v>4925</v>
      </c>
      <c r="CC787" s="2" t="s">
        <v>218</v>
      </c>
      <c r="CD787" s="2" t="s">
        <v>206</v>
      </c>
      <c r="CE787" s="4">
        <v>356</v>
      </c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  <c r="DE787" s="4"/>
      <c r="DF787" s="4"/>
      <c r="DG787" s="4">
        <v>220</v>
      </c>
      <c r="DH787" s="4"/>
      <c r="DI787" s="4"/>
      <c r="DJ787" s="4"/>
      <c r="DK787" s="4"/>
      <c r="DL787" s="4"/>
      <c r="DM787" s="4"/>
      <c r="DN787" s="4"/>
      <c r="DO787" s="4"/>
      <c r="DP787" s="4"/>
      <c r="DQ787" s="4"/>
      <c r="DR787" s="4"/>
      <c r="DS787" s="4"/>
      <c r="DT787" s="4"/>
      <c r="DU787" s="4"/>
      <c r="DV787" s="4"/>
      <c r="DW787" s="4"/>
      <c r="DX787" s="4"/>
      <c r="DY787" s="4"/>
      <c r="DZ787" s="4"/>
      <c r="EA787" s="4"/>
      <c r="EB787" s="4"/>
      <c r="EC787" s="4"/>
      <c r="ED787" s="4"/>
      <c r="EE787" s="4"/>
      <c r="EF787" s="4"/>
      <c r="EG787" s="4"/>
      <c r="EH787" s="4"/>
      <c r="EI787" s="4"/>
      <c r="EJ787" s="4"/>
      <c r="EK787" s="4"/>
      <c r="EL787" s="4"/>
      <c r="EM787" s="4"/>
      <c r="EN787" s="4"/>
      <c r="EO787" s="4"/>
      <c r="EP787" s="4"/>
      <c r="EQ787" s="4"/>
      <c r="ER787" s="4"/>
      <c r="ES787" s="4"/>
      <c r="ET787" s="4"/>
      <c r="EU787" s="4"/>
      <c r="EV787" s="4"/>
      <c r="EW787" s="4"/>
      <c r="EX787" s="4"/>
      <c r="EY787" s="4"/>
      <c r="EZ787" s="4"/>
      <c r="FA787" s="4"/>
      <c r="FB787" s="4"/>
      <c r="FC787" s="4"/>
      <c r="FD787" s="4"/>
      <c r="FE787" s="4"/>
      <c r="FF787" s="4"/>
      <c r="FG787" s="4"/>
      <c r="FH787" s="4"/>
      <c r="FI787" s="4"/>
      <c r="FJ787" s="4"/>
      <c r="FK787" s="4"/>
      <c r="FL787" s="4"/>
      <c r="FM787" s="4"/>
      <c r="FN787" s="4"/>
      <c r="FO787" s="4"/>
      <c r="FP787" s="4"/>
      <c r="FQ787" s="4"/>
      <c r="FR787" s="4"/>
      <c r="FS787" s="4"/>
      <c r="FT787" s="4"/>
      <c r="FU787" s="4"/>
      <c r="FV787" s="4"/>
      <c r="FW787" s="4"/>
      <c r="FX787" s="4"/>
      <c r="FY787" s="4"/>
      <c r="FZ787" s="4"/>
      <c r="GA787" s="4"/>
      <c r="GB787" s="4"/>
      <c r="GC787" s="4"/>
      <c r="GD787" s="4"/>
      <c r="GE787" s="4"/>
      <c r="GF787" s="4"/>
    </row>
    <row r="788">
      <c r="A788" s="2" t="s">
        <v>4926</v>
      </c>
      <c r="B788" s="2" t="s">
        <v>507</v>
      </c>
      <c r="C788" s="2" t="s">
        <v>462</v>
      </c>
      <c r="D788" s="2" t="s">
        <v>1475</v>
      </c>
      <c r="E788" s="2" t="s">
        <v>1476</v>
      </c>
      <c r="F788" s="2" t="s">
        <v>4927</v>
      </c>
      <c r="G788" s="2" t="s">
        <v>4927</v>
      </c>
      <c r="H788" s="2" t="s">
        <v>4927</v>
      </c>
      <c r="I788" s="2" t="s">
        <v>4928</v>
      </c>
      <c r="J788" s="2" t="s">
        <v>434</v>
      </c>
      <c r="K788" s="2" t="s">
        <v>2368</v>
      </c>
      <c r="L788" s="3">
        <v>132</v>
      </c>
      <c r="M788" s="3">
        <v>138.6</v>
      </c>
      <c r="N788" s="3">
        <v>279.99</v>
      </c>
      <c r="O788" s="2" t="s">
        <v>203</v>
      </c>
      <c r="P788" s="2" t="s">
        <v>467</v>
      </c>
      <c r="Q788" s="2" t="s">
        <v>205</v>
      </c>
      <c r="R788" s="2" t="s">
        <v>206</v>
      </c>
      <c r="S788" s="2" t="s">
        <v>206</v>
      </c>
      <c r="T788" s="2" t="s">
        <v>206</v>
      </c>
      <c r="U788" s="2" t="s">
        <v>437</v>
      </c>
      <c r="V788" s="2" t="s">
        <v>468</v>
      </c>
      <c r="W788" s="2" t="s">
        <v>877</v>
      </c>
      <c r="X788" s="2" t="s">
        <v>210</v>
      </c>
      <c r="Y788" s="2" t="s">
        <v>1299</v>
      </c>
      <c r="Z788" s="4">
        <v>84</v>
      </c>
      <c r="AA788" s="4">
        <f>=ROUNDDOWN(42,0)</f>
      </c>
      <c r="AB788" s="5">
        <v>2</v>
      </c>
      <c r="AC788" s="2" t="s">
        <v>206</v>
      </c>
      <c r="AD788" s="4"/>
      <c r="AE788" s="4"/>
      <c r="AF788" s="6">
        <v>63</v>
      </c>
      <c r="AG788" s="6"/>
      <c r="AH788" s="7">
        <v>1</v>
      </c>
      <c r="AI788" s="4"/>
      <c r="AJ788" s="4">
        <f>=ROUNDDOWN({0},0)</f>
      </c>
      <c r="AK788" s="5"/>
      <c r="AL788" s="2" t="s">
        <v>206</v>
      </c>
      <c r="AM788" s="4"/>
      <c r="AN788" s="4"/>
      <c r="AO788" s="7"/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/>
      <c r="BK788" s="8"/>
      <c r="BL788" s="2" t="s">
        <v>206</v>
      </c>
      <c r="BM788" s="7"/>
      <c r="BN788" s="7"/>
      <c r="BO788" s="4"/>
      <c r="BP788" s="8"/>
      <c r="BQ788" s="4"/>
      <c r="BR788" s="8"/>
      <c r="BS788" s="7"/>
      <c r="BT788" s="7"/>
      <c r="BU788" s="2" t="s">
        <v>4929</v>
      </c>
      <c r="BV788" s="2" t="s">
        <v>206</v>
      </c>
      <c r="BW788" s="2" t="s">
        <v>206</v>
      </c>
      <c r="BX788" s="2" t="s">
        <v>214</v>
      </c>
      <c r="BY788" s="2" t="s">
        <v>215</v>
      </c>
      <c r="BZ788" s="2" t="s">
        <v>203</v>
      </c>
      <c r="CA788" s="2" t="s">
        <v>4663</v>
      </c>
      <c r="CB788" s="2" t="s">
        <v>1424</v>
      </c>
      <c r="CC788" s="2" t="s">
        <v>218</v>
      </c>
      <c r="CD788" s="2" t="s">
        <v>206</v>
      </c>
      <c r="CE788" s="4"/>
      <c r="CF788" s="4">
        <v>84</v>
      </c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  <c r="DE788" s="4"/>
      <c r="DF788" s="4"/>
      <c r="DG788" s="4"/>
      <c r="DH788" s="4"/>
      <c r="DI788" s="4"/>
      <c r="DJ788" s="4"/>
      <c r="DK788" s="4"/>
      <c r="DL788" s="4"/>
      <c r="DM788" s="4"/>
      <c r="DN788" s="4"/>
      <c r="DO788" s="4"/>
      <c r="DP788" s="4"/>
      <c r="DQ788" s="4"/>
      <c r="DR788" s="4"/>
      <c r="DS788" s="4"/>
      <c r="DT788" s="4"/>
      <c r="DU788" s="4"/>
      <c r="DV788" s="4"/>
      <c r="DW788" s="4"/>
      <c r="DX788" s="4"/>
      <c r="DY788" s="4"/>
      <c r="DZ788" s="4"/>
      <c r="EA788" s="4"/>
      <c r="EB788" s="4"/>
      <c r="EC788" s="4"/>
      <c r="ED788" s="4"/>
      <c r="EE788" s="4"/>
      <c r="EF788" s="4"/>
      <c r="EG788" s="4"/>
      <c r="EH788" s="4"/>
      <c r="EI788" s="4"/>
      <c r="EJ788" s="4"/>
      <c r="EK788" s="4"/>
      <c r="EL788" s="4"/>
      <c r="EM788" s="4"/>
      <c r="EN788" s="4"/>
      <c r="EO788" s="4"/>
      <c r="EP788" s="4"/>
      <c r="EQ788" s="4"/>
      <c r="ER788" s="4"/>
      <c r="ES788" s="4"/>
      <c r="ET788" s="4"/>
      <c r="EU788" s="4"/>
      <c r="EV788" s="4"/>
      <c r="EW788" s="4"/>
      <c r="EX788" s="4"/>
      <c r="EY788" s="4"/>
      <c r="EZ788" s="4"/>
      <c r="FA788" s="4"/>
      <c r="FB788" s="4"/>
      <c r="FC788" s="4"/>
      <c r="FD788" s="4"/>
      <c r="FE788" s="4"/>
      <c r="FF788" s="4"/>
      <c r="FG788" s="4"/>
      <c r="FH788" s="4"/>
      <c r="FI788" s="4"/>
      <c r="FJ788" s="4"/>
      <c r="FK788" s="4"/>
      <c r="FL788" s="4"/>
      <c r="FM788" s="4"/>
      <c r="FN788" s="4"/>
      <c r="FO788" s="4"/>
      <c r="FP788" s="4"/>
      <c r="FQ788" s="4"/>
      <c r="FR788" s="4"/>
      <c r="FS788" s="4"/>
      <c r="FT788" s="4"/>
      <c r="FU788" s="4"/>
      <c r="FV788" s="4"/>
      <c r="FW788" s="4"/>
      <c r="FX788" s="4"/>
      <c r="FY788" s="4"/>
      <c r="FZ788" s="4"/>
      <c r="GA788" s="4"/>
      <c r="GB788" s="4"/>
      <c r="GC788" s="4"/>
      <c r="GD788" s="4"/>
      <c r="GE788" s="4"/>
      <c r="GF788" s="4"/>
    </row>
    <row r="789">
      <c r="A789" s="2" t="s">
        <v>4930</v>
      </c>
      <c r="B789" s="2" t="s">
        <v>461</v>
      </c>
      <c r="C789" s="2" t="s">
        <v>287</v>
      </c>
      <c r="D789" s="2" t="s">
        <v>790</v>
      </c>
      <c r="E789" s="2" t="s">
        <v>4931</v>
      </c>
      <c r="F789" s="2" t="s">
        <v>4932</v>
      </c>
      <c r="G789" s="2" t="s">
        <v>4933</v>
      </c>
      <c r="H789" s="2" t="s">
        <v>4934</v>
      </c>
      <c r="I789" s="2" t="s">
        <v>4935</v>
      </c>
      <c r="J789" s="2" t="s">
        <v>434</v>
      </c>
      <c r="K789" s="2" t="s">
        <v>262</v>
      </c>
      <c r="L789" s="3">
        <v>114</v>
      </c>
      <c r="M789" s="3">
        <v>119.7</v>
      </c>
      <c r="N789" s="3">
        <v>239</v>
      </c>
      <c r="O789" s="2" t="s">
        <v>203</v>
      </c>
      <c r="P789" s="2" t="s">
        <v>204</v>
      </c>
      <c r="Q789" s="2" t="s">
        <v>205</v>
      </c>
      <c r="R789" s="2" t="s">
        <v>206</v>
      </c>
      <c r="S789" s="2" t="s">
        <v>4936</v>
      </c>
      <c r="T789" s="2" t="s">
        <v>206</v>
      </c>
      <c r="U789" s="2" t="s">
        <v>206</v>
      </c>
      <c r="V789" s="2" t="s">
        <v>209</v>
      </c>
      <c r="W789" s="2" t="s">
        <v>539</v>
      </c>
      <c r="X789" s="2" t="s">
        <v>206</v>
      </c>
      <c r="Y789" s="2" t="s">
        <v>211</v>
      </c>
      <c r="Z789" s="4">
        <v>88</v>
      </c>
      <c r="AA789" s="4">
        <f>=ROUNDDOWN(8,0)</f>
      </c>
      <c r="AB789" s="5">
        <v>11</v>
      </c>
      <c r="AC789" s="2" t="s">
        <v>139</v>
      </c>
      <c r="AD789" s="4">
        <v>102</v>
      </c>
      <c r="AE789" s="4">
        <v>270</v>
      </c>
      <c r="AF789" s="6">
        <v>76</v>
      </c>
      <c r="AG789" s="6">
        <v>67</v>
      </c>
      <c r="AH789" s="7">
        <v>1</v>
      </c>
      <c r="AI789" s="4"/>
      <c r="AJ789" s="4">
        <f>=ROUNDDOWN({0},0)</f>
      </c>
      <c r="AK789" s="5"/>
      <c r="AL789" s="2" t="s">
        <v>206</v>
      </c>
      <c r="AM789" s="4"/>
      <c r="AN789" s="4"/>
      <c r="AO789" s="7"/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/>
      <c r="BD789" s="8"/>
      <c r="BE789" s="4"/>
      <c r="BF789" s="8"/>
      <c r="BG789" s="7"/>
      <c r="BH789" s="7"/>
      <c r="BI789" s="7"/>
      <c r="BJ789" s="4">
        <v>47</v>
      </c>
      <c r="BK789" s="8">
        <v>5028.51</v>
      </c>
      <c r="BL789" s="2" t="s">
        <v>4937</v>
      </c>
      <c r="BM789" s="7"/>
      <c r="BN789" s="7"/>
      <c r="BO789" s="4"/>
      <c r="BP789" s="8"/>
      <c r="BQ789" s="4"/>
      <c r="BR789" s="8"/>
      <c r="BS789" s="7"/>
      <c r="BT789" s="7"/>
      <c r="BU789" s="2" t="s">
        <v>4938</v>
      </c>
      <c r="BV789" s="2" t="s">
        <v>206</v>
      </c>
      <c r="BW789" s="2" t="s">
        <v>206</v>
      </c>
      <c r="BX789" s="2" t="s">
        <v>426</v>
      </c>
      <c r="BY789" s="2" t="s">
        <v>215</v>
      </c>
      <c r="BZ789" s="2" t="s">
        <v>203</v>
      </c>
      <c r="CA789" s="2" t="s">
        <v>4690</v>
      </c>
      <c r="CB789" s="2" t="s">
        <v>4692</v>
      </c>
      <c r="CC789" s="2" t="s">
        <v>218</v>
      </c>
      <c r="CD789" s="2" t="s">
        <v>206</v>
      </c>
      <c r="CE789" s="4"/>
      <c r="CF789" s="4">
        <v>88</v>
      </c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  <c r="DE789" s="4"/>
      <c r="DF789" s="4"/>
      <c r="DG789" s="4"/>
      <c r="DH789" s="4"/>
      <c r="DI789" s="4"/>
      <c r="DJ789" s="4"/>
      <c r="DK789" s="4"/>
      <c r="DL789" s="4"/>
      <c r="DM789" s="4"/>
      <c r="DN789" s="4"/>
      <c r="DO789" s="4"/>
      <c r="DP789" s="4"/>
      <c r="DQ789" s="4"/>
      <c r="DR789" s="4"/>
      <c r="DS789" s="4"/>
      <c r="DT789" s="4"/>
      <c r="DU789" s="4"/>
      <c r="DV789" s="4"/>
      <c r="DW789" s="4"/>
      <c r="DX789" s="4"/>
      <c r="DY789" s="4"/>
      <c r="DZ789" s="4"/>
      <c r="EA789" s="4">
        <v>102</v>
      </c>
      <c r="EB789" s="4"/>
      <c r="EC789" s="4"/>
      <c r="ED789" s="4"/>
      <c r="EE789" s="4"/>
      <c r="EF789" s="4"/>
      <c r="EG789" s="4">
        <v>28</v>
      </c>
      <c r="EH789" s="4"/>
      <c r="EI789" s="4"/>
      <c r="EJ789" s="4"/>
      <c r="EK789" s="4"/>
      <c r="EL789" s="4"/>
      <c r="EM789" s="4"/>
      <c r="EN789" s="4"/>
      <c r="EO789" s="4"/>
      <c r="EP789" s="4"/>
      <c r="EQ789" s="4"/>
      <c r="ER789" s="4"/>
      <c r="ES789" s="4"/>
      <c r="ET789" s="4"/>
      <c r="EU789" s="4"/>
      <c r="EV789" s="4"/>
      <c r="EW789" s="4"/>
      <c r="EX789" s="4"/>
      <c r="EY789" s="4"/>
      <c r="EZ789" s="4"/>
      <c r="FA789" s="4"/>
      <c r="FB789" s="4"/>
      <c r="FC789" s="4"/>
      <c r="FD789" s="4">
        <v>90</v>
      </c>
      <c r="FE789" s="4"/>
      <c r="FF789" s="4"/>
      <c r="FG789" s="4"/>
      <c r="FH789" s="4"/>
      <c r="FI789" s="4"/>
      <c r="FJ789" s="4"/>
      <c r="FK789" s="4"/>
      <c r="FL789" s="4"/>
      <c r="FM789" s="4"/>
      <c r="FN789" s="4">
        <v>50</v>
      </c>
      <c r="FO789" s="4"/>
      <c r="FP789" s="4"/>
      <c r="FQ789" s="4"/>
      <c r="FR789" s="4"/>
      <c r="FS789" s="4"/>
      <c r="FT789" s="4"/>
      <c r="FU789" s="4"/>
      <c r="FV789" s="4"/>
      <c r="FW789" s="4"/>
      <c r="FX789" s="4"/>
      <c r="FY789" s="4"/>
      <c r="FZ789" s="4"/>
      <c r="GA789" s="4"/>
      <c r="GB789" s="4"/>
      <c r="GC789" s="4"/>
      <c r="GD789" s="4"/>
      <c r="GE789" s="4"/>
      <c r="GF789" s="4"/>
    </row>
    <row r="790">
      <c r="A790" s="2" t="s">
        <v>4939</v>
      </c>
      <c r="B790" s="2" t="s">
        <v>461</v>
      </c>
      <c r="C790" s="2" t="s">
        <v>462</v>
      </c>
      <c r="D790" s="2" t="s">
        <v>975</v>
      </c>
      <c r="E790" s="2" t="s">
        <v>976</v>
      </c>
      <c r="F790" s="2" t="s">
        <v>4940</v>
      </c>
      <c r="G790" s="2" t="s">
        <v>4940</v>
      </c>
      <c r="H790" s="2" t="s">
        <v>4940</v>
      </c>
      <c r="I790" s="2" t="s">
        <v>1208</v>
      </c>
      <c r="J790" s="2" t="s">
        <v>434</v>
      </c>
      <c r="K790" s="2" t="s">
        <v>696</v>
      </c>
      <c r="L790" s="3">
        <v>226.1</v>
      </c>
      <c r="M790" s="3">
        <v>237.4</v>
      </c>
      <c r="N790" s="3">
        <v>479</v>
      </c>
      <c r="O790" s="2" t="s">
        <v>203</v>
      </c>
      <c r="P790" s="2" t="s">
        <v>204</v>
      </c>
      <c r="Q790" s="2" t="s">
        <v>205</v>
      </c>
      <c r="R790" s="2" t="s">
        <v>206</v>
      </c>
      <c r="S790" s="2" t="s">
        <v>4941</v>
      </c>
      <c r="T790" s="2" t="s">
        <v>206</v>
      </c>
      <c r="U790" s="2" t="s">
        <v>206</v>
      </c>
      <c r="V790" s="2" t="s">
        <v>209</v>
      </c>
      <c r="W790" s="2" t="s">
        <v>1210</v>
      </c>
      <c r="X790" s="2" t="s">
        <v>206</v>
      </c>
      <c r="Y790" s="2" t="s">
        <v>4942</v>
      </c>
      <c r="Z790" s="4">
        <v>41</v>
      </c>
      <c r="AA790" s="4">
        <f>=ROUNDDOWN(8.2,0)</f>
      </c>
      <c r="AB790" s="5">
        <v>5</v>
      </c>
      <c r="AC790" s="2" t="s">
        <v>441</v>
      </c>
      <c r="AD790" s="4">
        <v>102</v>
      </c>
      <c r="AE790" s="4">
        <v>188</v>
      </c>
      <c r="AF790" s="6">
        <v>66</v>
      </c>
      <c r="AG790" s="6"/>
      <c r="AH790" s="7">
        <v>1</v>
      </c>
      <c r="AI790" s="4"/>
      <c r="AJ790" s="4">
        <f>=ROUNDDOWN({0},0)</f>
      </c>
      <c r="AK790" s="5"/>
      <c r="AL790" s="2" t="s">
        <v>206</v>
      </c>
      <c r="AM790" s="4"/>
      <c r="AN790" s="4"/>
      <c r="AO790" s="7"/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/>
      <c r="BD790" s="8"/>
      <c r="BE790" s="4"/>
      <c r="BF790" s="8"/>
      <c r="BG790" s="7"/>
      <c r="BH790" s="7"/>
      <c r="BI790" s="7"/>
      <c r="BJ790" s="4">
        <v>10</v>
      </c>
      <c r="BK790" s="8">
        <v>2171.35</v>
      </c>
      <c r="BL790" s="2" t="s">
        <v>4943</v>
      </c>
      <c r="BM790" s="7"/>
      <c r="BN790" s="7"/>
      <c r="BO790" s="4"/>
      <c r="BP790" s="8"/>
      <c r="BQ790" s="4"/>
      <c r="BR790" s="8"/>
      <c r="BS790" s="7"/>
      <c r="BT790" s="7"/>
      <c r="BU790" s="2" t="s">
        <v>4944</v>
      </c>
      <c r="BV790" s="2" t="s">
        <v>206</v>
      </c>
      <c r="BW790" s="2" t="s">
        <v>206</v>
      </c>
      <c r="BX790" s="2" t="s">
        <v>214</v>
      </c>
      <c r="BY790" s="2" t="s">
        <v>215</v>
      </c>
      <c r="BZ790" s="2" t="s">
        <v>203</v>
      </c>
      <c r="CA790" s="2" t="s">
        <v>4379</v>
      </c>
      <c r="CB790" s="2" t="s">
        <v>4945</v>
      </c>
      <c r="CC790" s="2" t="s">
        <v>218</v>
      </c>
      <c r="CD790" s="2" t="s">
        <v>206</v>
      </c>
      <c r="CE790" s="4"/>
      <c r="CF790" s="4">
        <v>41</v>
      </c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  <c r="DE790" s="4"/>
      <c r="DF790" s="4"/>
      <c r="DG790" s="4"/>
      <c r="DH790" s="4"/>
      <c r="DI790" s="4"/>
      <c r="DJ790" s="4"/>
      <c r="DK790" s="4"/>
      <c r="DL790" s="4"/>
      <c r="DM790" s="4"/>
      <c r="DN790" s="4"/>
      <c r="DO790" s="4"/>
      <c r="DP790" s="4"/>
      <c r="DQ790" s="4"/>
      <c r="DR790" s="4">
        <v>102</v>
      </c>
      <c r="DS790" s="4"/>
      <c r="DT790" s="4"/>
      <c r="DU790" s="4"/>
      <c r="DV790" s="4"/>
      <c r="DW790" s="4"/>
      <c r="DX790" s="4"/>
      <c r="DY790" s="4"/>
      <c r="DZ790" s="4"/>
      <c r="EA790" s="4"/>
      <c r="EB790" s="4"/>
      <c r="EC790" s="4"/>
      <c r="ED790" s="4"/>
      <c r="EE790" s="4"/>
      <c r="EF790" s="4"/>
      <c r="EG790" s="4"/>
      <c r="EH790" s="4"/>
      <c r="EI790" s="4"/>
      <c r="EJ790" s="4"/>
      <c r="EK790" s="4"/>
      <c r="EL790" s="4"/>
      <c r="EM790" s="4"/>
      <c r="EN790" s="4"/>
      <c r="EO790" s="4"/>
      <c r="EP790" s="4"/>
      <c r="EQ790" s="4">
        <v>86</v>
      </c>
      <c r="ER790" s="4"/>
      <c r="ES790" s="4"/>
      <c r="ET790" s="4"/>
      <c r="EU790" s="4"/>
      <c r="EV790" s="4"/>
      <c r="EW790" s="4"/>
      <c r="EX790" s="4"/>
      <c r="EY790" s="4"/>
      <c r="EZ790" s="4"/>
      <c r="FA790" s="4"/>
      <c r="FB790" s="4"/>
      <c r="FC790" s="4"/>
      <c r="FD790" s="4"/>
      <c r="FE790" s="4"/>
      <c r="FF790" s="4"/>
      <c r="FG790" s="4"/>
      <c r="FH790" s="4"/>
      <c r="FI790" s="4"/>
      <c r="FJ790" s="4"/>
      <c r="FK790" s="4"/>
      <c r="FL790" s="4"/>
      <c r="FM790" s="4"/>
      <c r="FN790" s="4"/>
      <c r="FO790" s="4"/>
      <c r="FP790" s="4"/>
      <c r="FQ790" s="4"/>
      <c r="FR790" s="4"/>
      <c r="FS790" s="4"/>
      <c r="FT790" s="4"/>
      <c r="FU790" s="4"/>
      <c r="FV790" s="4"/>
      <c r="FW790" s="4"/>
      <c r="FX790" s="4"/>
      <c r="FY790" s="4"/>
      <c r="FZ790" s="4"/>
      <c r="GA790" s="4"/>
      <c r="GB790" s="4"/>
      <c r="GC790" s="4"/>
      <c r="GD790" s="4"/>
      <c r="GE790" s="4"/>
      <c r="GF790" s="4"/>
    </row>
    <row r="791">
      <c r="A791" s="2" t="s">
        <v>4946</v>
      </c>
      <c r="B791" s="2" t="s">
        <v>528</v>
      </c>
      <c r="C791" s="2" t="s">
        <v>462</v>
      </c>
      <c r="D791" s="2" t="s">
        <v>529</v>
      </c>
      <c r="E791" s="2" t="s">
        <v>1134</v>
      </c>
      <c r="F791" s="2" t="s">
        <v>4947</v>
      </c>
      <c r="G791" s="2" t="s">
        <v>4947</v>
      </c>
      <c r="H791" s="2" t="s">
        <v>4947</v>
      </c>
      <c r="I791" s="2" t="s">
        <v>4948</v>
      </c>
      <c r="J791" s="2" t="s">
        <v>593</v>
      </c>
      <c r="K791" s="2" t="s">
        <v>1060</v>
      </c>
      <c r="L791" s="3">
        <v>54.85</v>
      </c>
      <c r="M791" s="3">
        <v>57.59</v>
      </c>
      <c r="N791" s="3">
        <v>119.99</v>
      </c>
      <c r="O791" s="2" t="s">
        <v>203</v>
      </c>
      <c r="P791" s="2" t="s">
        <v>204</v>
      </c>
      <c r="Q791" s="2" t="s">
        <v>205</v>
      </c>
      <c r="R791" s="2" t="s">
        <v>206</v>
      </c>
      <c r="S791" s="2" t="s">
        <v>4949</v>
      </c>
      <c r="T791" s="2" t="s">
        <v>234</v>
      </c>
      <c r="U791" s="2" t="s">
        <v>556</v>
      </c>
      <c r="V791" s="2" t="s">
        <v>236</v>
      </c>
      <c r="W791" s="2" t="s">
        <v>1657</v>
      </c>
      <c r="X791" s="2" t="s">
        <v>210</v>
      </c>
      <c r="Y791" s="2" t="s">
        <v>4950</v>
      </c>
      <c r="Z791" s="4">
        <v>172</v>
      </c>
      <c r="AA791" s="4">
        <f>=ROUNDDOWN(28.6666666666667,0)</f>
      </c>
      <c r="AB791" s="5">
        <v>6</v>
      </c>
      <c r="AC791" s="2" t="s">
        <v>1098</v>
      </c>
      <c r="AD791" s="4">
        <v>100</v>
      </c>
      <c r="AE791" s="4">
        <v>190</v>
      </c>
      <c r="AF791" s="6">
        <v>65</v>
      </c>
      <c r="AG791" s="6"/>
      <c r="AH791" s="7">
        <v>1</v>
      </c>
      <c r="AI791" s="4"/>
      <c r="AJ791" s="4">
        <f>=ROUNDDOWN({0},0)</f>
      </c>
      <c r="AK791" s="5"/>
      <c r="AL791" s="2" t="s">
        <v>206</v>
      </c>
      <c r="AM791" s="4"/>
      <c r="AN791" s="4"/>
      <c r="AO791" s="7"/>
      <c r="AP791" s="4"/>
      <c r="AQ791" s="8"/>
      <c r="AR791" s="4"/>
      <c r="AS791" s="8"/>
      <c r="AT791" s="7"/>
      <c r="AU791" s="7"/>
      <c r="AV791" s="4" t="s">
        <v>206</v>
      </c>
      <c r="AW791" s="8" t="s">
        <v>206</v>
      </c>
      <c r="AX791" s="4" t="s">
        <v>206</v>
      </c>
      <c r="AY791" s="8" t="s">
        <v>206</v>
      </c>
      <c r="AZ791" s="7" t="s">
        <v>206</v>
      </c>
      <c r="BA791" s="7" t="s">
        <v>206</v>
      </c>
      <c r="BB791" s="7"/>
      <c r="BC791" s="4" t="s">
        <v>206</v>
      </c>
      <c r="BD791" s="8" t="s">
        <v>206</v>
      </c>
      <c r="BE791" s="4" t="s">
        <v>206</v>
      </c>
      <c r="BF791" s="8" t="s">
        <v>206</v>
      </c>
      <c r="BG791" s="7" t="s">
        <v>206</v>
      </c>
      <c r="BH791" s="7" t="s">
        <v>206</v>
      </c>
      <c r="BI791" s="7"/>
      <c r="BJ791" s="4">
        <v>15</v>
      </c>
      <c r="BK791" s="8">
        <v>919.15</v>
      </c>
      <c r="BL791" s="2" t="s">
        <v>4951</v>
      </c>
      <c r="BM791" s="7"/>
      <c r="BN791" s="7"/>
      <c r="BO791" s="4"/>
      <c r="BP791" s="8"/>
      <c r="BQ791" s="4"/>
      <c r="BR791" s="8"/>
      <c r="BS791" s="7"/>
      <c r="BT791" s="7"/>
      <c r="BU791" s="2" t="s">
        <v>4952</v>
      </c>
      <c r="BV791" s="2" t="s">
        <v>206</v>
      </c>
      <c r="BW791" s="2" t="s">
        <v>206</v>
      </c>
      <c r="BX791" s="2" t="s">
        <v>214</v>
      </c>
      <c r="BY791" s="2" t="s">
        <v>215</v>
      </c>
      <c r="BZ791" s="2" t="s">
        <v>203</v>
      </c>
      <c r="CA791" s="2" t="s">
        <v>4953</v>
      </c>
      <c r="CB791" s="2" t="s">
        <v>517</v>
      </c>
      <c r="CC791" s="2" t="s">
        <v>218</v>
      </c>
      <c r="CD791" s="2" t="s">
        <v>206</v>
      </c>
      <c r="CE791" s="4">
        <v>69</v>
      </c>
      <c r="CF791" s="4"/>
      <c r="CG791" s="4"/>
      <c r="CH791" s="4">
        <v>103</v>
      </c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  <c r="DE791" s="4"/>
      <c r="DF791" s="4"/>
      <c r="DG791" s="4"/>
      <c r="DH791" s="4"/>
      <c r="DI791" s="4"/>
      <c r="DJ791" s="4"/>
      <c r="DK791" s="4"/>
      <c r="DL791" s="4"/>
      <c r="DM791" s="4"/>
      <c r="DN791" s="4"/>
      <c r="DO791" s="4"/>
      <c r="DP791" s="4"/>
      <c r="DQ791" s="4"/>
      <c r="DR791" s="4"/>
      <c r="DS791" s="4"/>
      <c r="DT791" s="4"/>
      <c r="DU791" s="4"/>
      <c r="DV791" s="4"/>
      <c r="DW791" s="4"/>
      <c r="DX791" s="4"/>
      <c r="DY791" s="4"/>
      <c r="DZ791" s="4"/>
      <c r="EA791" s="4"/>
      <c r="EB791" s="4"/>
      <c r="EC791" s="4"/>
      <c r="ED791" s="4"/>
      <c r="EE791" s="4"/>
      <c r="EF791" s="4"/>
      <c r="EG791" s="4"/>
      <c r="EH791" s="4"/>
      <c r="EI791" s="4"/>
      <c r="EJ791" s="4"/>
      <c r="EK791" s="4"/>
      <c r="EL791" s="4"/>
      <c r="EM791" s="4"/>
      <c r="EN791" s="4"/>
      <c r="EO791" s="4"/>
      <c r="EP791" s="4"/>
      <c r="EQ791" s="4"/>
      <c r="ER791" s="4"/>
      <c r="ES791" s="4"/>
      <c r="ET791" s="4"/>
      <c r="EU791" s="4">
        <v>100</v>
      </c>
      <c r="EV791" s="4"/>
      <c r="EW791" s="4"/>
      <c r="EX791" s="4"/>
      <c r="EY791" s="4"/>
      <c r="EZ791" s="4"/>
      <c r="FA791" s="4"/>
      <c r="FB791" s="4"/>
      <c r="FC791" s="4"/>
      <c r="FD791" s="4"/>
      <c r="FE791" s="4"/>
      <c r="FF791" s="4"/>
      <c r="FG791" s="4"/>
      <c r="FH791" s="4"/>
      <c r="FI791" s="4"/>
      <c r="FJ791" s="4"/>
      <c r="FK791" s="4"/>
      <c r="FL791" s="4"/>
      <c r="FM791" s="4"/>
      <c r="FN791" s="4"/>
      <c r="FO791" s="4"/>
      <c r="FP791" s="4"/>
      <c r="FQ791" s="4"/>
      <c r="FR791" s="4"/>
      <c r="FS791" s="4"/>
      <c r="FT791" s="4"/>
      <c r="FU791" s="4"/>
      <c r="FV791" s="4"/>
      <c r="FW791" s="4"/>
      <c r="FX791" s="4"/>
      <c r="FY791" s="4">
        <v>90</v>
      </c>
      <c r="FZ791" s="4"/>
      <c r="GA791" s="4"/>
      <c r="GB791" s="4"/>
      <c r="GC791" s="4"/>
      <c r="GD791" s="4"/>
      <c r="GE791" s="4"/>
      <c r="GF791" s="4"/>
    </row>
    <row r="792">
      <c r="A792" s="2" t="s">
        <v>4954</v>
      </c>
      <c r="B792" s="2" t="s">
        <v>528</v>
      </c>
      <c r="C792" s="2" t="s">
        <v>462</v>
      </c>
      <c r="D792" s="2" t="s">
        <v>548</v>
      </c>
      <c r="E792" s="2" t="s">
        <v>579</v>
      </c>
      <c r="F792" s="2" t="s">
        <v>4947</v>
      </c>
      <c r="G792" s="2" t="s">
        <v>4947</v>
      </c>
      <c r="H792" s="2" t="s">
        <v>4947</v>
      </c>
      <c r="I792" s="2" t="s">
        <v>4955</v>
      </c>
      <c r="J792" s="2" t="s">
        <v>582</v>
      </c>
      <c r="K792" s="2" t="s">
        <v>1060</v>
      </c>
      <c r="L792" s="3">
        <v>54.85</v>
      </c>
      <c r="M792" s="3">
        <v>57.59</v>
      </c>
      <c r="N792" s="3">
        <v>119.99</v>
      </c>
      <c r="O792" s="2" t="s">
        <v>203</v>
      </c>
      <c r="P792" s="2" t="s">
        <v>204</v>
      </c>
      <c r="Q792" s="2" t="s">
        <v>205</v>
      </c>
      <c r="R792" s="2" t="s">
        <v>206</v>
      </c>
      <c r="S792" s="2" t="s">
        <v>4949</v>
      </c>
      <c r="T792" s="2" t="s">
        <v>234</v>
      </c>
      <c r="U792" s="2" t="s">
        <v>556</v>
      </c>
      <c r="V792" s="2" t="s">
        <v>236</v>
      </c>
      <c r="W792" s="2" t="s">
        <v>1657</v>
      </c>
      <c r="X792" s="2" t="s">
        <v>210</v>
      </c>
      <c r="Y792" s="2" t="s">
        <v>4950</v>
      </c>
      <c r="Z792" s="4">
        <v>125</v>
      </c>
      <c r="AA792" s="4">
        <f>=ROUNDDOWN(31.25,0)</f>
      </c>
      <c r="AB792" s="5">
        <v>4</v>
      </c>
      <c r="AC792" s="2" t="s">
        <v>1098</v>
      </c>
      <c r="AD792" s="4">
        <v>130</v>
      </c>
      <c r="AE792" s="4">
        <v>220</v>
      </c>
      <c r="AF792" s="6">
        <v>65</v>
      </c>
      <c r="AG792" s="6"/>
      <c r="AH792" s="7">
        <v>1</v>
      </c>
      <c r="AI792" s="4"/>
      <c r="AJ792" s="4">
        <f>=ROUNDDOWN({0},0)</f>
      </c>
      <c r="AK792" s="5"/>
      <c r="AL792" s="2" t="s">
        <v>206</v>
      </c>
      <c r="AM792" s="4"/>
      <c r="AN792" s="4"/>
      <c r="AO792" s="7"/>
      <c r="AP792" s="4"/>
      <c r="AQ792" s="8"/>
      <c r="AR792" s="4"/>
      <c r="AS792" s="8"/>
      <c r="AT792" s="7"/>
      <c r="AU792" s="7"/>
      <c r="AV792" s="4" t="s">
        <v>206</v>
      </c>
      <c r="AW792" s="8" t="s">
        <v>206</v>
      </c>
      <c r="AX792" s="4" t="s">
        <v>206</v>
      </c>
      <c r="AY792" s="8" t="s">
        <v>206</v>
      </c>
      <c r="AZ792" s="7" t="s">
        <v>206</v>
      </c>
      <c r="BA792" s="7" t="s">
        <v>206</v>
      </c>
      <c r="BB792" s="7"/>
      <c r="BC792" s="4" t="s">
        <v>206</v>
      </c>
      <c r="BD792" s="8" t="s">
        <v>206</v>
      </c>
      <c r="BE792" s="4" t="s">
        <v>206</v>
      </c>
      <c r="BF792" s="8" t="s">
        <v>206</v>
      </c>
      <c r="BG792" s="7" t="s">
        <v>206</v>
      </c>
      <c r="BH792" s="7" t="s">
        <v>206</v>
      </c>
      <c r="BI792" s="7"/>
      <c r="BJ792" s="4">
        <v>14</v>
      </c>
      <c r="BK792" s="8">
        <v>877.53</v>
      </c>
      <c r="BL792" s="2" t="s">
        <v>1525</v>
      </c>
      <c r="BM792" s="7"/>
      <c r="BN792" s="7"/>
      <c r="BO792" s="4"/>
      <c r="BP792" s="8"/>
      <c r="BQ792" s="4"/>
      <c r="BR792" s="8"/>
      <c r="BS792" s="7"/>
      <c r="BT792" s="7"/>
      <c r="BU792" s="2" t="s">
        <v>4956</v>
      </c>
      <c r="BV792" s="2" t="s">
        <v>206</v>
      </c>
      <c r="BW792" s="2" t="s">
        <v>206</v>
      </c>
      <c r="BX792" s="2" t="s">
        <v>214</v>
      </c>
      <c r="BY792" s="2" t="s">
        <v>215</v>
      </c>
      <c r="BZ792" s="2" t="s">
        <v>203</v>
      </c>
      <c r="CA792" s="2" t="s">
        <v>1578</v>
      </c>
      <c r="CB792" s="2" t="s">
        <v>2253</v>
      </c>
      <c r="CC792" s="2" t="s">
        <v>218</v>
      </c>
      <c r="CD792" s="2" t="s">
        <v>206</v>
      </c>
      <c r="CE792" s="4">
        <v>55</v>
      </c>
      <c r="CF792" s="4"/>
      <c r="CG792" s="4"/>
      <c r="CH792" s="4">
        <v>70</v>
      </c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  <c r="DE792" s="4"/>
      <c r="DF792" s="4"/>
      <c r="DG792" s="4"/>
      <c r="DH792" s="4"/>
      <c r="DI792" s="4"/>
      <c r="DJ792" s="4"/>
      <c r="DK792" s="4"/>
      <c r="DL792" s="4"/>
      <c r="DM792" s="4"/>
      <c r="DN792" s="4"/>
      <c r="DO792" s="4"/>
      <c r="DP792" s="4"/>
      <c r="DQ792" s="4"/>
      <c r="DR792" s="4"/>
      <c r="DS792" s="4"/>
      <c r="DT792" s="4"/>
      <c r="DU792" s="4"/>
      <c r="DV792" s="4"/>
      <c r="DW792" s="4"/>
      <c r="DX792" s="4"/>
      <c r="DY792" s="4"/>
      <c r="DZ792" s="4"/>
      <c r="EA792" s="4"/>
      <c r="EB792" s="4"/>
      <c r="EC792" s="4"/>
      <c r="ED792" s="4"/>
      <c r="EE792" s="4"/>
      <c r="EF792" s="4"/>
      <c r="EG792" s="4"/>
      <c r="EH792" s="4"/>
      <c r="EI792" s="4"/>
      <c r="EJ792" s="4"/>
      <c r="EK792" s="4"/>
      <c r="EL792" s="4"/>
      <c r="EM792" s="4"/>
      <c r="EN792" s="4"/>
      <c r="EO792" s="4"/>
      <c r="EP792" s="4"/>
      <c r="EQ792" s="4"/>
      <c r="ER792" s="4"/>
      <c r="ES792" s="4"/>
      <c r="ET792" s="4"/>
      <c r="EU792" s="4">
        <v>130</v>
      </c>
      <c r="EV792" s="4"/>
      <c r="EW792" s="4"/>
      <c r="EX792" s="4"/>
      <c r="EY792" s="4"/>
      <c r="EZ792" s="4"/>
      <c r="FA792" s="4"/>
      <c r="FB792" s="4"/>
      <c r="FC792" s="4"/>
      <c r="FD792" s="4"/>
      <c r="FE792" s="4"/>
      <c r="FF792" s="4"/>
      <c r="FG792" s="4"/>
      <c r="FH792" s="4"/>
      <c r="FI792" s="4"/>
      <c r="FJ792" s="4"/>
      <c r="FK792" s="4"/>
      <c r="FL792" s="4"/>
      <c r="FM792" s="4"/>
      <c r="FN792" s="4"/>
      <c r="FO792" s="4"/>
      <c r="FP792" s="4"/>
      <c r="FQ792" s="4"/>
      <c r="FR792" s="4"/>
      <c r="FS792" s="4"/>
      <c r="FT792" s="4"/>
      <c r="FU792" s="4"/>
      <c r="FV792" s="4"/>
      <c r="FW792" s="4"/>
      <c r="FX792" s="4"/>
      <c r="FY792" s="4">
        <v>90</v>
      </c>
      <c r="FZ792" s="4"/>
      <c r="GA792" s="4"/>
      <c r="GB792" s="4"/>
      <c r="GC792" s="4"/>
      <c r="GD792" s="4"/>
      <c r="GE792" s="4"/>
      <c r="GF792" s="4"/>
    </row>
    <row r="793">
      <c r="A793" s="2" t="s">
        <v>4957</v>
      </c>
      <c r="B793" s="2" t="s">
        <v>800</v>
      </c>
      <c r="C793" s="2" t="s">
        <v>1948</v>
      </c>
      <c r="D793" s="2" t="s">
        <v>1859</v>
      </c>
      <c r="E793" s="2" t="s">
        <v>1860</v>
      </c>
      <c r="F793" s="2" t="s">
        <v>4958</v>
      </c>
      <c r="G793" s="2" t="s">
        <v>4958</v>
      </c>
      <c r="H793" s="2" t="s">
        <v>4958</v>
      </c>
      <c r="I793" s="2" t="s">
        <v>1862</v>
      </c>
      <c r="J793" s="2" t="s">
        <v>282</v>
      </c>
      <c r="K793" s="2" t="s">
        <v>696</v>
      </c>
      <c r="L793" s="3">
        <v>69.04</v>
      </c>
      <c r="M793" s="3">
        <v>72.49</v>
      </c>
      <c r="N793" s="3">
        <v>144.99</v>
      </c>
      <c r="O793" s="2" t="s">
        <v>203</v>
      </c>
      <c r="P793" s="2" t="s">
        <v>204</v>
      </c>
      <c r="Q793" s="2" t="s">
        <v>205</v>
      </c>
      <c r="R793" s="2" t="s">
        <v>206</v>
      </c>
      <c r="S793" s="2" t="s">
        <v>4959</v>
      </c>
      <c r="T793" s="2" t="s">
        <v>2888</v>
      </c>
      <c r="U793" s="2" t="s">
        <v>437</v>
      </c>
      <c r="V793" s="2" t="s">
        <v>209</v>
      </c>
      <c r="W793" s="2" t="s">
        <v>210</v>
      </c>
      <c r="X793" s="2" t="s">
        <v>1152</v>
      </c>
      <c r="Y793" s="2" t="s">
        <v>1868</v>
      </c>
      <c r="Z793" s="4">
        <v>326</v>
      </c>
      <c r="AA793" s="4">
        <f>=ROUNDDOWN(46.5714285714286,0)</f>
      </c>
      <c r="AB793" s="5">
        <v>7</v>
      </c>
      <c r="AC793" s="2" t="s">
        <v>119</v>
      </c>
      <c r="AD793" s="4">
        <v>120</v>
      </c>
      <c r="AE793" s="4">
        <v>120</v>
      </c>
      <c r="AF793" s="6">
        <v>65</v>
      </c>
      <c r="AG793" s="6"/>
      <c r="AH793" s="7">
        <v>1</v>
      </c>
      <c r="AI793" s="4"/>
      <c r="AJ793" s="4">
        <f>=ROUNDDOWN({0},0)</f>
      </c>
      <c r="AK793" s="5"/>
      <c r="AL793" s="2" t="s">
        <v>206</v>
      </c>
      <c r="AM793" s="4"/>
      <c r="AN793" s="4"/>
      <c r="AO793" s="7"/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 t="s">
        <v>206</v>
      </c>
      <c r="BD793" s="8" t="s">
        <v>206</v>
      </c>
      <c r="BE793" s="4" t="s">
        <v>206</v>
      </c>
      <c r="BF793" s="8" t="s">
        <v>206</v>
      </c>
      <c r="BG793" s="7" t="s">
        <v>206</v>
      </c>
      <c r="BH793" s="7" t="s">
        <v>206</v>
      </c>
      <c r="BI793" s="7"/>
      <c r="BJ793" s="4">
        <v>18</v>
      </c>
      <c r="BK793" s="8">
        <v>1405.99</v>
      </c>
      <c r="BL793" s="2" t="s">
        <v>1525</v>
      </c>
      <c r="BM793" s="7"/>
      <c r="BN793" s="7"/>
      <c r="BO793" s="4"/>
      <c r="BP793" s="8"/>
      <c r="BQ793" s="4"/>
      <c r="BR793" s="8"/>
      <c r="BS793" s="7"/>
      <c r="BT793" s="7"/>
      <c r="BU793" s="2" t="s">
        <v>4960</v>
      </c>
      <c r="BV793" s="2" t="s">
        <v>206</v>
      </c>
      <c r="BW793" s="2" t="s">
        <v>206</v>
      </c>
      <c r="BX793" s="2" t="s">
        <v>214</v>
      </c>
      <c r="BY793" s="2" t="s">
        <v>215</v>
      </c>
      <c r="BZ793" s="2" t="s">
        <v>203</v>
      </c>
      <c r="CA793" s="2" t="s">
        <v>1871</v>
      </c>
      <c r="CB793" s="2" t="s">
        <v>2919</v>
      </c>
      <c r="CC793" s="2" t="s">
        <v>218</v>
      </c>
      <c r="CD793" s="2" t="s">
        <v>206</v>
      </c>
      <c r="CE793" s="4">
        <v>326</v>
      </c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  <c r="DE793" s="4"/>
      <c r="DF793" s="4"/>
      <c r="DG793" s="4">
        <v>120</v>
      </c>
      <c r="DH793" s="4"/>
      <c r="DI793" s="4"/>
      <c r="DJ793" s="4"/>
      <c r="DK793" s="4"/>
      <c r="DL793" s="4"/>
      <c r="DM793" s="4"/>
      <c r="DN793" s="4"/>
      <c r="DO793" s="4"/>
      <c r="DP793" s="4"/>
      <c r="DQ793" s="4"/>
      <c r="DR793" s="4"/>
      <c r="DS793" s="4"/>
      <c r="DT793" s="4"/>
      <c r="DU793" s="4"/>
      <c r="DV793" s="4"/>
      <c r="DW793" s="4"/>
      <c r="DX793" s="4"/>
      <c r="DY793" s="4"/>
      <c r="DZ793" s="4"/>
      <c r="EA793" s="4"/>
      <c r="EB793" s="4"/>
      <c r="EC793" s="4"/>
      <c r="ED793" s="4"/>
      <c r="EE793" s="4"/>
      <c r="EF793" s="4"/>
      <c r="EG793" s="4"/>
      <c r="EH793" s="4"/>
      <c r="EI793" s="4"/>
      <c r="EJ793" s="4"/>
      <c r="EK793" s="4"/>
      <c r="EL793" s="4"/>
      <c r="EM793" s="4"/>
      <c r="EN793" s="4"/>
      <c r="EO793" s="4"/>
      <c r="EP793" s="4"/>
      <c r="EQ793" s="4"/>
      <c r="ER793" s="4"/>
      <c r="ES793" s="4"/>
      <c r="ET793" s="4"/>
      <c r="EU793" s="4"/>
      <c r="EV793" s="4"/>
      <c r="EW793" s="4"/>
      <c r="EX793" s="4"/>
      <c r="EY793" s="4"/>
      <c r="EZ793" s="4"/>
      <c r="FA793" s="4"/>
      <c r="FB793" s="4"/>
      <c r="FC793" s="4"/>
      <c r="FD793" s="4"/>
      <c r="FE793" s="4"/>
      <c r="FF793" s="4"/>
      <c r="FG793" s="4"/>
      <c r="FH793" s="4"/>
      <c r="FI793" s="4"/>
      <c r="FJ793" s="4"/>
      <c r="FK793" s="4"/>
      <c r="FL793" s="4"/>
      <c r="FM793" s="4"/>
      <c r="FN793" s="4"/>
      <c r="FO793" s="4"/>
      <c r="FP793" s="4"/>
      <c r="FQ793" s="4"/>
      <c r="FR793" s="4"/>
      <c r="FS793" s="4"/>
      <c r="FT793" s="4"/>
      <c r="FU793" s="4"/>
      <c r="FV793" s="4"/>
      <c r="FW793" s="4"/>
      <c r="FX793" s="4"/>
      <c r="FY793" s="4"/>
      <c r="FZ793" s="4"/>
      <c r="GA793" s="4"/>
      <c r="GB793" s="4"/>
      <c r="GC793" s="4"/>
      <c r="GD793" s="4"/>
      <c r="GE793" s="4"/>
      <c r="GF793" s="4"/>
    </row>
    <row r="794">
      <c r="A794" s="2" t="s">
        <v>4961</v>
      </c>
      <c r="B794" s="2" t="s">
        <v>800</v>
      </c>
      <c r="C794" s="2" t="s">
        <v>1948</v>
      </c>
      <c r="D794" s="2" t="s">
        <v>1859</v>
      </c>
      <c r="E794" s="2" t="s">
        <v>1860</v>
      </c>
      <c r="F794" s="2" t="s">
        <v>4958</v>
      </c>
      <c r="G794" s="2" t="s">
        <v>4958</v>
      </c>
      <c r="H794" s="2" t="s">
        <v>4958</v>
      </c>
      <c r="I794" s="2" t="s">
        <v>1862</v>
      </c>
      <c r="J794" s="2" t="s">
        <v>220</v>
      </c>
      <c r="K794" s="2" t="s">
        <v>336</v>
      </c>
      <c r="L794" s="3">
        <v>50</v>
      </c>
      <c r="M794" s="3">
        <v>52.5</v>
      </c>
      <c r="N794" s="3">
        <v>104.99</v>
      </c>
      <c r="O794" s="2" t="s">
        <v>203</v>
      </c>
      <c r="P794" s="2" t="s">
        <v>204</v>
      </c>
      <c r="Q794" s="2" t="s">
        <v>205</v>
      </c>
      <c r="R794" s="2" t="s">
        <v>206</v>
      </c>
      <c r="S794" s="2" t="s">
        <v>4962</v>
      </c>
      <c r="T794" s="2" t="s">
        <v>2888</v>
      </c>
      <c r="U794" s="2" t="s">
        <v>437</v>
      </c>
      <c r="V794" s="2" t="s">
        <v>209</v>
      </c>
      <c r="W794" s="2" t="s">
        <v>210</v>
      </c>
      <c r="X794" s="2" t="s">
        <v>1152</v>
      </c>
      <c r="Y794" s="2" t="s">
        <v>1868</v>
      </c>
      <c r="Z794" s="4">
        <v>432</v>
      </c>
      <c r="AA794" s="4">
        <f>=ROUNDDOWN(54,0)</f>
      </c>
      <c r="AB794" s="5">
        <v>8</v>
      </c>
      <c r="AC794" s="2" t="s">
        <v>119</v>
      </c>
      <c r="AD794" s="4">
        <v>29</v>
      </c>
      <c r="AE794" s="4">
        <v>29</v>
      </c>
      <c r="AF794" s="6">
        <v>65</v>
      </c>
      <c r="AG794" s="6"/>
      <c r="AH794" s="7">
        <v>1</v>
      </c>
      <c r="AI794" s="4"/>
      <c r="AJ794" s="4">
        <f>=ROUNDDOWN({0},0)</f>
      </c>
      <c r="AK794" s="5"/>
      <c r="AL794" s="2" t="s">
        <v>206</v>
      </c>
      <c r="AM794" s="4"/>
      <c r="AN794" s="4"/>
      <c r="AO794" s="7"/>
      <c r="AP794" s="4"/>
      <c r="AQ794" s="8"/>
      <c r="AR794" s="4"/>
      <c r="AS794" s="8"/>
      <c r="AT794" s="7"/>
      <c r="AU794" s="7"/>
      <c r="AV794" s="4" t="s">
        <v>206</v>
      </c>
      <c r="AW794" s="8" t="s">
        <v>206</v>
      </c>
      <c r="AX794" s="4" t="s">
        <v>206</v>
      </c>
      <c r="AY794" s="8" t="s">
        <v>206</v>
      </c>
      <c r="AZ794" s="7" t="s">
        <v>206</v>
      </c>
      <c r="BA794" s="7" t="s">
        <v>206</v>
      </c>
      <c r="BB794" s="7"/>
      <c r="BC794" s="4" t="s">
        <v>206</v>
      </c>
      <c r="BD794" s="8" t="s">
        <v>206</v>
      </c>
      <c r="BE794" s="4" t="s">
        <v>206</v>
      </c>
      <c r="BF794" s="8" t="s">
        <v>206</v>
      </c>
      <c r="BG794" s="7" t="s">
        <v>206</v>
      </c>
      <c r="BH794" s="7" t="s">
        <v>206</v>
      </c>
      <c r="BI794" s="7"/>
      <c r="BJ794" s="4">
        <v>40</v>
      </c>
      <c r="BK794" s="8">
        <v>2264.06</v>
      </c>
      <c r="BL794" s="2" t="s">
        <v>4963</v>
      </c>
      <c r="BM794" s="7"/>
      <c r="BN794" s="7"/>
      <c r="BO794" s="4"/>
      <c r="BP794" s="8"/>
      <c r="BQ794" s="4"/>
      <c r="BR794" s="8"/>
      <c r="BS794" s="7"/>
      <c r="BT794" s="7"/>
      <c r="BU794" s="2" t="s">
        <v>4964</v>
      </c>
      <c r="BV794" s="2" t="s">
        <v>206</v>
      </c>
      <c r="BW794" s="2" t="s">
        <v>206</v>
      </c>
      <c r="BX794" s="2" t="s">
        <v>214</v>
      </c>
      <c r="BY794" s="2" t="s">
        <v>215</v>
      </c>
      <c r="BZ794" s="2" t="s">
        <v>203</v>
      </c>
      <c r="CA794" s="2" t="s">
        <v>1871</v>
      </c>
      <c r="CB794" s="2" t="s">
        <v>1776</v>
      </c>
      <c r="CC794" s="2" t="s">
        <v>218</v>
      </c>
      <c r="CD794" s="2" t="s">
        <v>206</v>
      </c>
      <c r="CE794" s="4">
        <v>231</v>
      </c>
      <c r="CF794" s="4">
        <v>171</v>
      </c>
      <c r="CG794" s="4"/>
      <c r="CH794" s="4"/>
      <c r="CI794" s="4"/>
      <c r="CJ794" s="4"/>
      <c r="CK794" s="4"/>
      <c r="CL794" s="4">
        <v>30</v>
      </c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  <c r="DE794" s="4"/>
      <c r="DF794" s="4"/>
      <c r="DG794" s="4">
        <v>29</v>
      </c>
      <c r="DH794" s="4"/>
      <c r="DI794" s="4"/>
      <c r="DJ794" s="4"/>
      <c r="DK794" s="4"/>
      <c r="DL794" s="4"/>
      <c r="DM794" s="4"/>
      <c r="DN794" s="4"/>
      <c r="DO794" s="4"/>
      <c r="DP794" s="4"/>
      <c r="DQ794" s="4"/>
      <c r="DR794" s="4"/>
      <c r="DS794" s="4"/>
      <c r="DT794" s="4"/>
      <c r="DU794" s="4"/>
      <c r="DV794" s="4"/>
      <c r="DW794" s="4"/>
      <c r="DX794" s="4"/>
      <c r="DY794" s="4"/>
      <c r="DZ794" s="4"/>
      <c r="EA794" s="4"/>
      <c r="EB794" s="4"/>
      <c r="EC794" s="4"/>
      <c r="ED794" s="4"/>
      <c r="EE794" s="4"/>
      <c r="EF794" s="4"/>
      <c r="EG794" s="4"/>
      <c r="EH794" s="4"/>
      <c r="EI794" s="4"/>
      <c r="EJ794" s="4"/>
      <c r="EK794" s="4"/>
      <c r="EL794" s="4"/>
      <c r="EM794" s="4"/>
      <c r="EN794" s="4"/>
      <c r="EO794" s="4"/>
      <c r="EP794" s="4"/>
      <c r="EQ794" s="4"/>
      <c r="ER794" s="4"/>
      <c r="ES794" s="4"/>
      <c r="ET794" s="4"/>
      <c r="EU794" s="4"/>
      <c r="EV794" s="4"/>
      <c r="EW794" s="4"/>
      <c r="EX794" s="4"/>
      <c r="EY794" s="4"/>
      <c r="EZ794" s="4"/>
      <c r="FA794" s="4"/>
      <c r="FB794" s="4"/>
      <c r="FC794" s="4"/>
      <c r="FD794" s="4"/>
      <c r="FE794" s="4"/>
      <c r="FF794" s="4"/>
      <c r="FG794" s="4"/>
      <c r="FH794" s="4"/>
      <c r="FI794" s="4"/>
      <c r="FJ794" s="4"/>
      <c r="FK794" s="4"/>
      <c r="FL794" s="4"/>
      <c r="FM794" s="4"/>
      <c r="FN794" s="4"/>
      <c r="FO794" s="4"/>
      <c r="FP794" s="4"/>
      <c r="FQ794" s="4"/>
      <c r="FR794" s="4"/>
      <c r="FS794" s="4"/>
      <c r="FT794" s="4"/>
      <c r="FU794" s="4"/>
      <c r="FV794" s="4"/>
      <c r="FW794" s="4"/>
      <c r="FX794" s="4"/>
      <c r="FY794" s="4"/>
      <c r="FZ794" s="4"/>
      <c r="GA794" s="4"/>
      <c r="GB794" s="4"/>
      <c r="GC794" s="4"/>
      <c r="GD794" s="4"/>
      <c r="GE794" s="4"/>
      <c r="GF794" s="4"/>
    </row>
    <row r="795">
      <c r="A795" s="2" t="s">
        <v>4965</v>
      </c>
      <c r="B795" s="2" t="s">
        <v>800</v>
      </c>
      <c r="C795" s="2" t="s">
        <v>1948</v>
      </c>
      <c r="D795" s="2" t="s">
        <v>1859</v>
      </c>
      <c r="E795" s="2" t="s">
        <v>1860</v>
      </c>
      <c r="F795" s="2" t="s">
        <v>4958</v>
      </c>
      <c r="G795" s="2" t="s">
        <v>4958</v>
      </c>
      <c r="H795" s="2" t="s">
        <v>4958</v>
      </c>
      <c r="I795" s="2" t="s">
        <v>1862</v>
      </c>
      <c r="J795" s="2" t="s">
        <v>282</v>
      </c>
      <c r="K795" s="2" t="s">
        <v>336</v>
      </c>
      <c r="L795" s="3">
        <v>69.04</v>
      </c>
      <c r="M795" s="3">
        <v>72.49</v>
      </c>
      <c r="N795" s="3">
        <v>144.99</v>
      </c>
      <c r="O795" s="2" t="s">
        <v>203</v>
      </c>
      <c r="P795" s="2" t="s">
        <v>204</v>
      </c>
      <c r="Q795" s="2" t="s">
        <v>205</v>
      </c>
      <c r="R795" s="2" t="s">
        <v>206</v>
      </c>
      <c r="S795" s="2" t="s">
        <v>4962</v>
      </c>
      <c r="T795" s="2" t="s">
        <v>2888</v>
      </c>
      <c r="U795" s="2" t="s">
        <v>437</v>
      </c>
      <c r="V795" s="2" t="s">
        <v>209</v>
      </c>
      <c r="W795" s="2" t="s">
        <v>210</v>
      </c>
      <c r="X795" s="2" t="s">
        <v>1152</v>
      </c>
      <c r="Y795" s="2" t="s">
        <v>950</v>
      </c>
      <c r="Z795" s="4">
        <v>399</v>
      </c>
      <c r="AA795" s="4">
        <f>=ROUNDDOWN(44.3333333333333,0)</f>
      </c>
      <c r="AB795" s="5">
        <v>9</v>
      </c>
      <c r="AC795" s="2" t="s">
        <v>119</v>
      </c>
      <c r="AD795" s="4">
        <v>5</v>
      </c>
      <c r="AE795" s="4">
        <v>5</v>
      </c>
      <c r="AF795" s="6">
        <v>65</v>
      </c>
      <c r="AG795" s="6"/>
      <c r="AH795" s="7">
        <v>1</v>
      </c>
      <c r="AI795" s="4"/>
      <c r="AJ795" s="4">
        <f>=ROUNDDOWN({0},0)</f>
      </c>
      <c r="AK795" s="5"/>
      <c r="AL795" s="2" t="s">
        <v>206</v>
      </c>
      <c r="AM795" s="4"/>
      <c r="AN795" s="4"/>
      <c r="AO795" s="7"/>
      <c r="AP795" s="4"/>
      <c r="AQ795" s="8"/>
      <c r="AR795" s="4"/>
      <c r="AS795" s="8"/>
      <c r="AT795" s="7"/>
      <c r="AU795" s="7"/>
      <c r="AV795" s="4" t="s">
        <v>206</v>
      </c>
      <c r="AW795" s="8" t="s">
        <v>206</v>
      </c>
      <c r="AX795" s="4" t="s">
        <v>206</v>
      </c>
      <c r="AY795" s="8" t="s">
        <v>206</v>
      </c>
      <c r="AZ795" s="7" t="s">
        <v>206</v>
      </c>
      <c r="BA795" s="7" t="s">
        <v>206</v>
      </c>
      <c r="BB795" s="7"/>
      <c r="BC795" s="4" t="s">
        <v>206</v>
      </c>
      <c r="BD795" s="8" t="s">
        <v>206</v>
      </c>
      <c r="BE795" s="4" t="s">
        <v>206</v>
      </c>
      <c r="BF795" s="8" t="s">
        <v>206</v>
      </c>
      <c r="BG795" s="7" t="s">
        <v>206</v>
      </c>
      <c r="BH795" s="7" t="s">
        <v>206</v>
      </c>
      <c r="BI795" s="7"/>
      <c r="BJ795" s="4">
        <v>39</v>
      </c>
      <c r="BK795" s="8">
        <v>3036.31</v>
      </c>
      <c r="BL795" s="2" t="s">
        <v>3886</v>
      </c>
      <c r="BM795" s="7"/>
      <c r="BN795" s="7"/>
      <c r="BO795" s="4"/>
      <c r="BP795" s="8"/>
      <c r="BQ795" s="4"/>
      <c r="BR795" s="8"/>
      <c r="BS795" s="7"/>
      <c r="BT795" s="7"/>
      <c r="BU795" s="2" t="s">
        <v>4966</v>
      </c>
      <c r="BV795" s="2" t="s">
        <v>206</v>
      </c>
      <c r="BW795" s="2" t="s">
        <v>206</v>
      </c>
      <c r="BX795" s="2" t="s">
        <v>214</v>
      </c>
      <c r="BY795" s="2" t="s">
        <v>215</v>
      </c>
      <c r="BZ795" s="2" t="s">
        <v>203</v>
      </c>
      <c r="CA795" s="2" t="s">
        <v>1871</v>
      </c>
      <c r="CB795" s="2" t="s">
        <v>1260</v>
      </c>
      <c r="CC795" s="2" t="s">
        <v>218</v>
      </c>
      <c r="CD795" s="2" t="s">
        <v>206</v>
      </c>
      <c r="CE795" s="4">
        <v>210</v>
      </c>
      <c r="CF795" s="4">
        <v>189</v>
      </c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  <c r="DE795" s="4"/>
      <c r="DF795" s="4"/>
      <c r="DG795" s="4">
        <v>5</v>
      </c>
      <c r="DH795" s="4"/>
      <c r="DI795" s="4"/>
      <c r="DJ795" s="4"/>
      <c r="DK795" s="4"/>
      <c r="DL795" s="4"/>
      <c r="DM795" s="4"/>
      <c r="DN795" s="4"/>
      <c r="DO795" s="4"/>
      <c r="DP795" s="4"/>
      <c r="DQ795" s="4"/>
      <c r="DR795" s="4"/>
      <c r="DS795" s="4"/>
      <c r="DT795" s="4"/>
      <c r="DU795" s="4"/>
      <c r="DV795" s="4"/>
      <c r="DW795" s="4"/>
      <c r="DX795" s="4"/>
      <c r="DY795" s="4"/>
      <c r="DZ795" s="4"/>
      <c r="EA795" s="4"/>
      <c r="EB795" s="4"/>
      <c r="EC795" s="4"/>
      <c r="ED795" s="4"/>
      <c r="EE795" s="4"/>
      <c r="EF795" s="4"/>
      <c r="EG795" s="4"/>
      <c r="EH795" s="4"/>
      <c r="EI795" s="4"/>
      <c r="EJ795" s="4"/>
      <c r="EK795" s="4"/>
      <c r="EL795" s="4"/>
      <c r="EM795" s="4"/>
      <c r="EN795" s="4"/>
      <c r="EO795" s="4"/>
      <c r="EP795" s="4"/>
      <c r="EQ795" s="4"/>
      <c r="ER795" s="4"/>
      <c r="ES795" s="4"/>
      <c r="ET795" s="4"/>
      <c r="EU795" s="4"/>
      <c r="EV795" s="4"/>
      <c r="EW795" s="4"/>
      <c r="EX795" s="4"/>
      <c r="EY795" s="4"/>
      <c r="EZ795" s="4"/>
      <c r="FA795" s="4"/>
      <c r="FB795" s="4"/>
      <c r="FC795" s="4"/>
      <c r="FD795" s="4"/>
      <c r="FE795" s="4"/>
      <c r="FF795" s="4"/>
      <c r="FG795" s="4"/>
      <c r="FH795" s="4"/>
      <c r="FI795" s="4"/>
      <c r="FJ795" s="4"/>
      <c r="FK795" s="4"/>
      <c r="FL795" s="4"/>
      <c r="FM795" s="4"/>
      <c r="FN795" s="4"/>
      <c r="FO795" s="4"/>
      <c r="FP795" s="4"/>
      <c r="FQ795" s="4"/>
      <c r="FR795" s="4"/>
      <c r="FS795" s="4"/>
      <c r="FT795" s="4"/>
      <c r="FU795" s="4"/>
      <c r="FV795" s="4"/>
      <c r="FW795" s="4"/>
      <c r="FX795" s="4"/>
      <c r="FY795" s="4"/>
      <c r="FZ795" s="4"/>
      <c r="GA795" s="4"/>
      <c r="GB795" s="4"/>
      <c r="GC795" s="4"/>
      <c r="GD795" s="4"/>
      <c r="GE795" s="4"/>
      <c r="GF795" s="4"/>
    </row>
    <row r="796">
      <c r="A796" s="2" t="s">
        <v>4967</v>
      </c>
      <c r="B796" s="2" t="s">
        <v>195</v>
      </c>
      <c r="C796" s="2" t="s">
        <v>3610</v>
      </c>
      <c r="D796" s="2" t="s">
        <v>529</v>
      </c>
      <c r="E796" s="2" t="s">
        <v>1764</v>
      </c>
      <c r="F796" s="2" t="s">
        <v>4968</v>
      </c>
      <c r="G796" s="2" t="s">
        <v>4968</v>
      </c>
      <c r="H796" s="2" t="s">
        <v>4968</v>
      </c>
      <c r="I796" s="2" t="s">
        <v>4969</v>
      </c>
      <c r="J796" s="2" t="s">
        <v>582</v>
      </c>
      <c r="K796" s="2" t="s">
        <v>202</v>
      </c>
      <c r="L796" s="3">
        <v>59.42</v>
      </c>
      <c r="M796" s="3">
        <v>62.39</v>
      </c>
      <c r="N796" s="3">
        <v>159.99</v>
      </c>
      <c r="O796" s="2" t="s">
        <v>203</v>
      </c>
      <c r="P796" s="2" t="s">
        <v>204</v>
      </c>
      <c r="Q796" s="2" t="s">
        <v>205</v>
      </c>
      <c r="R796" s="2" t="s">
        <v>206</v>
      </c>
      <c r="S796" s="2" t="s">
        <v>206</v>
      </c>
      <c r="T796" s="2" t="s">
        <v>206</v>
      </c>
      <c r="U796" s="2" t="s">
        <v>437</v>
      </c>
      <c r="V796" s="2" t="s">
        <v>209</v>
      </c>
      <c r="W796" s="2" t="s">
        <v>439</v>
      </c>
      <c r="X796" s="2" t="s">
        <v>206</v>
      </c>
      <c r="Y796" s="2" t="s">
        <v>4970</v>
      </c>
      <c r="Z796" s="4">
        <v>189</v>
      </c>
      <c r="AA796" s="4">
        <f>=ROUNDDOWN(21,0)</f>
      </c>
      <c r="AB796" s="5">
        <v>9</v>
      </c>
      <c r="AC796" s="2" t="s">
        <v>318</v>
      </c>
      <c r="AD796" s="4">
        <v>150</v>
      </c>
      <c r="AE796" s="4">
        <v>220</v>
      </c>
      <c r="AF796" s="6">
        <v>67</v>
      </c>
      <c r="AG796" s="6"/>
      <c r="AH796" s="7">
        <v>1</v>
      </c>
      <c r="AI796" s="4"/>
      <c r="AJ796" s="4">
        <f>=ROUNDDOWN({0},0)</f>
      </c>
      <c r="AK796" s="5"/>
      <c r="AL796" s="2" t="s">
        <v>206</v>
      </c>
      <c r="AM796" s="4"/>
      <c r="AN796" s="4"/>
      <c r="AO796" s="7"/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/>
      <c r="BD796" s="8"/>
      <c r="BE796" s="4"/>
      <c r="BF796" s="8"/>
      <c r="BG796" s="7"/>
      <c r="BH796" s="7"/>
      <c r="BI796" s="7"/>
      <c r="BJ796" s="4">
        <v>28</v>
      </c>
      <c r="BK796" s="8">
        <v>1920.99</v>
      </c>
      <c r="BL796" s="2" t="s">
        <v>4971</v>
      </c>
      <c r="BM796" s="7"/>
      <c r="BN796" s="7"/>
      <c r="BO796" s="4"/>
      <c r="BP796" s="8"/>
      <c r="BQ796" s="4"/>
      <c r="BR796" s="8"/>
      <c r="BS796" s="7"/>
      <c r="BT796" s="7"/>
      <c r="BU796" s="2" t="s">
        <v>4972</v>
      </c>
      <c r="BV796" s="2" t="s">
        <v>206</v>
      </c>
      <c r="BW796" s="2" t="s">
        <v>206</v>
      </c>
      <c r="BX796" s="2" t="s">
        <v>214</v>
      </c>
      <c r="BY796" s="2" t="s">
        <v>215</v>
      </c>
      <c r="BZ796" s="2" t="s">
        <v>203</v>
      </c>
      <c r="CA796" s="2" t="s">
        <v>4973</v>
      </c>
      <c r="CB796" s="2" t="s">
        <v>4587</v>
      </c>
      <c r="CC796" s="2" t="s">
        <v>218</v>
      </c>
      <c r="CD796" s="2" t="s">
        <v>206</v>
      </c>
      <c r="CE796" s="4">
        <v>189</v>
      </c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  <c r="DE796" s="4"/>
      <c r="DF796" s="4"/>
      <c r="DG796" s="4"/>
      <c r="DH796" s="4"/>
      <c r="DI796" s="4"/>
      <c r="DJ796" s="4"/>
      <c r="DK796" s="4"/>
      <c r="DL796" s="4"/>
      <c r="DM796" s="4"/>
      <c r="DN796" s="4"/>
      <c r="DO796" s="4"/>
      <c r="DP796" s="4"/>
      <c r="DQ796" s="4"/>
      <c r="DR796" s="4"/>
      <c r="DS796" s="4"/>
      <c r="DT796" s="4"/>
      <c r="DU796" s="4"/>
      <c r="DV796" s="4"/>
      <c r="DW796" s="4"/>
      <c r="DX796" s="4">
        <v>150</v>
      </c>
      <c r="DY796" s="4"/>
      <c r="DZ796" s="4"/>
      <c r="EA796" s="4"/>
      <c r="EB796" s="4"/>
      <c r="EC796" s="4"/>
      <c r="ED796" s="4"/>
      <c r="EE796" s="4"/>
      <c r="EF796" s="4"/>
      <c r="EG796" s="4"/>
      <c r="EH796" s="4"/>
      <c r="EI796" s="4"/>
      <c r="EJ796" s="4"/>
      <c r="EK796" s="4"/>
      <c r="EL796" s="4"/>
      <c r="EM796" s="4"/>
      <c r="EN796" s="4"/>
      <c r="EO796" s="4"/>
      <c r="EP796" s="4"/>
      <c r="EQ796" s="4"/>
      <c r="ER796" s="4"/>
      <c r="ES796" s="4"/>
      <c r="ET796" s="4"/>
      <c r="EU796" s="4"/>
      <c r="EV796" s="4"/>
      <c r="EW796" s="4"/>
      <c r="EX796" s="4"/>
      <c r="EY796" s="4"/>
      <c r="EZ796" s="4"/>
      <c r="FA796" s="4"/>
      <c r="FB796" s="4"/>
      <c r="FC796" s="4"/>
      <c r="FD796" s="4"/>
      <c r="FE796" s="4"/>
      <c r="FF796" s="4"/>
      <c r="FG796" s="4"/>
      <c r="FH796" s="4">
        <v>70</v>
      </c>
      <c r="FI796" s="4"/>
      <c r="FJ796" s="4"/>
      <c r="FK796" s="4"/>
      <c r="FL796" s="4"/>
      <c r="FM796" s="4"/>
      <c r="FN796" s="4"/>
      <c r="FO796" s="4"/>
      <c r="FP796" s="4"/>
      <c r="FQ796" s="4"/>
      <c r="FR796" s="4"/>
      <c r="FS796" s="4"/>
      <c r="FT796" s="4"/>
      <c r="FU796" s="4"/>
      <c r="FV796" s="4"/>
      <c r="FW796" s="4"/>
      <c r="FX796" s="4"/>
      <c r="FY796" s="4"/>
      <c r="FZ796" s="4"/>
      <c r="GA796" s="4"/>
      <c r="GB796" s="4"/>
      <c r="GC796" s="4"/>
      <c r="GD796" s="4"/>
      <c r="GE796" s="4"/>
      <c r="GF796" s="4"/>
    </row>
    <row r="797">
      <c r="A797" s="2" t="s">
        <v>4974</v>
      </c>
      <c r="B797" s="2" t="s">
        <v>225</v>
      </c>
      <c r="C797" s="2" t="s">
        <v>287</v>
      </c>
      <c r="D797" s="2" t="s">
        <v>1245</v>
      </c>
      <c r="E797" s="2" t="s">
        <v>1246</v>
      </c>
      <c r="F797" s="2" t="s">
        <v>4975</v>
      </c>
      <c r="G797" s="2" t="s">
        <v>4975</v>
      </c>
      <c r="H797" s="2" t="s">
        <v>4975</v>
      </c>
      <c r="I797" s="2" t="s">
        <v>4976</v>
      </c>
      <c r="J797" s="2" t="s">
        <v>231</v>
      </c>
      <c r="K797" s="2" t="s">
        <v>483</v>
      </c>
      <c r="L797" s="3">
        <v>28.56</v>
      </c>
      <c r="M797" s="3">
        <v>29.99</v>
      </c>
      <c r="N797" s="3">
        <v>67.99</v>
      </c>
      <c r="O797" s="2" t="s">
        <v>203</v>
      </c>
      <c r="P797" s="2" t="s">
        <v>204</v>
      </c>
      <c r="Q797" s="2" t="s">
        <v>205</v>
      </c>
      <c r="R797" s="2" t="s">
        <v>206</v>
      </c>
      <c r="S797" s="2" t="s">
        <v>4977</v>
      </c>
      <c r="T797" s="2" t="s">
        <v>4975</v>
      </c>
      <c r="U797" s="2" t="s">
        <v>437</v>
      </c>
      <c r="V797" s="2" t="s">
        <v>209</v>
      </c>
      <c r="W797" s="2" t="s">
        <v>914</v>
      </c>
      <c r="X797" s="2" t="s">
        <v>210</v>
      </c>
      <c r="Y797" s="2" t="s">
        <v>4978</v>
      </c>
      <c r="Z797" s="4">
        <v>449</v>
      </c>
      <c r="AA797" s="4">
        <f>=ROUNDDOWN(49.8888888888889,0)</f>
      </c>
      <c r="AB797" s="5">
        <v>9</v>
      </c>
      <c r="AC797" s="2" t="s">
        <v>206</v>
      </c>
      <c r="AD797" s="4"/>
      <c r="AE797" s="4"/>
      <c r="AF797" s="6">
        <v>65</v>
      </c>
      <c r="AG797" s="6"/>
      <c r="AH797" s="7">
        <v>1</v>
      </c>
      <c r="AI797" s="4"/>
      <c r="AJ797" s="4">
        <f>=ROUNDDOWN({0},0)</f>
      </c>
      <c r="AK797" s="5"/>
      <c r="AL797" s="2" t="s">
        <v>206</v>
      </c>
      <c r="AM797" s="4"/>
      <c r="AN797" s="4"/>
      <c r="AO797" s="7"/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/>
      <c r="BD797" s="8"/>
      <c r="BE797" s="4"/>
      <c r="BF797" s="8"/>
      <c r="BG797" s="7"/>
      <c r="BH797" s="7"/>
      <c r="BI797" s="7"/>
      <c r="BJ797" s="4">
        <v>45</v>
      </c>
      <c r="BK797" s="8">
        <v>1421.49</v>
      </c>
      <c r="BL797" s="2" t="s">
        <v>1881</v>
      </c>
      <c r="BM797" s="7"/>
      <c r="BN797" s="7"/>
      <c r="BO797" s="4"/>
      <c r="BP797" s="8"/>
      <c r="BQ797" s="4"/>
      <c r="BR797" s="8"/>
      <c r="BS797" s="7"/>
      <c r="BT797" s="7"/>
      <c r="BU797" s="2" t="s">
        <v>4979</v>
      </c>
      <c r="BV797" s="2" t="s">
        <v>206</v>
      </c>
      <c r="BW797" s="2" t="s">
        <v>206</v>
      </c>
      <c r="BX797" s="2" t="s">
        <v>426</v>
      </c>
      <c r="BY797" s="2" t="s">
        <v>215</v>
      </c>
      <c r="BZ797" s="2" t="s">
        <v>203</v>
      </c>
      <c r="CA797" s="2" t="s">
        <v>4980</v>
      </c>
      <c r="CB797" s="2" t="s">
        <v>4981</v>
      </c>
      <c r="CC797" s="2" t="s">
        <v>218</v>
      </c>
      <c r="CD797" s="2" t="s">
        <v>206</v>
      </c>
      <c r="CE797" s="4">
        <v>449</v>
      </c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  <c r="DE797" s="4"/>
      <c r="DF797" s="4"/>
      <c r="DG797" s="4"/>
      <c r="DH797" s="4"/>
      <c r="DI797" s="4"/>
      <c r="DJ797" s="4"/>
      <c r="DK797" s="4"/>
      <c r="DL797" s="4"/>
      <c r="DM797" s="4"/>
      <c r="DN797" s="4"/>
      <c r="DO797" s="4"/>
      <c r="DP797" s="4"/>
      <c r="DQ797" s="4"/>
      <c r="DR797" s="4"/>
      <c r="DS797" s="4"/>
      <c r="DT797" s="4"/>
      <c r="DU797" s="4"/>
      <c r="DV797" s="4"/>
      <c r="DW797" s="4"/>
      <c r="DX797" s="4"/>
      <c r="DY797" s="4"/>
      <c r="DZ797" s="4"/>
      <c r="EA797" s="4"/>
      <c r="EB797" s="4"/>
      <c r="EC797" s="4"/>
      <c r="ED797" s="4"/>
      <c r="EE797" s="4"/>
      <c r="EF797" s="4"/>
      <c r="EG797" s="4"/>
      <c r="EH797" s="4"/>
      <c r="EI797" s="4"/>
      <c r="EJ797" s="4"/>
      <c r="EK797" s="4"/>
      <c r="EL797" s="4"/>
      <c r="EM797" s="4"/>
      <c r="EN797" s="4"/>
      <c r="EO797" s="4"/>
      <c r="EP797" s="4"/>
      <c r="EQ797" s="4"/>
      <c r="ER797" s="4"/>
      <c r="ES797" s="4"/>
      <c r="ET797" s="4"/>
      <c r="EU797" s="4"/>
      <c r="EV797" s="4"/>
      <c r="EW797" s="4"/>
      <c r="EX797" s="4"/>
      <c r="EY797" s="4"/>
      <c r="EZ797" s="4"/>
      <c r="FA797" s="4"/>
      <c r="FB797" s="4"/>
      <c r="FC797" s="4"/>
      <c r="FD797" s="4"/>
      <c r="FE797" s="4"/>
      <c r="FF797" s="4"/>
      <c r="FG797" s="4"/>
      <c r="FH797" s="4"/>
      <c r="FI797" s="4"/>
      <c r="FJ797" s="4"/>
      <c r="FK797" s="4"/>
      <c r="FL797" s="4"/>
      <c r="FM797" s="4"/>
      <c r="FN797" s="4"/>
      <c r="FO797" s="4"/>
      <c r="FP797" s="4"/>
      <c r="FQ797" s="4"/>
      <c r="FR797" s="4"/>
      <c r="FS797" s="4"/>
      <c r="FT797" s="4"/>
      <c r="FU797" s="4"/>
      <c r="FV797" s="4"/>
      <c r="FW797" s="4"/>
      <c r="FX797" s="4"/>
      <c r="FY797" s="4"/>
      <c r="FZ797" s="4"/>
      <c r="GA797" s="4"/>
      <c r="GB797" s="4"/>
      <c r="GC797" s="4"/>
      <c r="GD797" s="4"/>
      <c r="GE797" s="4"/>
      <c r="GF797" s="4"/>
    </row>
    <row r="798">
      <c r="A798" s="2" t="s">
        <v>4982</v>
      </c>
      <c r="B798" s="2" t="s">
        <v>225</v>
      </c>
      <c r="C798" s="2" t="s">
        <v>196</v>
      </c>
      <c r="D798" s="2" t="s">
        <v>227</v>
      </c>
      <c r="E798" s="2" t="s">
        <v>228</v>
      </c>
      <c r="F798" s="2" t="s">
        <v>4983</v>
      </c>
      <c r="G798" s="2" t="s">
        <v>4983</v>
      </c>
      <c r="H798" s="2" t="s">
        <v>4983</v>
      </c>
      <c r="I798" s="2" t="s">
        <v>230</v>
      </c>
      <c r="J798" s="2" t="s">
        <v>201</v>
      </c>
      <c r="K798" s="2" t="s">
        <v>583</v>
      </c>
      <c r="L798" s="3">
        <v>16.5</v>
      </c>
      <c r="M798" s="3">
        <v>17.32</v>
      </c>
      <c r="N798" s="3">
        <v>32.99</v>
      </c>
      <c r="O798" s="2" t="s">
        <v>203</v>
      </c>
      <c r="P798" s="2" t="s">
        <v>204</v>
      </c>
      <c r="Q798" s="2" t="s">
        <v>205</v>
      </c>
      <c r="R798" s="2" t="s">
        <v>206</v>
      </c>
      <c r="S798" s="2" t="s">
        <v>4984</v>
      </c>
      <c r="T798" s="2" t="s">
        <v>4985</v>
      </c>
      <c r="U798" s="2" t="s">
        <v>206</v>
      </c>
      <c r="V798" s="2" t="s">
        <v>209</v>
      </c>
      <c r="W798" s="2" t="s">
        <v>210</v>
      </c>
      <c r="X798" s="2" t="s">
        <v>206</v>
      </c>
      <c r="Y798" s="2" t="s">
        <v>4986</v>
      </c>
      <c r="Z798" s="4">
        <v>20</v>
      </c>
      <c r="AA798" s="4">
        <f>=ROUNDDOWN(7.69230769230769,0)</f>
      </c>
      <c r="AB798" s="5">
        <v>2.6</v>
      </c>
      <c r="AC798" s="2" t="s">
        <v>113</v>
      </c>
      <c r="AD798" s="4">
        <v>120</v>
      </c>
      <c r="AE798" s="4">
        <v>120</v>
      </c>
      <c r="AF798" s="6">
        <v>66</v>
      </c>
      <c r="AG798" s="6"/>
      <c r="AH798" s="7">
        <v>1</v>
      </c>
      <c r="AI798" s="4"/>
      <c r="AJ798" s="4">
        <f>=ROUNDDOWN({0},0)</f>
      </c>
      <c r="AK798" s="5"/>
      <c r="AL798" s="2" t="s">
        <v>206</v>
      </c>
      <c r="AM798" s="4"/>
      <c r="AN798" s="4"/>
      <c r="AO798" s="7"/>
      <c r="AP798" s="4"/>
      <c r="AQ798" s="8"/>
      <c r="AR798" s="4"/>
      <c r="AS798" s="8"/>
      <c r="AT798" s="7"/>
      <c r="AU798" s="7"/>
      <c r="AV798" s="4" t="s">
        <v>206</v>
      </c>
      <c r="AW798" s="8" t="s">
        <v>206</v>
      </c>
      <c r="AX798" s="4" t="s">
        <v>206</v>
      </c>
      <c r="AY798" s="8" t="s">
        <v>206</v>
      </c>
      <c r="AZ798" s="7" t="s">
        <v>206</v>
      </c>
      <c r="BA798" s="7" t="s">
        <v>206</v>
      </c>
      <c r="BB798" s="7"/>
      <c r="BC798" s="4" t="s">
        <v>206</v>
      </c>
      <c r="BD798" s="8" t="s">
        <v>206</v>
      </c>
      <c r="BE798" s="4" t="s">
        <v>206</v>
      </c>
      <c r="BF798" s="8" t="s">
        <v>206</v>
      </c>
      <c r="BG798" s="7" t="s">
        <v>206</v>
      </c>
      <c r="BH798" s="7" t="s">
        <v>206</v>
      </c>
      <c r="BI798" s="7"/>
      <c r="BJ798" s="4">
        <v>10</v>
      </c>
      <c r="BK798" s="8">
        <v>161.98</v>
      </c>
      <c r="BL798" s="2" t="s">
        <v>4987</v>
      </c>
      <c r="BM798" s="7"/>
      <c r="BN798" s="7"/>
      <c r="BO798" s="4"/>
      <c r="BP798" s="8"/>
      <c r="BQ798" s="4"/>
      <c r="BR798" s="8"/>
      <c r="BS798" s="7"/>
      <c r="BT798" s="7"/>
      <c r="BU798" s="2" t="s">
        <v>4988</v>
      </c>
      <c r="BV798" s="2" t="s">
        <v>206</v>
      </c>
      <c r="BW798" s="2" t="s">
        <v>206</v>
      </c>
      <c r="BX798" s="2" t="s">
        <v>214</v>
      </c>
      <c r="BY798" s="2" t="s">
        <v>215</v>
      </c>
      <c r="BZ798" s="2" t="s">
        <v>203</v>
      </c>
      <c r="CA798" s="2" t="s">
        <v>4989</v>
      </c>
      <c r="CB798" s="2" t="s">
        <v>4990</v>
      </c>
      <c r="CC798" s="2" t="s">
        <v>218</v>
      </c>
      <c r="CD798" s="2" t="s">
        <v>206</v>
      </c>
      <c r="CE798" s="4">
        <v>20</v>
      </c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>
        <v>120</v>
      </c>
      <c r="DB798" s="4"/>
      <c r="DC798" s="4"/>
      <c r="DD798" s="4"/>
      <c r="DE798" s="4"/>
      <c r="DF798" s="4"/>
      <c r="DG798" s="4"/>
      <c r="DH798" s="4"/>
      <c r="DI798" s="4"/>
      <c r="DJ798" s="4"/>
      <c r="DK798" s="4"/>
      <c r="DL798" s="4"/>
      <c r="DM798" s="4"/>
      <c r="DN798" s="4"/>
      <c r="DO798" s="4"/>
      <c r="DP798" s="4"/>
      <c r="DQ798" s="4"/>
      <c r="DR798" s="4"/>
      <c r="DS798" s="4"/>
      <c r="DT798" s="4"/>
      <c r="DU798" s="4"/>
      <c r="DV798" s="4"/>
      <c r="DW798" s="4"/>
      <c r="DX798" s="4"/>
      <c r="DY798" s="4"/>
      <c r="DZ798" s="4"/>
      <c r="EA798" s="4"/>
      <c r="EB798" s="4"/>
      <c r="EC798" s="4"/>
      <c r="ED798" s="4"/>
      <c r="EE798" s="4"/>
      <c r="EF798" s="4"/>
      <c r="EG798" s="4"/>
      <c r="EH798" s="4"/>
      <c r="EI798" s="4"/>
      <c r="EJ798" s="4"/>
      <c r="EK798" s="4"/>
      <c r="EL798" s="4"/>
      <c r="EM798" s="4"/>
      <c r="EN798" s="4"/>
      <c r="EO798" s="4"/>
      <c r="EP798" s="4"/>
      <c r="EQ798" s="4"/>
      <c r="ER798" s="4"/>
      <c r="ES798" s="4"/>
      <c r="ET798" s="4"/>
      <c r="EU798" s="4"/>
      <c r="EV798" s="4"/>
      <c r="EW798" s="4"/>
      <c r="EX798" s="4"/>
      <c r="EY798" s="4"/>
      <c r="EZ798" s="4"/>
      <c r="FA798" s="4"/>
      <c r="FB798" s="4"/>
      <c r="FC798" s="4"/>
      <c r="FD798" s="4"/>
      <c r="FE798" s="4"/>
      <c r="FF798" s="4"/>
      <c r="FG798" s="4"/>
      <c r="FH798" s="4"/>
      <c r="FI798" s="4"/>
      <c r="FJ798" s="4"/>
      <c r="FK798" s="4"/>
      <c r="FL798" s="4"/>
      <c r="FM798" s="4"/>
      <c r="FN798" s="4"/>
      <c r="FO798" s="4"/>
      <c r="FP798" s="4"/>
      <c r="FQ798" s="4"/>
      <c r="FR798" s="4"/>
      <c r="FS798" s="4"/>
      <c r="FT798" s="4"/>
      <c r="FU798" s="4"/>
      <c r="FV798" s="4"/>
      <c r="FW798" s="4"/>
      <c r="FX798" s="4"/>
      <c r="FY798" s="4"/>
      <c r="FZ798" s="4"/>
      <c r="GA798" s="4"/>
      <c r="GB798" s="4"/>
      <c r="GC798" s="4"/>
      <c r="GD798" s="4"/>
      <c r="GE798" s="4"/>
      <c r="GF798" s="4"/>
    </row>
    <row r="799">
      <c r="A799" s="2" t="s">
        <v>4991</v>
      </c>
      <c r="B799" s="2" t="s">
        <v>225</v>
      </c>
      <c r="C799" s="2" t="s">
        <v>196</v>
      </c>
      <c r="D799" s="2" t="s">
        <v>227</v>
      </c>
      <c r="E799" s="2" t="s">
        <v>228</v>
      </c>
      <c r="F799" s="2" t="s">
        <v>4983</v>
      </c>
      <c r="G799" s="2" t="s">
        <v>4983</v>
      </c>
      <c r="H799" s="2" t="s">
        <v>4983</v>
      </c>
      <c r="I799" s="2" t="s">
        <v>230</v>
      </c>
      <c r="J799" s="2" t="s">
        <v>282</v>
      </c>
      <c r="K799" s="2" t="s">
        <v>583</v>
      </c>
      <c r="L799" s="3">
        <v>19</v>
      </c>
      <c r="M799" s="3">
        <v>19.95</v>
      </c>
      <c r="N799" s="3">
        <v>37.99</v>
      </c>
      <c r="O799" s="2" t="s">
        <v>203</v>
      </c>
      <c r="P799" s="2" t="s">
        <v>204</v>
      </c>
      <c r="Q799" s="2" t="s">
        <v>205</v>
      </c>
      <c r="R799" s="2" t="s">
        <v>206</v>
      </c>
      <c r="S799" s="2" t="s">
        <v>4984</v>
      </c>
      <c r="T799" s="2" t="s">
        <v>4985</v>
      </c>
      <c r="U799" s="2" t="s">
        <v>206</v>
      </c>
      <c r="V799" s="2" t="s">
        <v>209</v>
      </c>
      <c r="W799" s="2" t="s">
        <v>210</v>
      </c>
      <c r="X799" s="2" t="s">
        <v>206</v>
      </c>
      <c r="Y799" s="2" t="s">
        <v>4986</v>
      </c>
      <c r="Z799" s="4">
        <v>210</v>
      </c>
      <c r="AA799" s="4">
        <f>=ROUNDDOWN(22.1052631578947,0)</f>
      </c>
      <c r="AB799" s="5">
        <v>9.5</v>
      </c>
      <c r="AC799" s="2" t="s">
        <v>113</v>
      </c>
      <c r="AD799" s="4">
        <v>190</v>
      </c>
      <c r="AE799" s="4">
        <v>190</v>
      </c>
      <c r="AF799" s="6">
        <v>66</v>
      </c>
      <c r="AG799" s="6"/>
      <c r="AH799" s="7">
        <v>1</v>
      </c>
      <c r="AI799" s="4"/>
      <c r="AJ799" s="4">
        <f>=ROUNDDOWN({0},0)</f>
      </c>
      <c r="AK799" s="5"/>
      <c r="AL799" s="2" t="s">
        <v>206</v>
      </c>
      <c r="AM799" s="4"/>
      <c r="AN799" s="4"/>
      <c r="AO799" s="7"/>
      <c r="AP799" s="4"/>
      <c r="AQ799" s="8"/>
      <c r="AR799" s="4"/>
      <c r="AS799" s="8"/>
      <c r="AT799" s="7"/>
      <c r="AU799" s="7"/>
      <c r="AV799" s="4" t="s">
        <v>206</v>
      </c>
      <c r="AW799" s="8" t="s">
        <v>206</v>
      </c>
      <c r="AX799" s="4" t="s">
        <v>206</v>
      </c>
      <c r="AY799" s="8" t="s">
        <v>206</v>
      </c>
      <c r="AZ799" s="7" t="s">
        <v>206</v>
      </c>
      <c r="BA799" s="7" t="s">
        <v>206</v>
      </c>
      <c r="BB799" s="7"/>
      <c r="BC799" s="4" t="s">
        <v>206</v>
      </c>
      <c r="BD799" s="8" t="s">
        <v>206</v>
      </c>
      <c r="BE799" s="4" t="s">
        <v>206</v>
      </c>
      <c r="BF799" s="8" t="s">
        <v>206</v>
      </c>
      <c r="BG799" s="7" t="s">
        <v>206</v>
      </c>
      <c r="BH799" s="7" t="s">
        <v>206</v>
      </c>
      <c r="BI799" s="7"/>
      <c r="BJ799" s="4">
        <v>35</v>
      </c>
      <c r="BK799" s="8">
        <v>661.68</v>
      </c>
      <c r="BL799" s="2" t="s">
        <v>4992</v>
      </c>
      <c r="BM799" s="7"/>
      <c r="BN799" s="7"/>
      <c r="BO799" s="4"/>
      <c r="BP799" s="8"/>
      <c r="BQ799" s="4"/>
      <c r="BR799" s="8"/>
      <c r="BS799" s="7"/>
      <c r="BT799" s="7"/>
      <c r="BU799" s="2" t="s">
        <v>4993</v>
      </c>
      <c r="BV799" s="2" t="s">
        <v>206</v>
      </c>
      <c r="BW799" s="2" t="s">
        <v>206</v>
      </c>
      <c r="BX799" s="2" t="s">
        <v>214</v>
      </c>
      <c r="BY799" s="2" t="s">
        <v>215</v>
      </c>
      <c r="BZ799" s="2" t="s">
        <v>203</v>
      </c>
      <c r="CA799" s="2" t="s">
        <v>4989</v>
      </c>
      <c r="CB799" s="2" t="s">
        <v>4994</v>
      </c>
      <c r="CC799" s="2" t="s">
        <v>218</v>
      </c>
      <c r="CD799" s="2" t="s">
        <v>206</v>
      </c>
      <c r="CE799" s="4">
        <v>210</v>
      </c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>
        <v>190</v>
      </c>
      <c r="DB799" s="4"/>
      <c r="DC799" s="4"/>
      <c r="DD799" s="4"/>
      <c r="DE799" s="4"/>
      <c r="DF799" s="4"/>
      <c r="DG799" s="4"/>
      <c r="DH799" s="4"/>
      <c r="DI799" s="4"/>
      <c r="DJ799" s="4"/>
      <c r="DK799" s="4"/>
      <c r="DL799" s="4"/>
      <c r="DM799" s="4"/>
      <c r="DN799" s="4"/>
      <c r="DO799" s="4"/>
      <c r="DP799" s="4"/>
      <c r="DQ799" s="4"/>
      <c r="DR799" s="4"/>
      <c r="DS799" s="4"/>
      <c r="DT799" s="4"/>
      <c r="DU799" s="4"/>
      <c r="DV799" s="4"/>
      <c r="DW799" s="4"/>
      <c r="DX799" s="4"/>
      <c r="DY799" s="4"/>
      <c r="DZ799" s="4"/>
      <c r="EA799" s="4"/>
      <c r="EB799" s="4"/>
      <c r="EC799" s="4"/>
      <c r="ED799" s="4"/>
      <c r="EE799" s="4"/>
      <c r="EF799" s="4"/>
      <c r="EG799" s="4"/>
      <c r="EH799" s="4"/>
      <c r="EI799" s="4"/>
      <c r="EJ799" s="4"/>
      <c r="EK799" s="4"/>
      <c r="EL799" s="4"/>
      <c r="EM799" s="4"/>
      <c r="EN799" s="4"/>
      <c r="EO799" s="4"/>
      <c r="EP799" s="4"/>
      <c r="EQ799" s="4"/>
      <c r="ER799" s="4"/>
      <c r="ES799" s="4"/>
      <c r="ET799" s="4"/>
      <c r="EU799" s="4"/>
      <c r="EV799" s="4"/>
      <c r="EW799" s="4"/>
      <c r="EX799" s="4"/>
      <c r="EY799" s="4"/>
      <c r="EZ799" s="4"/>
      <c r="FA799" s="4"/>
      <c r="FB799" s="4"/>
      <c r="FC799" s="4"/>
      <c r="FD799" s="4"/>
      <c r="FE799" s="4"/>
      <c r="FF799" s="4"/>
      <c r="FG799" s="4"/>
      <c r="FH799" s="4"/>
      <c r="FI799" s="4"/>
      <c r="FJ799" s="4"/>
      <c r="FK799" s="4"/>
      <c r="FL799" s="4"/>
      <c r="FM799" s="4"/>
      <c r="FN799" s="4"/>
      <c r="FO799" s="4"/>
      <c r="FP799" s="4"/>
      <c r="FQ799" s="4"/>
      <c r="FR799" s="4"/>
      <c r="FS799" s="4"/>
      <c r="FT799" s="4"/>
      <c r="FU799" s="4"/>
      <c r="FV799" s="4"/>
      <c r="FW799" s="4"/>
      <c r="FX799" s="4"/>
      <c r="FY799" s="4"/>
      <c r="FZ799" s="4"/>
      <c r="GA799" s="4"/>
      <c r="GB799" s="4"/>
      <c r="GC799" s="4"/>
      <c r="GD799" s="4"/>
      <c r="GE799" s="4"/>
      <c r="GF799" s="4"/>
    </row>
    <row r="800">
      <c r="A800" s="2" t="s">
        <v>4995</v>
      </c>
      <c r="B800" s="2" t="s">
        <v>225</v>
      </c>
      <c r="C800" s="2" t="s">
        <v>196</v>
      </c>
      <c r="D800" s="2" t="s">
        <v>227</v>
      </c>
      <c r="E800" s="2" t="s">
        <v>228</v>
      </c>
      <c r="F800" s="2" t="s">
        <v>4983</v>
      </c>
      <c r="G800" s="2" t="s">
        <v>4983</v>
      </c>
      <c r="H800" s="2" t="s">
        <v>4983</v>
      </c>
      <c r="I800" s="2" t="s">
        <v>230</v>
      </c>
      <c r="J800" s="2" t="s">
        <v>231</v>
      </c>
      <c r="K800" s="2" t="s">
        <v>583</v>
      </c>
      <c r="L800" s="3">
        <v>21.5</v>
      </c>
      <c r="M800" s="3">
        <v>22.58</v>
      </c>
      <c r="N800" s="3">
        <v>42.99</v>
      </c>
      <c r="O800" s="2" t="s">
        <v>203</v>
      </c>
      <c r="P800" s="2" t="s">
        <v>204</v>
      </c>
      <c r="Q800" s="2" t="s">
        <v>205</v>
      </c>
      <c r="R800" s="2" t="s">
        <v>206</v>
      </c>
      <c r="S800" s="2" t="s">
        <v>4984</v>
      </c>
      <c r="T800" s="2" t="s">
        <v>4985</v>
      </c>
      <c r="U800" s="2" t="s">
        <v>206</v>
      </c>
      <c r="V800" s="2" t="s">
        <v>209</v>
      </c>
      <c r="W800" s="2" t="s">
        <v>210</v>
      </c>
      <c r="X800" s="2" t="s">
        <v>206</v>
      </c>
      <c r="Y800" s="2" t="s">
        <v>4986</v>
      </c>
      <c r="Z800" s="4">
        <v>47</v>
      </c>
      <c r="AA800" s="4">
        <f>=ROUNDDOWN(5.875,0)</f>
      </c>
      <c r="AB800" s="5">
        <v>8</v>
      </c>
      <c r="AC800" s="2" t="s">
        <v>113</v>
      </c>
      <c r="AD800" s="4">
        <v>190</v>
      </c>
      <c r="AE800" s="4">
        <v>190</v>
      </c>
      <c r="AF800" s="6">
        <v>66</v>
      </c>
      <c r="AG800" s="6"/>
      <c r="AH800" s="7">
        <v>1</v>
      </c>
      <c r="AI800" s="4"/>
      <c r="AJ800" s="4">
        <f>=ROUNDDOWN({0},0)</f>
      </c>
      <c r="AK800" s="5"/>
      <c r="AL800" s="2" t="s">
        <v>206</v>
      </c>
      <c r="AM800" s="4"/>
      <c r="AN800" s="4"/>
      <c r="AO800" s="7"/>
      <c r="AP800" s="4"/>
      <c r="AQ800" s="8"/>
      <c r="AR800" s="4"/>
      <c r="AS800" s="8"/>
      <c r="AT800" s="7"/>
      <c r="AU800" s="7"/>
      <c r="AV800" s="4" t="s">
        <v>206</v>
      </c>
      <c r="AW800" s="8" t="s">
        <v>206</v>
      </c>
      <c r="AX800" s="4" t="s">
        <v>206</v>
      </c>
      <c r="AY800" s="8" t="s">
        <v>206</v>
      </c>
      <c r="AZ800" s="7" t="s">
        <v>206</v>
      </c>
      <c r="BA800" s="7" t="s">
        <v>206</v>
      </c>
      <c r="BB800" s="7"/>
      <c r="BC800" s="4" t="s">
        <v>206</v>
      </c>
      <c r="BD800" s="8" t="s">
        <v>206</v>
      </c>
      <c r="BE800" s="4" t="s">
        <v>206</v>
      </c>
      <c r="BF800" s="8" t="s">
        <v>206</v>
      </c>
      <c r="BG800" s="7" t="s">
        <v>206</v>
      </c>
      <c r="BH800" s="7" t="s">
        <v>206</v>
      </c>
      <c r="BI800" s="7"/>
      <c r="BJ800" s="4">
        <v>35</v>
      </c>
      <c r="BK800" s="8">
        <v>785.5</v>
      </c>
      <c r="BL800" s="2" t="s">
        <v>4996</v>
      </c>
      <c r="BM800" s="7"/>
      <c r="BN800" s="7"/>
      <c r="BO800" s="4"/>
      <c r="BP800" s="8"/>
      <c r="BQ800" s="4"/>
      <c r="BR800" s="8"/>
      <c r="BS800" s="7"/>
      <c r="BT800" s="7"/>
      <c r="BU800" s="2" t="s">
        <v>4997</v>
      </c>
      <c r="BV800" s="2" t="s">
        <v>206</v>
      </c>
      <c r="BW800" s="2" t="s">
        <v>206</v>
      </c>
      <c r="BX800" s="2" t="s">
        <v>214</v>
      </c>
      <c r="BY800" s="2" t="s">
        <v>215</v>
      </c>
      <c r="BZ800" s="2" t="s">
        <v>203</v>
      </c>
      <c r="CA800" s="2" t="s">
        <v>4989</v>
      </c>
      <c r="CB800" s="2" t="s">
        <v>271</v>
      </c>
      <c r="CC800" s="2" t="s">
        <v>218</v>
      </c>
      <c r="CD800" s="2" t="s">
        <v>206</v>
      </c>
      <c r="CE800" s="4">
        <v>47</v>
      </c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>
        <v>190</v>
      </c>
      <c r="DB800" s="4"/>
      <c r="DC800" s="4"/>
      <c r="DD800" s="4"/>
      <c r="DE800" s="4"/>
      <c r="DF800" s="4"/>
      <c r="DG800" s="4"/>
      <c r="DH800" s="4"/>
      <c r="DI800" s="4"/>
      <c r="DJ800" s="4"/>
      <c r="DK800" s="4"/>
      <c r="DL800" s="4"/>
      <c r="DM800" s="4"/>
      <c r="DN800" s="4"/>
      <c r="DO800" s="4"/>
      <c r="DP800" s="4"/>
      <c r="DQ800" s="4"/>
      <c r="DR800" s="4"/>
      <c r="DS800" s="4"/>
      <c r="DT800" s="4"/>
      <c r="DU800" s="4"/>
      <c r="DV800" s="4"/>
      <c r="DW800" s="4"/>
      <c r="DX800" s="4"/>
      <c r="DY800" s="4"/>
      <c r="DZ800" s="4"/>
      <c r="EA800" s="4"/>
      <c r="EB800" s="4"/>
      <c r="EC800" s="4"/>
      <c r="ED800" s="4"/>
      <c r="EE800" s="4"/>
      <c r="EF800" s="4"/>
      <c r="EG800" s="4"/>
      <c r="EH800" s="4"/>
      <c r="EI800" s="4"/>
      <c r="EJ800" s="4"/>
      <c r="EK800" s="4"/>
      <c r="EL800" s="4"/>
      <c r="EM800" s="4"/>
      <c r="EN800" s="4"/>
      <c r="EO800" s="4"/>
      <c r="EP800" s="4"/>
      <c r="EQ800" s="4"/>
      <c r="ER800" s="4"/>
      <c r="ES800" s="4"/>
      <c r="ET800" s="4"/>
      <c r="EU800" s="4"/>
      <c r="EV800" s="4"/>
      <c r="EW800" s="4"/>
      <c r="EX800" s="4"/>
      <c r="EY800" s="4"/>
      <c r="EZ800" s="4"/>
      <c r="FA800" s="4"/>
      <c r="FB800" s="4"/>
      <c r="FC800" s="4"/>
      <c r="FD800" s="4"/>
      <c r="FE800" s="4"/>
      <c r="FF800" s="4"/>
      <c r="FG800" s="4"/>
      <c r="FH800" s="4"/>
      <c r="FI800" s="4"/>
      <c r="FJ800" s="4"/>
      <c r="FK800" s="4"/>
      <c r="FL800" s="4"/>
      <c r="FM800" s="4"/>
      <c r="FN800" s="4"/>
      <c r="FO800" s="4"/>
      <c r="FP800" s="4"/>
      <c r="FQ800" s="4"/>
      <c r="FR800" s="4"/>
      <c r="FS800" s="4"/>
      <c r="FT800" s="4"/>
      <c r="FU800" s="4"/>
      <c r="FV800" s="4"/>
      <c r="FW800" s="4"/>
      <c r="FX800" s="4"/>
      <c r="FY800" s="4"/>
      <c r="FZ800" s="4"/>
      <c r="GA800" s="4"/>
      <c r="GB800" s="4"/>
      <c r="GC800" s="4"/>
      <c r="GD800" s="4"/>
      <c r="GE800" s="4"/>
      <c r="GF800" s="4"/>
    </row>
    <row r="801">
      <c r="A801" s="2" t="s">
        <v>4998</v>
      </c>
      <c r="B801" s="2" t="s">
        <v>225</v>
      </c>
      <c r="C801" s="2" t="s">
        <v>196</v>
      </c>
      <c r="D801" s="2" t="s">
        <v>227</v>
      </c>
      <c r="E801" s="2" t="s">
        <v>228</v>
      </c>
      <c r="F801" s="2" t="s">
        <v>4983</v>
      </c>
      <c r="G801" s="2" t="s">
        <v>4983</v>
      </c>
      <c r="H801" s="2" t="s">
        <v>4983</v>
      </c>
      <c r="I801" s="2" t="s">
        <v>230</v>
      </c>
      <c r="J801" s="2" t="s">
        <v>201</v>
      </c>
      <c r="K801" s="2" t="s">
        <v>336</v>
      </c>
      <c r="L801" s="3">
        <v>16.5</v>
      </c>
      <c r="M801" s="3">
        <v>17.32</v>
      </c>
      <c r="N801" s="3">
        <v>32.99</v>
      </c>
      <c r="O801" s="2" t="s">
        <v>203</v>
      </c>
      <c r="P801" s="2" t="s">
        <v>204</v>
      </c>
      <c r="Q801" s="2" t="s">
        <v>205</v>
      </c>
      <c r="R801" s="2" t="s">
        <v>206</v>
      </c>
      <c r="S801" s="2" t="s">
        <v>4999</v>
      </c>
      <c r="T801" s="2" t="s">
        <v>4985</v>
      </c>
      <c r="U801" s="2" t="s">
        <v>206</v>
      </c>
      <c r="V801" s="2" t="s">
        <v>209</v>
      </c>
      <c r="W801" s="2" t="s">
        <v>210</v>
      </c>
      <c r="X801" s="2" t="s">
        <v>206</v>
      </c>
      <c r="Y801" s="2" t="s">
        <v>211</v>
      </c>
      <c r="Z801" s="4">
        <v>210</v>
      </c>
      <c r="AA801" s="4">
        <f>=ROUNDDOWN(17.5,0)</f>
      </c>
      <c r="AB801" s="5">
        <v>12</v>
      </c>
      <c r="AC801" s="2" t="s">
        <v>126</v>
      </c>
      <c r="AD801" s="4">
        <v>180</v>
      </c>
      <c r="AE801" s="4">
        <v>180</v>
      </c>
      <c r="AF801" s="6">
        <v>66</v>
      </c>
      <c r="AG801" s="6"/>
      <c r="AH801" s="7">
        <v>1</v>
      </c>
      <c r="AI801" s="4"/>
      <c r="AJ801" s="4">
        <f>=ROUNDDOWN({0},0)</f>
      </c>
      <c r="AK801" s="5"/>
      <c r="AL801" s="2" t="s">
        <v>206</v>
      </c>
      <c r="AM801" s="4"/>
      <c r="AN801" s="4"/>
      <c r="AO801" s="7"/>
      <c r="AP801" s="4"/>
      <c r="AQ801" s="8"/>
      <c r="AR801" s="4"/>
      <c r="AS801" s="8"/>
      <c r="AT801" s="7"/>
      <c r="AU801" s="7"/>
      <c r="AV801" s="4" t="s">
        <v>206</v>
      </c>
      <c r="AW801" s="8" t="s">
        <v>206</v>
      </c>
      <c r="AX801" s="4" t="s">
        <v>206</v>
      </c>
      <c r="AY801" s="8" t="s">
        <v>206</v>
      </c>
      <c r="AZ801" s="7" t="s">
        <v>206</v>
      </c>
      <c r="BA801" s="7" t="s">
        <v>206</v>
      </c>
      <c r="BB801" s="7"/>
      <c r="BC801" s="4" t="s">
        <v>206</v>
      </c>
      <c r="BD801" s="8" t="s">
        <v>206</v>
      </c>
      <c r="BE801" s="4" t="s">
        <v>206</v>
      </c>
      <c r="BF801" s="8" t="s">
        <v>206</v>
      </c>
      <c r="BG801" s="7" t="s">
        <v>206</v>
      </c>
      <c r="BH801" s="7" t="s">
        <v>206</v>
      </c>
      <c r="BI801" s="7"/>
      <c r="BJ801" s="4">
        <v>8</v>
      </c>
      <c r="BK801" s="8">
        <v>128.59</v>
      </c>
      <c r="BL801" s="2" t="s">
        <v>5000</v>
      </c>
      <c r="BM801" s="7"/>
      <c r="BN801" s="7"/>
      <c r="BO801" s="4"/>
      <c r="BP801" s="8"/>
      <c r="BQ801" s="4"/>
      <c r="BR801" s="8"/>
      <c r="BS801" s="7"/>
      <c r="BT801" s="7"/>
      <c r="BU801" s="2" t="s">
        <v>5001</v>
      </c>
      <c r="BV801" s="2" t="s">
        <v>206</v>
      </c>
      <c r="BW801" s="2" t="s">
        <v>206</v>
      </c>
      <c r="BX801" s="2" t="s">
        <v>214</v>
      </c>
      <c r="BY801" s="2" t="s">
        <v>215</v>
      </c>
      <c r="BZ801" s="2" t="s">
        <v>203</v>
      </c>
      <c r="CA801" s="2" t="s">
        <v>4989</v>
      </c>
      <c r="CB801" s="2" t="s">
        <v>5002</v>
      </c>
      <c r="CC801" s="2" t="s">
        <v>218</v>
      </c>
      <c r="CD801" s="2" t="s">
        <v>206</v>
      </c>
      <c r="CE801" s="4">
        <v>210</v>
      </c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  <c r="DE801" s="4"/>
      <c r="DF801" s="4"/>
      <c r="DG801" s="4"/>
      <c r="DH801" s="4"/>
      <c r="DI801" s="4"/>
      <c r="DJ801" s="4"/>
      <c r="DK801" s="4"/>
      <c r="DL801" s="4"/>
      <c r="DM801" s="4"/>
      <c r="DN801" s="4">
        <v>180</v>
      </c>
      <c r="DO801" s="4"/>
      <c r="DP801" s="4"/>
      <c r="DQ801" s="4"/>
      <c r="DR801" s="4"/>
      <c r="DS801" s="4"/>
      <c r="DT801" s="4"/>
      <c r="DU801" s="4"/>
      <c r="DV801" s="4"/>
      <c r="DW801" s="4"/>
      <c r="DX801" s="4"/>
      <c r="DY801" s="4"/>
      <c r="DZ801" s="4"/>
      <c r="EA801" s="4"/>
      <c r="EB801" s="4"/>
      <c r="EC801" s="4"/>
      <c r="ED801" s="4"/>
      <c r="EE801" s="4"/>
      <c r="EF801" s="4"/>
      <c r="EG801" s="4"/>
      <c r="EH801" s="4"/>
      <c r="EI801" s="4"/>
      <c r="EJ801" s="4"/>
      <c r="EK801" s="4"/>
      <c r="EL801" s="4"/>
      <c r="EM801" s="4"/>
      <c r="EN801" s="4"/>
      <c r="EO801" s="4"/>
      <c r="EP801" s="4"/>
      <c r="EQ801" s="4"/>
      <c r="ER801" s="4"/>
      <c r="ES801" s="4"/>
      <c r="ET801" s="4"/>
      <c r="EU801" s="4"/>
      <c r="EV801" s="4"/>
      <c r="EW801" s="4"/>
      <c r="EX801" s="4"/>
      <c r="EY801" s="4"/>
      <c r="EZ801" s="4"/>
      <c r="FA801" s="4"/>
      <c r="FB801" s="4"/>
      <c r="FC801" s="4"/>
      <c r="FD801" s="4"/>
      <c r="FE801" s="4"/>
      <c r="FF801" s="4"/>
      <c r="FG801" s="4"/>
      <c r="FH801" s="4"/>
      <c r="FI801" s="4"/>
      <c r="FJ801" s="4"/>
      <c r="FK801" s="4"/>
      <c r="FL801" s="4"/>
      <c r="FM801" s="4"/>
      <c r="FN801" s="4"/>
      <c r="FO801" s="4"/>
      <c r="FP801" s="4"/>
      <c r="FQ801" s="4"/>
      <c r="FR801" s="4"/>
      <c r="FS801" s="4"/>
      <c r="FT801" s="4"/>
      <c r="FU801" s="4"/>
      <c r="FV801" s="4"/>
      <c r="FW801" s="4"/>
      <c r="FX801" s="4"/>
      <c r="FY801" s="4"/>
      <c r="FZ801" s="4"/>
      <c r="GA801" s="4"/>
      <c r="GB801" s="4"/>
      <c r="GC801" s="4"/>
      <c r="GD801" s="4"/>
      <c r="GE801" s="4"/>
      <c r="GF801" s="4"/>
    </row>
    <row r="802">
      <c r="A802" s="2" t="s">
        <v>5003</v>
      </c>
      <c r="B802" s="2" t="s">
        <v>225</v>
      </c>
      <c r="C802" s="2" t="s">
        <v>196</v>
      </c>
      <c r="D802" s="2" t="s">
        <v>227</v>
      </c>
      <c r="E802" s="2" t="s">
        <v>228</v>
      </c>
      <c r="F802" s="2" t="s">
        <v>4983</v>
      </c>
      <c r="G802" s="2" t="s">
        <v>4983</v>
      </c>
      <c r="H802" s="2" t="s">
        <v>4983</v>
      </c>
      <c r="I802" s="2" t="s">
        <v>230</v>
      </c>
      <c r="J802" s="2" t="s">
        <v>282</v>
      </c>
      <c r="K802" s="2" t="s">
        <v>336</v>
      </c>
      <c r="L802" s="3">
        <v>19</v>
      </c>
      <c r="M802" s="3">
        <v>19.95</v>
      </c>
      <c r="N802" s="3">
        <v>37.99</v>
      </c>
      <c r="O802" s="2" t="s">
        <v>203</v>
      </c>
      <c r="P802" s="2" t="s">
        <v>204</v>
      </c>
      <c r="Q802" s="2" t="s">
        <v>205</v>
      </c>
      <c r="R802" s="2" t="s">
        <v>206</v>
      </c>
      <c r="S802" s="2" t="s">
        <v>4999</v>
      </c>
      <c r="T802" s="2" t="s">
        <v>4985</v>
      </c>
      <c r="U802" s="2" t="s">
        <v>206</v>
      </c>
      <c r="V802" s="2" t="s">
        <v>209</v>
      </c>
      <c r="W802" s="2" t="s">
        <v>210</v>
      </c>
      <c r="X802" s="2" t="s">
        <v>206</v>
      </c>
      <c r="Y802" s="2" t="s">
        <v>4986</v>
      </c>
      <c r="Z802" s="4">
        <v>534</v>
      </c>
      <c r="AA802" s="4">
        <f>=ROUNDDOWN(35.6,0)</f>
      </c>
      <c r="AB802" s="5">
        <v>15</v>
      </c>
      <c r="AC802" s="2" t="s">
        <v>206</v>
      </c>
      <c r="AD802" s="4"/>
      <c r="AE802" s="4"/>
      <c r="AF802" s="6">
        <v>66</v>
      </c>
      <c r="AG802" s="6"/>
      <c r="AH802" s="7">
        <v>1</v>
      </c>
      <c r="AI802" s="4"/>
      <c r="AJ802" s="4">
        <f>=ROUNDDOWN({0},0)</f>
      </c>
      <c r="AK802" s="5"/>
      <c r="AL802" s="2" t="s">
        <v>206</v>
      </c>
      <c r="AM802" s="4"/>
      <c r="AN802" s="4"/>
      <c r="AO802" s="7"/>
      <c r="AP802" s="4"/>
      <c r="AQ802" s="8"/>
      <c r="AR802" s="4"/>
      <c r="AS802" s="8"/>
      <c r="AT802" s="7"/>
      <c r="AU802" s="7"/>
      <c r="AV802" s="4" t="s">
        <v>206</v>
      </c>
      <c r="AW802" s="8" t="s">
        <v>206</v>
      </c>
      <c r="AX802" s="4" t="s">
        <v>206</v>
      </c>
      <c r="AY802" s="8" t="s">
        <v>206</v>
      </c>
      <c r="AZ802" s="7" t="s">
        <v>206</v>
      </c>
      <c r="BA802" s="7" t="s">
        <v>206</v>
      </c>
      <c r="BB802" s="7"/>
      <c r="BC802" s="4" t="s">
        <v>206</v>
      </c>
      <c r="BD802" s="8" t="s">
        <v>206</v>
      </c>
      <c r="BE802" s="4" t="s">
        <v>206</v>
      </c>
      <c r="BF802" s="8" t="s">
        <v>206</v>
      </c>
      <c r="BG802" s="7" t="s">
        <v>206</v>
      </c>
      <c r="BH802" s="7" t="s">
        <v>206</v>
      </c>
      <c r="BI802" s="7"/>
      <c r="BJ802" s="4">
        <v>67</v>
      </c>
      <c r="BK802" s="8">
        <v>1349.18</v>
      </c>
      <c r="BL802" s="2" t="s">
        <v>5004</v>
      </c>
      <c r="BM802" s="7"/>
      <c r="BN802" s="7"/>
      <c r="BO802" s="4"/>
      <c r="BP802" s="8"/>
      <c r="BQ802" s="4"/>
      <c r="BR802" s="8"/>
      <c r="BS802" s="7"/>
      <c r="BT802" s="7"/>
      <c r="BU802" s="2" t="s">
        <v>5005</v>
      </c>
      <c r="BV802" s="2" t="s">
        <v>206</v>
      </c>
      <c r="BW802" s="2" t="s">
        <v>206</v>
      </c>
      <c r="BX802" s="2" t="s">
        <v>214</v>
      </c>
      <c r="BY802" s="2" t="s">
        <v>215</v>
      </c>
      <c r="BZ802" s="2" t="s">
        <v>203</v>
      </c>
      <c r="CA802" s="2" t="s">
        <v>4989</v>
      </c>
      <c r="CB802" s="2" t="s">
        <v>271</v>
      </c>
      <c r="CC802" s="2" t="s">
        <v>218</v>
      </c>
      <c r="CD802" s="2" t="s">
        <v>206</v>
      </c>
      <c r="CE802" s="4">
        <v>534</v>
      </c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  <c r="DE802" s="4"/>
      <c r="DF802" s="4"/>
      <c r="DG802" s="4"/>
      <c r="DH802" s="4"/>
      <c r="DI802" s="4"/>
      <c r="DJ802" s="4"/>
      <c r="DK802" s="4"/>
      <c r="DL802" s="4"/>
      <c r="DM802" s="4"/>
      <c r="DN802" s="4"/>
      <c r="DO802" s="4"/>
      <c r="DP802" s="4"/>
      <c r="DQ802" s="4"/>
      <c r="DR802" s="4"/>
      <c r="DS802" s="4"/>
      <c r="DT802" s="4"/>
      <c r="DU802" s="4"/>
      <c r="DV802" s="4"/>
      <c r="DW802" s="4"/>
      <c r="DX802" s="4"/>
      <c r="DY802" s="4"/>
      <c r="DZ802" s="4"/>
      <c r="EA802" s="4"/>
      <c r="EB802" s="4"/>
      <c r="EC802" s="4"/>
      <c r="ED802" s="4"/>
      <c r="EE802" s="4"/>
      <c r="EF802" s="4"/>
      <c r="EG802" s="4"/>
      <c r="EH802" s="4"/>
      <c r="EI802" s="4"/>
      <c r="EJ802" s="4"/>
      <c r="EK802" s="4"/>
      <c r="EL802" s="4"/>
      <c r="EM802" s="4"/>
      <c r="EN802" s="4"/>
      <c r="EO802" s="4"/>
      <c r="EP802" s="4"/>
      <c r="EQ802" s="4"/>
      <c r="ER802" s="4"/>
      <c r="ES802" s="4"/>
      <c r="ET802" s="4"/>
      <c r="EU802" s="4"/>
      <c r="EV802" s="4"/>
      <c r="EW802" s="4"/>
      <c r="EX802" s="4"/>
      <c r="EY802" s="4"/>
      <c r="EZ802" s="4"/>
      <c r="FA802" s="4"/>
      <c r="FB802" s="4"/>
      <c r="FC802" s="4"/>
      <c r="FD802" s="4"/>
      <c r="FE802" s="4"/>
      <c r="FF802" s="4"/>
      <c r="FG802" s="4"/>
      <c r="FH802" s="4"/>
      <c r="FI802" s="4"/>
      <c r="FJ802" s="4"/>
      <c r="FK802" s="4"/>
      <c r="FL802" s="4"/>
      <c r="FM802" s="4"/>
      <c r="FN802" s="4"/>
      <c r="FO802" s="4"/>
      <c r="FP802" s="4"/>
      <c r="FQ802" s="4"/>
      <c r="FR802" s="4"/>
      <c r="FS802" s="4"/>
      <c r="FT802" s="4"/>
      <c r="FU802" s="4"/>
      <c r="FV802" s="4"/>
      <c r="FW802" s="4"/>
      <c r="FX802" s="4"/>
      <c r="FY802" s="4"/>
      <c r="FZ802" s="4"/>
      <c r="GA802" s="4"/>
      <c r="GB802" s="4"/>
      <c r="GC802" s="4"/>
      <c r="GD802" s="4"/>
      <c r="GE802" s="4"/>
      <c r="GF802" s="4"/>
    </row>
    <row r="803">
      <c r="A803" s="2" t="s">
        <v>5006</v>
      </c>
      <c r="B803" s="2" t="s">
        <v>225</v>
      </c>
      <c r="C803" s="2" t="s">
        <v>196</v>
      </c>
      <c r="D803" s="2" t="s">
        <v>227</v>
      </c>
      <c r="E803" s="2" t="s">
        <v>228</v>
      </c>
      <c r="F803" s="2" t="s">
        <v>4983</v>
      </c>
      <c r="G803" s="2" t="s">
        <v>4983</v>
      </c>
      <c r="H803" s="2" t="s">
        <v>4983</v>
      </c>
      <c r="I803" s="2" t="s">
        <v>230</v>
      </c>
      <c r="J803" s="2" t="s">
        <v>231</v>
      </c>
      <c r="K803" s="2" t="s">
        <v>336</v>
      </c>
      <c r="L803" s="3">
        <v>21.5</v>
      </c>
      <c r="M803" s="3">
        <v>22.58</v>
      </c>
      <c r="N803" s="3">
        <v>42.99</v>
      </c>
      <c r="O803" s="2" t="s">
        <v>203</v>
      </c>
      <c r="P803" s="2" t="s">
        <v>204</v>
      </c>
      <c r="Q803" s="2" t="s">
        <v>205</v>
      </c>
      <c r="R803" s="2" t="s">
        <v>206</v>
      </c>
      <c r="S803" s="2" t="s">
        <v>4999</v>
      </c>
      <c r="T803" s="2" t="s">
        <v>4985</v>
      </c>
      <c r="U803" s="2" t="s">
        <v>206</v>
      </c>
      <c r="V803" s="2" t="s">
        <v>209</v>
      </c>
      <c r="W803" s="2" t="s">
        <v>210</v>
      </c>
      <c r="X803" s="2" t="s">
        <v>206</v>
      </c>
      <c r="Y803" s="2" t="s">
        <v>4986</v>
      </c>
      <c r="Z803" s="4">
        <v>427</v>
      </c>
      <c r="AA803" s="4">
        <f>=ROUNDDOWN(26.6875,0)</f>
      </c>
      <c r="AB803" s="5">
        <v>16</v>
      </c>
      <c r="AC803" s="2" t="s">
        <v>126</v>
      </c>
      <c r="AD803" s="4">
        <v>40</v>
      </c>
      <c r="AE803" s="4">
        <v>40</v>
      </c>
      <c r="AF803" s="6">
        <v>66</v>
      </c>
      <c r="AG803" s="6"/>
      <c r="AH803" s="7">
        <v>1</v>
      </c>
      <c r="AI803" s="4"/>
      <c r="AJ803" s="4">
        <f>=ROUNDDOWN({0},0)</f>
      </c>
      <c r="AK803" s="5"/>
      <c r="AL803" s="2" t="s">
        <v>206</v>
      </c>
      <c r="AM803" s="4"/>
      <c r="AN803" s="4"/>
      <c r="AO803" s="7"/>
      <c r="AP803" s="4"/>
      <c r="AQ803" s="8"/>
      <c r="AR803" s="4"/>
      <c r="AS803" s="8"/>
      <c r="AT803" s="7"/>
      <c r="AU803" s="7"/>
      <c r="AV803" s="4" t="s">
        <v>206</v>
      </c>
      <c r="AW803" s="8" t="s">
        <v>206</v>
      </c>
      <c r="AX803" s="4" t="s">
        <v>206</v>
      </c>
      <c r="AY803" s="8" t="s">
        <v>206</v>
      </c>
      <c r="AZ803" s="7" t="s">
        <v>206</v>
      </c>
      <c r="BA803" s="7" t="s">
        <v>206</v>
      </c>
      <c r="BB803" s="7"/>
      <c r="BC803" s="4" t="s">
        <v>206</v>
      </c>
      <c r="BD803" s="8" t="s">
        <v>206</v>
      </c>
      <c r="BE803" s="4" t="s">
        <v>206</v>
      </c>
      <c r="BF803" s="8" t="s">
        <v>206</v>
      </c>
      <c r="BG803" s="7" t="s">
        <v>206</v>
      </c>
      <c r="BH803" s="7" t="s">
        <v>206</v>
      </c>
      <c r="BI803" s="7"/>
      <c r="BJ803" s="4">
        <v>51</v>
      </c>
      <c r="BK803" s="8">
        <v>1181.67</v>
      </c>
      <c r="BL803" s="2" t="s">
        <v>5007</v>
      </c>
      <c r="BM803" s="7"/>
      <c r="BN803" s="7"/>
      <c r="BO803" s="4"/>
      <c r="BP803" s="8"/>
      <c r="BQ803" s="4"/>
      <c r="BR803" s="8"/>
      <c r="BS803" s="7"/>
      <c r="BT803" s="7"/>
      <c r="BU803" s="2" t="s">
        <v>5008</v>
      </c>
      <c r="BV803" s="2" t="s">
        <v>206</v>
      </c>
      <c r="BW803" s="2" t="s">
        <v>206</v>
      </c>
      <c r="BX803" s="2" t="s">
        <v>214</v>
      </c>
      <c r="BY803" s="2" t="s">
        <v>215</v>
      </c>
      <c r="BZ803" s="2" t="s">
        <v>203</v>
      </c>
      <c r="CA803" s="2" t="s">
        <v>4989</v>
      </c>
      <c r="CB803" s="2" t="s">
        <v>2099</v>
      </c>
      <c r="CC803" s="2" t="s">
        <v>218</v>
      </c>
      <c r="CD803" s="2" t="s">
        <v>206</v>
      </c>
      <c r="CE803" s="4">
        <v>427</v>
      </c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  <c r="DE803" s="4"/>
      <c r="DF803" s="4"/>
      <c r="DG803" s="4"/>
      <c r="DH803" s="4"/>
      <c r="DI803" s="4"/>
      <c r="DJ803" s="4"/>
      <c r="DK803" s="4"/>
      <c r="DL803" s="4"/>
      <c r="DM803" s="4"/>
      <c r="DN803" s="4">
        <v>40</v>
      </c>
      <c r="DO803" s="4"/>
      <c r="DP803" s="4"/>
      <c r="DQ803" s="4"/>
      <c r="DR803" s="4"/>
      <c r="DS803" s="4"/>
      <c r="DT803" s="4"/>
      <c r="DU803" s="4"/>
      <c r="DV803" s="4"/>
      <c r="DW803" s="4"/>
      <c r="DX803" s="4"/>
      <c r="DY803" s="4"/>
      <c r="DZ803" s="4"/>
      <c r="EA803" s="4"/>
      <c r="EB803" s="4"/>
      <c r="EC803" s="4"/>
      <c r="ED803" s="4"/>
      <c r="EE803" s="4"/>
      <c r="EF803" s="4"/>
      <c r="EG803" s="4"/>
      <c r="EH803" s="4"/>
      <c r="EI803" s="4"/>
      <c r="EJ803" s="4"/>
      <c r="EK803" s="4"/>
      <c r="EL803" s="4"/>
      <c r="EM803" s="4"/>
      <c r="EN803" s="4"/>
      <c r="EO803" s="4"/>
      <c r="EP803" s="4"/>
      <c r="EQ803" s="4"/>
      <c r="ER803" s="4"/>
      <c r="ES803" s="4"/>
      <c r="ET803" s="4"/>
      <c r="EU803" s="4"/>
      <c r="EV803" s="4"/>
      <c r="EW803" s="4"/>
      <c r="EX803" s="4"/>
      <c r="EY803" s="4"/>
      <c r="EZ803" s="4"/>
      <c r="FA803" s="4"/>
      <c r="FB803" s="4"/>
      <c r="FC803" s="4"/>
      <c r="FD803" s="4"/>
      <c r="FE803" s="4"/>
      <c r="FF803" s="4"/>
      <c r="FG803" s="4"/>
      <c r="FH803" s="4"/>
      <c r="FI803" s="4"/>
      <c r="FJ803" s="4"/>
      <c r="FK803" s="4"/>
      <c r="FL803" s="4"/>
      <c r="FM803" s="4"/>
      <c r="FN803" s="4"/>
      <c r="FO803" s="4"/>
      <c r="FP803" s="4"/>
      <c r="FQ803" s="4"/>
      <c r="FR803" s="4"/>
      <c r="FS803" s="4"/>
      <c r="FT803" s="4"/>
      <c r="FU803" s="4"/>
      <c r="FV803" s="4"/>
      <c r="FW803" s="4"/>
      <c r="FX803" s="4"/>
      <c r="FY803" s="4"/>
      <c r="FZ803" s="4"/>
      <c r="GA803" s="4"/>
      <c r="GB803" s="4"/>
      <c r="GC803" s="4"/>
      <c r="GD803" s="4"/>
      <c r="GE803" s="4"/>
      <c r="GF803" s="4"/>
    </row>
    <row r="804">
      <c r="A804" s="2" t="s">
        <v>5009</v>
      </c>
      <c r="B804" s="2" t="s">
        <v>225</v>
      </c>
      <c r="C804" s="2" t="s">
        <v>196</v>
      </c>
      <c r="D804" s="2" t="s">
        <v>227</v>
      </c>
      <c r="E804" s="2" t="s">
        <v>228</v>
      </c>
      <c r="F804" s="2" t="s">
        <v>4983</v>
      </c>
      <c r="G804" s="2" t="s">
        <v>4983</v>
      </c>
      <c r="H804" s="2" t="s">
        <v>4983</v>
      </c>
      <c r="I804" s="2" t="s">
        <v>230</v>
      </c>
      <c r="J804" s="2" t="s">
        <v>220</v>
      </c>
      <c r="K804" s="2" t="s">
        <v>353</v>
      </c>
      <c r="L804" s="3">
        <v>16.5</v>
      </c>
      <c r="M804" s="3">
        <v>17.32</v>
      </c>
      <c r="N804" s="3">
        <v>32.99</v>
      </c>
      <c r="O804" s="2" t="s">
        <v>203</v>
      </c>
      <c r="P804" s="2" t="s">
        <v>204</v>
      </c>
      <c r="Q804" s="2" t="s">
        <v>205</v>
      </c>
      <c r="R804" s="2" t="s">
        <v>206</v>
      </c>
      <c r="S804" s="2" t="s">
        <v>5010</v>
      </c>
      <c r="T804" s="2" t="s">
        <v>4985</v>
      </c>
      <c r="U804" s="2" t="s">
        <v>206</v>
      </c>
      <c r="V804" s="2" t="s">
        <v>209</v>
      </c>
      <c r="W804" s="2" t="s">
        <v>210</v>
      </c>
      <c r="X804" s="2" t="s">
        <v>206</v>
      </c>
      <c r="Y804" s="2" t="s">
        <v>211</v>
      </c>
      <c r="Z804" s="4">
        <v>215</v>
      </c>
      <c r="AA804" s="4">
        <f>=ROUNDDOWN(93.4782608695652,0)</f>
      </c>
      <c r="AB804" s="5">
        <v>2.3</v>
      </c>
      <c r="AC804" s="2" t="s">
        <v>206</v>
      </c>
      <c r="AD804" s="4"/>
      <c r="AE804" s="4"/>
      <c r="AF804" s="6">
        <v>66</v>
      </c>
      <c r="AG804" s="6"/>
      <c r="AH804" s="7">
        <v>1</v>
      </c>
      <c r="AI804" s="4"/>
      <c r="AJ804" s="4">
        <f>=ROUNDDOWN({0},0)</f>
      </c>
      <c r="AK804" s="5"/>
      <c r="AL804" s="2" t="s">
        <v>206</v>
      </c>
      <c r="AM804" s="4"/>
      <c r="AN804" s="4"/>
      <c r="AO804" s="7"/>
      <c r="AP804" s="4"/>
      <c r="AQ804" s="8"/>
      <c r="AR804" s="4"/>
      <c r="AS804" s="8"/>
      <c r="AT804" s="7"/>
      <c r="AU804" s="7"/>
      <c r="AV804" s="4" t="s">
        <v>206</v>
      </c>
      <c r="AW804" s="8" t="s">
        <v>206</v>
      </c>
      <c r="AX804" s="4" t="s">
        <v>206</v>
      </c>
      <c r="AY804" s="8" t="s">
        <v>206</v>
      </c>
      <c r="AZ804" s="7" t="s">
        <v>206</v>
      </c>
      <c r="BA804" s="7" t="s">
        <v>206</v>
      </c>
      <c r="BB804" s="7"/>
      <c r="BC804" s="4" t="s">
        <v>206</v>
      </c>
      <c r="BD804" s="8" t="s">
        <v>206</v>
      </c>
      <c r="BE804" s="4" t="s">
        <v>206</v>
      </c>
      <c r="BF804" s="8" t="s">
        <v>206</v>
      </c>
      <c r="BG804" s="7" t="s">
        <v>206</v>
      </c>
      <c r="BH804" s="7" t="s">
        <v>206</v>
      </c>
      <c r="BI804" s="7"/>
      <c r="BJ804" s="4">
        <v>11</v>
      </c>
      <c r="BK804" s="8">
        <v>180.4</v>
      </c>
      <c r="BL804" s="2" t="s">
        <v>4457</v>
      </c>
      <c r="BM804" s="7"/>
      <c r="BN804" s="7"/>
      <c r="BO804" s="4"/>
      <c r="BP804" s="8"/>
      <c r="BQ804" s="4"/>
      <c r="BR804" s="8"/>
      <c r="BS804" s="7"/>
      <c r="BT804" s="7"/>
      <c r="BU804" s="2" t="s">
        <v>5011</v>
      </c>
      <c r="BV804" s="2" t="s">
        <v>206</v>
      </c>
      <c r="BW804" s="2" t="s">
        <v>206</v>
      </c>
      <c r="BX804" s="2" t="s">
        <v>214</v>
      </c>
      <c r="BY804" s="2" t="s">
        <v>215</v>
      </c>
      <c r="BZ804" s="2" t="s">
        <v>203</v>
      </c>
      <c r="CA804" s="2" t="s">
        <v>4989</v>
      </c>
      <c r="CB804" s="2" t="s">
        <v>5012</v>
      </c>
      <c r="CC804" s="2" t="s">
        <v>218</v>
      </c>
      <c r="CD804" s="2" t="s">
        <v>206</v>
      </c>
      <c r="CE804" s="4">
        <v>215</v>
      </c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  <c r="DE804" s="4"/>
      <c r="DF804" s="4"/>
      <c r="DG804" s="4"/>
      <c r="DH804" s="4"/>
      <c r="DI804" s="4"/>
      <c r="DJ804" s="4"/>
      <c r="DK804" s="4"/>
      <c r="DL804" s="4"/>
      <c r="DM804" s="4"/>
      <c r="DN804" s="4"/>
      <c r="DO804" s="4"/>
      <c r="DP804" s="4"/>
      <c r="DQ804" s="4"/>
      <c r="DR804" s="4"/>
      <c r="DS804" s="4"/>
      <c r="DT804" s="4"/>
      <c r="DU804" s="4"/>
      <c r="DV804" s="4"/>
      <c r="DW804" s="4"/>
      <c r="DX804" s="4"/>
      <c r="DY804" s="4"/>
      <c r="DZ804" s="4"/>
      <c r="EA804" s="4"/>
      <c r="EB804" s="4"/>
      <c r="EC804" s="4"/>
      <c r="ED804" s="4"/>
      <c r="EE804" s="4"/>
      <c r="EF804" s="4"/>
      <c r="EG804" s="4"/>
      <c r="EH804" s="4"/>
      <c r="EI804" s="4"/>
      <c r="EJ804" s="4"/>
      <c r="EK804" s="4"/>
      <c r="EL804" s="4"/>
      <c r="EM804" s="4"/>
      <c r="EN804" s="4"/>
      <c r="EO804" s="4"/>
      <c r="EP804" s="4"/>
      <c r="EQ804" s="4"/>
      <c r="ER804" s="4"/>
      <c r="ES804" s="4"/>
      <c r="ET804" s="4"/>
      <c r="EU804" s="4"/>
      <c r="EV804" s="4"/>
      <c r="EW804" s="4"/>
      <c r="EX804" s="4"/>
      <c r="EY804" s="4"/>
      <c r="EZ804" s="4"/>
      <c r="FA804" s="4"/>
      <c r="FB804" s="4"/>
      <c r="FC804" s="4"/>
      <c r="FD804" s="4"/>
      <c r="FE804" s="4"/>
      <c r="FF804" s="4"/>
      <c r="FG804" s="4"/>
      <c r="FH804" s="4"/>
      <c r="FI804" s="4"/>
      <c r="FJ804" s="4"/>
      <c r="FK804" s="4"/>
      <c r="FL804" s="4"/>
      <c r="FM804" s="4"/>
      <c r="FN804" s="4"/>
      <c r="FO804" s="4"/>
      <c r="FP804" s="4"/>
      <c r="FQ804" s="4"/>
      <c r="FR804" s="4"/>
      <c r="FS804" s="4"/>
      <c r="FT804" s="4"/>
      <c r="FU804" s="4"/>
      <c r="FV804" s="4"/>
      <c r="FW804" s="4"/>
      <c r="FX804" s="4"/>
      <c r="FY804" s="4"/>
      <c r="FZ804" s="4"/>
      <c r="GA804" s="4"/>
      <c r="GB804" s="4"/>
      <c r="GC804" s="4"/>
      <c r="GD804" s="4"/>
      <c r="GE804" s="4"/>
      <c r="GF804" s="4"/>
    </row>
    <row r="805">
      <c r="A805" s="2" t="s">
        <v>5013</v>
      </c>
      <c r="B805" s="2" t="s">
        <v>225</v>
      </c>
      <c r="C805" s="2" t="s">
        <v>196</v>
      </c>
      <c r="D805" s="2" t="s">
        <v>227</v>
      </c>
      <c r="E805" s="2" t="s">
        <v>228</v>
      </c>
      <c r="F805" s="2" t="s">
        <v>4983</v>
      </c>
      <c r="G805" s="2" t="s">
        <v>4983</v>
      </c>
      <c r="H805" s="2" t="s">
        <v>4983</v>
      </c>
      <c r="I805" s="2" t="s">
        <v>230</v>
      </c>
      <c r="J805" s="2" t="s">
        <v>231</v>
      </c>
      <c r="K805" s="2" t="s">
        <v>353</v>
      </c>
      <c r="L805" s="3">
        <v>21.5</v>
      </c>
      <c r="M805" s="3">
        <v>22.58</v>
      </c>
      <c r="N805" s="3">
        <v>42.99</v>
      </c>
      <c r="O805" s="2" t="s">
        <v>203</v>
      </c>
      <c r="P805" s="2" t="s">
        <v>204</v>
      </c>
      <c r="Q805" s="2" t="s">
        <v>205</v>
      </c>
      <c r="R805" s="2" t="s">
        <v>206</v>
      </c>
      <c r="S805" s="2" t="s">
        <v>5010</v>
      </c>
      <c r="T805" s="2" t="s">
        <v>4985</v>
      </c>
      <c r="U805" s="2" t="s">
        <v>206</v>
      </c>
      <c r="V805" s="2" t="s">
        <v>209</v>
      </c>
      <c r="W805" s="2" t="s">
        <v>210</v>
      </c>
      <c r="X805" s="2" t="s">
        <v>206</v>
      </c>
      <c r="Y805" s="2" t="s">
        <v>211</v>
      </c>
      <c r="Z805" s="4">
        <v>99</v>
      </c>
      <c r="AA805" s="4">
        <f>=ROUNDDOWN(11.5116279069767,0)</f>
      </c>
      <c r="AB805" s="5">
        <v>8.6</v>
      </c>
      <c r="AC805" s="2" t="s">
        <v>126</v>
      </c>
      <c r="AD805" s="4">
        <v>199</v>
      </c>
      <c r="AE805" s="4">
        <v>199</v>
      </c>
      <c r="AF805" s="6">
        <v>66</v>
      </c>
      <c r="AG805" s="6"/>
      <c r="AH805" s="7">
        <v>1</v>
      </c>
      <c r="AI805" s="4"/>
      <c r="AJ805" s="4">
        <f>=ROUNDDOWN({0},0)</f>
      </c>
      <c r="AK805" s="5"/>
      <c r="AL805" s="2" t="s">
        <v>206</v>
      </c>
      <c r="AM805" s="4"/>
      <c r="AN805" s="4"/>
      <c r="AO805" s="7"/>
      <c r="AP805" s="4"/>
      <c r="AQ805" s="8"/>
      <c r="AR805" s="4"/>
      <c r="AS805" s="8"/>
      <c r="AT805" s="7"/>
      <c r="AU805" s="7"/>
      <c r="AV805" s="4" t="s">
        <v>206</v>
      </c>
      <c r="AW805" s="8" t="s">
        <v>206</v>
      </c>
      <c r="AX805" s="4" t="s">
        <v>206</v>
      </c>
      <c r="AY805" s="8" t="s">
        <v>206</v>
      </c>
      <c r="AZ805" s="7" t="s">
        <v>206</v>
      </c>
      <c r="BA805" s="7" t="s">
        <v>206</v>
      </c>
      <c r="BB805" s="7"/>
      <c r="BC805" s="4" t="s">
        <v>206</v>
      </c>
      <c r="BD805" s="8" t="s">
        <v>206</v>
      </c>
      <c r="BE805" s="4" t="s">
        <v>206</v>
      </c>
      <c r="BF805" s="8" t="s">
        <v>206</v>
      </c>
      <c r="BG805" s="7" t="s">
        <v>206</v>
      </c>
      <c r="BH805" s="7" t="s">
        <v>206</v>
      </c>
      <c r="BI805" s="7"/>
      <c r="BJ805" s="4">
        <v>27</v>
      </c>
      <c r="BK805" s="8">
        <v>599.54</v>
      </c>
      <c r="BL805" s="2" t="s">
        <v>4992</v>
      </c>
      <c r="BM805" s="7"/>
      <c r="BN805" s="7"/>
      <c r="BO805" s="4"/>
      <c r="BP805" s="8"/>
      <c r="BQ805" s="4"/>
      <c r="BR805" s="8"/>
      <c r="BS805" s="7"/>
      <c r="BT805" s="7"/>
      <c r="BU805" s="2" t="s">
        <v>5014</v>
      </c>
      <c r="BV805" s="2" t="s">
        <v>206</v>
      </c>
      <c r="BW805" s="2" t="s">
        <v>206</v>
      </c>
      <c r="BX805" s="2" t="s">
        <v>214</v>
      </c>
      <c r="BY805" s="2" t="s">
        <v>215</v>
      </c>
      <c r="BZ805" s="2" t="s">
        <v>203</v>
      </c>
      <c r="CA805" s="2" t="s">
        <v>4989</v>
      </c>
      <c r="CB805" s="2" t="s">
        <v>5015</v>
      </c>
      <c r="CC805" s="2" t="s">
        <v>218</v>
      </c>
      <c r="CD805" s="2" t="s">
        <v>206</v>
      </c>
      <c r="CE805" s="4">
        <v>99</v>
      </c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  <c r="DE805" s="4"/>
      <c r="DF805" s="4"/>
      <c r="DG805" s="4"/>
      <c r="DH805" s="4"/>
      <c r="DI805" s="4"/>
      <c r="DJ805" s="4"/>
      <c r="DK805" s="4"/>
      <c r="DL805" s="4"/>
      <c r="DM805" s="4"/>
      <c r="DN805" s="4">
        <v>199</v>
      </c>
      <c r="DO805" s="4"/>
      <c r="DP805" s="4"/>
      <c r="DQ805" s="4"/>
      <c r="DR805" s="4"/>
      <c r="DS805" s="4"/>
      <c r="DT805" s="4"/>
      <c r="DU805" s="4"/>
      <c r="DV805" s="4"/>
      <c r="DW805" s="4"/>
      <c r="DX805" s="4"/>
      <c r="DY805" s="4"/>
      <c r="DZ805" s="4"/>
      <c r="EA805" s="4"/>
      <c r="EB805" s="4"/>
      <c r="EC805" s="4"/>
      <c r="ED805" s="4"/>
      <c r="EE805" s="4"/>
      <c r="EF805" s="4"/>
      <c r="EG805" s="4"/>
      <c r="EH805" s="4"/>
      <c r="EI805" s="4"/>
      <c r="EJ805" s="4"/>
      <c r="EK805" s="4"/>
      <c r="EL805" s="4"/>
      <c r="EM805" s="4"/>
      <c r="EN805" s="4"/>
      <c r="EO805" s="4"/>
      <c r="EP805" s="4"/>
      <c r="EQ805" s="4"/>
      <c r="ER805" s="4"/>
      <c r="ES805" s="4"/>
      <c r="ET805" s="4"/>
      <c r="EU805" s="4"/>
      <c r="EV805" s="4"/>
      <c r="EW805" s="4"/>
      <c r="EX805" s="4"/>
      <c r="EY805" s="4"/>
      <c r="EZ805" s="4"/>
      <c r="FA805" s="4"/>
      <c r="FB805" s="4"/>
      <c r="FC805" s="4"/>
      <c r="FD805" s="4"/>
      <c r="FE805" s="4"/>
      <c r="FF805" s="4"/>
      <c r="FG805" s="4"/>
      <c r="FH805" s="4"/>
      <c r="FI805" s="4"/>
      <c r="FJ805" s="4"/>
      <c r="FK805" s="4"/>
      <c r="FL805" s="4"/>
      <c r="FM805" s="4"/>
      <c r="FN805" s="4"/>
      <c r="FO805" s="4"/>
      <c r="FP805" s="4"/>
      <c r="FQ805" s="4"/>
      <c r="FR805" s="4"/>
      <c r="FS805" s="4"/>
      <c r="FT805" s="4"/>
      <c r="FU805" s="4"/>
      <c r="FV805" s="4"/>
      <c r="FW805" s="4"/>
      <c r="FX805" s="4"/>
      <c r="FY805" s="4"/>
      <c r="FZ805" s="4"/>
      <c r="GA805" s="4"/>
      <c r="GB805" s="4"/>
      <c r="GC805" s="4"/>
      <c r="GD805" s="4"/>
      <c r="GE805" s="4"/>
      <c r="GF805" s="4"/>
    </row>
    <row r="806">
      <c r="A806" s="2" t="s">
        <v>5016</v>
      </c>
      <c r="B806" s="2" t="s">
        <v>225</v>
      </c>
      <c r="C806" s="2" t="s">
        <v>196</v>
      </c>
      <c r="D806" s="2" t="s">
        <v>227</v>
      </c>
      <c r="E806" s="2" t="s">
        <v>228</v>
      </c>
      <c r="F806" s="2" t="s">
        <v>4983</v>
      </c>
      <c r="G806" s="2" t="s">
        <v>4983</v>
      </c>
      <c r="H806" s="2" t="s">
        <v>4983</v>
      </c>
      <c r="I806" s="2" t="s">
        <v>230</v>
      </c>
      <c r="J806" s="2" t="s">
        <v>201</v>
      </c>
      <c r="K806" s="2" t="s">
        <v>1508</v>
      </c>
      <c r="L806" s="3">
        <v>16.5</v>
      </c>
      <c r="M806" s="3">
        <v>17.32</v>
      </c>
      <c r="N806" s="3">
        <v>32.99</v>
      </c>
      <c r="O806" s="2" t="s">
        <v>203</v>
      </c>
      <c r="P806" s="2" t="s">
        <v>204</v>
      </c>
      <c r="Q806" s="2" t="s">
        <v>205</v>
      </c>
      <c r="R806" s="2" t="s">
        <v>206</v>
      </c>
      <c r="S806" s="2" t="s">
        <v>5017</v>
      </c>
      <c r="T806" s="2" t="s">
        <v>4985</v>
      </c>
      <c r="U806" s="2" t="s">
        <v>556</v>
      </c>
      <c r="V806" s="2" t="s">
        <v>209</v>
      </c>
      <c r="W806" s="2" t="s">
        <v>210</v>
      </c>
      <c r="X806" s="2" t="s">
        <v>439</v>
      </c>
      <c r="Y806" s="2" t="s">
        <v>5018</v>
      </c>
      <c r="Z806" s="4">
        <v>116</v>
      </c>
      <c r="AA806" s="4">
        <f>=ROUNDDOWN(46.4,0)</f>
      </c>
      <c r="AB806" s="5">
        <v>2.5</v>
      </c>
      <c r="AC806" s="2" t="s">
        <v>126</v>
      </c>
      <c r="AD806" s="4">
        <v>30</v>
      </c>
      <c r="AE806" s="4">
        <v>30</v>
      </c>
      <c r="AF806" s="6">
        <v>66</v>
      </c>
      <c r="AG806" s="6"/>
      <c r="AH806" s="7">
        <v>1</v>
      </c>
      <c r="AI806" s="4"/>
      <c r="AJ806" s="4">
        <f>=ROUNDDOWN({0},0)</f>
      </c>
      <c r="AK806" s="5"/>
      <c r="AL806" s="2" t="s">
        <v>206</v>
      </c>
      <c r="AM806" s="4"/>
      <c r="AN806" s="4"/>
      <c r="AO806" s="7"/>
      <c r="AP806" s="4"/>
      <c r="AQ806" s="8"/>
      <c r="AR806" s="4"/>
      <c r="AS806" s="8"/>
      <c r="AT806" s="7"/>
      <c r="AU806" s="7"/>
      <c r="AV806" s="4" t="s">
        <v>206</v>
      </c>
      <c r="AW806" s="8" t="s">
        <v>206</v>
      </c>
      <c r="AX806" s="4" t="s">
        <v>206</v>
      </c>
      <c r="AY806" s="8" t="s">
        <v>206</v>
      </c>
      <c r="AZ806" s="7" t="s">
        <v>206</v>
      </c>
      <c r="BA806" s="7" t="s">
        <v>206</v>
      </c>
      <c r="BB806" s="7"/>
      <c r="BC806" s="4" t="s">
        <v>206</v>
      </c>
      <c r="BD806" s="8" t="s">
        <v>206</v>
      </c>
      <c r="BE806" s="4" t="s">
        <v>206</v>
      </c>
      <c r="BF806" s="8" t="s">
        <v>206</v>
      </c>
      <c r="BG806" s="7" t="s">
        <v>206</v>
      </c>
      <c r="BH806" s="7" t="s">
        <v>206</v>
      </c>
      <c r="BI806" s="7"/>
      <c r="BJ806" s="4">
        <v>9</v>
      </c>
      <c r="BK806" s="8">
        <v>144.46</v>
      </c>
      <c r="BL806" s="2" t="s">
        <v>4823</v>
      </c>
      <c r="BM806" s="7"/>
      <c r="BN806" s="7"/>
      <c r="BO806" s="4"/>
      <c r="BP806" s="8"/>
      <c r="BQ806" s="4"/>
      <c r="BR806" s="8"/>
      <c r="BS806" s="7"/>
      <c r="BT806" s="7"/>
      <c r="BU806" s="2" t="s">
        <v>5019</v>
      </c>
      <c r="BV806" s="2" t="s">
        <v>206</v>
      </c>
      <c r="BW806" s="2" t="s">
        <v>206</v>
      </c>
      <c r="BX806" s="2" t="s">
        <v>214</v>
      </c>
      <c r="BY806" s="2" t="s">
        <v>215</v>
      </c>
      <c r="BZ806" s="2" t="s">
        <v>203</v>
      </c>
      <c r="CA806" s="2" t="s">
        <v>5018</v>
      </c>
      <c r="CB806" s="2" t="s">
        <v>5020</v>
      </c>
      <c r="CC806" s="2" t="s">
        <v>218</v>
      </c>
      <c r="CD806" s="2" t="s">
        <v>206</v>
      </c>
      <c r="CE806" s="4">
        <v>116</v>
      </c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  <c r="DE806" s="4"/>
      <c r="DF806" s="4"/>
      <c r="DG806" s="4"/>
      <c r="DH806" s="4"/>
      <c r="DI806" s="4"/>
      <c r="DJ806" s="4"/>
      <c r="DK806" s="4"/>
      <c r="DL806" s="4"/>
      <c r="DM806" s="4"/>
      <c r="DN806" s="4">
        <v>30</v>
      </c>
      <c r="DO806" s="4"/>
      <c r="DP806" s="4"/>
      <c r="DQ806" s="4"/>
      <c r="DR806" s="4"/>
      <c r="DS806" s="4"/>
      <c r="DT806" s="4"/>
      <c r="DU806" s="4"/>
      <c r="DV806" s="4"/>
      <c r="DW806" s="4"/>
      <c r="DX806" s="4"/>
      <c r="DY806" s="4"/>
      <c r="DZ806" s="4"/>
      <c r="EA806" s="4"/>
      <c r="EB806" s="4"/>
      <c r="EC806" s="4"/>
      <c r="ED806" s="4"/>
      <c r="EE806" s="4"/>
      <c r="EF806" s="4"/>
      <c r="EG806" s="4"/>
      <c r="EH806" s="4"/>
      <c r="EI806" s="4"/>
      <c r="EJ806" s="4"/>
      <c r="EK806" s="4"/>
      <c r="EL806" s="4"/>
      <c r="EM806" s="4"/>
      <c r="EN806" s="4"/>
      <c r="EO806" s="4"/>
      <c r="EP806" s="4"/>
      <c r="EQ806" s="4"/>
      <c r="ER806" s="4"/>
      <c r="ES806" s="4"/>
      <c r="ET806" s="4"/>
      <c r="EU806" s="4"/>
      <c r="EV806" s="4"/>
      <c r="EW806" s="4"/>
      <c r="EX806" s="4"/>
      <c r="EY806" s="4"/>
      <c r="EZ806" s="4"/>
      <c r="FA806" s="4"/>
      <c r="FB806" s="4"/>
      <c r="FC806" s="4"/>
      <c r="FD806" s="4"/>
      <c r="FE806" s="4"/>
      <c r="FF806" s="4"/>
      <c r="FG806" s="4"/>
      <c r="FH806" s="4"/>
      <c r="FI806" s="4"/>
      <c r="FJ806" s="4"/>
      <c r="FK806" s="4"/>
      <c r="FL806" s="4"/>
      <c r="FM806" s="4"/>
      <c r="FN806" s="4"/>
      <c r="FO806" s="4"/>
      <c r="FP806" s="4"/>
      <c r="FQ806" s="4"/>
      <c r="FR806" s="4"/>
      <c r="FS806" s="4"/>
      <c r="FT806" s="4"/>
      <c r="FU806" s="4"/>
      <c r="FV806" s="4"/>
      <c r="FW806" s="4"/>
      <c r="FX806" s="4"/>
      <c r="FY806" s="4"/>
      <c r="FZ806" s="4"/>
      <c r="GA806" s="4"/>
      <c r="GB806" s="4"/>
      <c r="GC806" s="4"/>
      <c r="GD806" s="4"/>
      <c r="GE806" s="4"/>
      <c r="GF806" s="4"/>
    </row>
    <row r="807">
      <c r="A807" s="2" t="s">
        <v>5021</v>
      </c>
      <c r="B807" s="2" t="s">
        <v>225</v>
      </c>
      <c r="C807" s="2" t="s">
        <v>196</v>
      </c>
      <c r="D807" s="2" t="s">
        <v>227</v>
      </c>
      <c r="E807" s="2" t="s">
        <v>228</v>
      </c>
      <c r="F807" s="2" t="s">
        <v>4983</v>
      </c>
      <c r="G807" s="2" t="s">
        <v>4983</v>
      </c>
      <c r="H807" s="2" t="s">
        <v>4983</v>
      </c>
      <c r="I807" s="2" t="s">
        <v>230</v>
      </c>
      <c r="J807" s="2" t="s">
        <v>220</v>
      </c>
      <c r="K807" s="2" t="s">
        <v>1508</v>
      </c>
      <c r="L807" s="3">
        <v>16.5</v>
      </c>
      <c r="M807" s="3">
        <v>17.32</v>
      </c>
      <c r="N807" s="3">
        <v>32.99</v>
      </c>
      <c r="O807" s="2" t="s">
        <v>203</v>
      </c>
      <c r="P807" s="2" t="s">
        <v>204</v>
      </c>
      <c r="Q807" s="2" t="s">
        <v>205</v>
      </c>
      <c r="R807" s="2" t="s">
        <v>206</v>
      </c>
      <c r="S807" s="2" t="s">
        <v>5017</v>
      </c>
      <c r="T807" s="2" t="s">
        <v>4985</v>
      </c>
      <c r="U807" s="2" t="s">
        <v>235</v>
      </c>
      <c r="V807" s="2" t="s">
        <v>209</v>
      </c>
      <c r="W807" s="2" t="s">
        <v>210</v>
      </c>
      <c r="X807" s="2" t="s">
        <v>439</v>
      </c>
      <c r="Y807" s="2" t="s">
        <v>5018</v>
      </c>
      <c r="Z807" s="4">
        <v>123</v>
      </c>
      <c r="AA807" s="4">
        <f>=ROUNDDOWN(26.7391304347826,0)</f>
      </c>
      <c r="AB807" s="5">
        <v>4.6</v>
      </c>
      <c r="AC807" s="2" t="s">
        <v>126</v>
      </c>
      <c r="AD807" s="4">
        <v>70</v>
      </c>
      <c r="AE807" s="4">
        <v>70</v>
      </c>
      <c r="AF807" s="6">
        <v>66</v>
      </c>
      <c r="AG807" s="6"/>
      <c r="AH807" s="7">
        <v>1</v>
      </c>
      <c r="AI807" s="4"/>
      <c r="AJ807" s="4">
        <f>=ROUNDDOWN({0},0)</f>
      </c>
      <c r="AK807" s="5"/>
      <c r="AL807" s="2" t="s">
        <v>206</v>
      </c>
      <c r="AM807" s="4"/>
      <c r="AN807" s="4"/>
      <c r="AO807" s="7"/>
      <c r="AP807" s="4"/>
      <c r="AQ807" s="8"/>
      <c r="AR807" s="4"/>
      <c r="AS807" s="8"/>
      <c r="AT807" s="7"/>
      <c r="AU807" s="7"/>
      <c r="AV807" s="4" t="s">
        <v>206</v>
      </c>
      <c r="AW807" s="8" t="s">
        <v>206</v>
      </c>
      <c r="AX807" s="4" t="s">
        <v>206</v>
      </c>
      <c r="AY807" s="8" t="s">
        <v>206</v>
      </c>
      <c r="AZ807" s="7" t="s">
        <v>206</v>
      </c>
      <c r="BA807" s="7" t="s">
        <v>206</v>
      </c>
      <c r="BB807" s="7"/>
      <c r="BC807" s="4" t="s">
        <v>206</v>
      </c>
      <c r="BD807" s="8" t="s">
        <v>206</v>
      </c>
      <c r="BE807" s="4" t="s">
        <v>206</v>
      </c>
      <c r="BF807" s="8" t="s">
        <v>206</v>
      </c>
      <c r="BG807" s="7" t="s">
        <v>206</v>
      </c>
      <c r="BH807" s="7" t="s">
        <v>206</v>
      </c>
      <c r="BI807" s="7"/>
      <c r="BJ807" s="4">
        <v>17</v>
      </c>
      <c r="BK807" s="8">
        <v>279.46</v>
      </c>
      <c r="BL807" s="2" t="s">
        <v>5022</v>
      </c>
      <c r="BM807" s="7"/>
      <c r="BN807" s="7"/>
      <c r="BO807" s="4"/>
      <c r="BP807" s="8"/>
      <c r="BQ807" s="4"/>
      <c r="BR807" s="8"/>
      <c r="BS807" s="7"/>
      <c r="BT807" s="7"/>
      <c r="BU807" s="2" t="s">
        <v>5023</v>
      </c>
      <c r="BV807" s="2" t="s">
        <v>206</v>
      </c>
      <c r="BW807" s="2" t="s">
        <v>206</v>
      </c>
      <c r="BX807" s="2" t="s">
        <v>214</v>
      </c>
      <c r="BY807" s="2" t="s">
        <v>215</v>
      </c>
      <c r="BZ807" s="2" t="s">
        <v>203</v>
      </c>
      <c r="CA807" s="2" t="s">
        <v>5018</v>
      </c>
      <c r="CB807" s="2" t="s">
        <v>5024</v>
      </c>
      <c r="CC807" s="2" t="s">
        <v>218</v>
      </c>
      <c r="CD807" s="2" t="s">
        <v>206</v>
      </c>
      <c r="CE807" s="4">
        <v>123</v>
      </c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  <c r="DE807" s="4"/>
      <c r="DF807" s="4"/>
      <c r="DG807" s="4"/>
      <c r="DH807" s="4"/>
      <c r="DI807" s="4"/>
      <c r="DJ807" s="4"/>
      <c r="DK807" s="4"/>
      <c r="DL807" s="4"/>
      <c r="DM807" s="4"/>
      <c r="DN807" s="4">
        <v>70</v>
      </c>
      <c r="DO807" s="4"/>
      <c r="DP807" s="4"/>
      <c r="DQ807" s="4"/>
      <c r="DR807" s="4"/>
      <c r="DS807" s="4"/>
      <c r="DT807" s="4"/>
      <c r="DU807" s="4"/>
      <c r="DV807" s="4"/>
      <c r="DW807" s="4"/>
      <c r="DX807" s="4"/>
      <c r="DY807" s="4"/>
      <c r="DZ807" s="4"/>
      <c r="EA807" s="4"/>
      <c r="EB807" s="4"/>
      <c r="EC807" s="4"/>
      <c r="ED807" s="4"/>
      <c r="EE807" s="4"/>
      <c r="EF807" s="4"/>
      <c r="EG807" s="4"/>
      <c r="EH807" s="4"/>
      <c r="EI807" s="4"/>
      <c r="EJ807" s="4"/>
      <c r="EK807" s="4"/>
      <c r="EL807" s="4"/>
      <c r="EM807" s="4"/>
      <c r="EN807" s="4"/>
      <c r="EO807" s="4"/>
      <c r="EP807" s="4"/>
      <c r="EQ807" s="4"/>
      <c r="ER807" s="4"/>
      <c r="ES807" s="4"/>
      <c r="ET807" s="4"/>
      <c r="EU807" s="4"/>
      <c r="EV807" s="4"/>
      <c r="EW807" s="4"/>
      <c r="EX807" s="4"/>
      <c r="EY807" s="4"/>
      <c r="EZ807" s="4"/>
      <c r="FA807" s="4"/>
      <c r="FB807" s="4"/>
      <c r="FC807" s="4"/>
      <c r="FD807" s="4"/>
      <c r="FE807" s="4"/>
      <c r="FF807" s="4"/>
      <c r="FG807" s="4"/>
      <c r="FH807" s="4"/>
      <c r="FI807" s="4"/>
      <c r="FJ807" s="4"/>
      <c r="FK807" s="4"/>
      <c r="FL807" s="4"/>
      <c r="FM807" s="4"/>
      <c r="FN807" s="4"/>
      <c r="FO807" s="4"/>
      <c r="FP807" s="4"/>
      <c r="FQ807" s="4"/>
      <c r="FR807" s="4"/>
      <c r="FS807" s="4"/>
      <c r="FT807" s="4"/>
      <c r="FU807" s="4"/>
      <c r="FV807" s="4"/>
      <c r="FW807" s="4"/>
      <c r="FX807" s="4"/>
      <c r="FY807" s="4"/>
      <c r="FZ807" s="4"/>
      <c r="GA807" s="4"/>
      <c r="GB807" s="4"/>
      <c r="GC807" s="4"/>
      <c r="GD807" s="4"/>
      <c r="GE807" s="4"/>
      <c r="GF807" s="4"/>
    </row>
    <row r="808">
      <c r="A808" s="2" t="s">
        <v>5025</v>
      </c>
      <c r="B808" s="2" t="s">
        <v>225</v>
      </c>
      <c r="C808" s="2" t="s">
        <v>196</v>
      </c>
      <c r="D808" s="2" t="s">
        <v>227</v>
      </c>
      <c r="E808" s="2" t="s">
        <v>228</v>
      </c>
      <c r="F808" s="2" t="s">
        <v>4983</v>
      </c>
      <c r="G808" s="2" t="s">
        <v>4983</v>
      </c>
      <c r="H808" s="2" t="s">
        <v>4983</v>
      </c>
      <c r="I808" s="2" t="s">
        <v>230</v>
      </c>
      <c r="J808" s="2" t="s">
        <v>201</v>
      </c>
      <c r="K808" s="2" t="s">
        <v>202</v>
      </c>
      <c r="L808" s="3">
        <v>16.5</v>
      </c>
      <c r="M808" s="3">
        <v>17.32</v>
      </c>
      <c r="N808" s="3">
        <v>32.99</v>
      </c>
      <c r="O808" s="2" t="s">
        <v>203</v>
      </c>
      <c r="P808" s="2" t="s">
        <v>204</v>
      </c>
      <c r="Q808" s="2" t="s">
        <v>205</v>
      </c>
      <c r="R808" s="2" t="s">
        <v>206</v>
      </c>
      <c r="S808" s="2" t="s">
        <v>5026</v>
      </c>
      <c r="T808" s="2" t="s">
        <v>4985</v>
      </c>
      <c r="U808" s="2" t="s">
        <v>206</v>
      </c>
      <c r="V808" s="2" t="s">
        <v>209</v>
      </c>
      <c r="W808" s="2" t="s">
        <v>210</v>
      </c>
      <c r="X808" s="2" t="s">
        <v>206</v>
      </c>
      <c r="Y808" s="2" t="s">
        <v>4986</v>
      </c>
      <c r="Z808" s="4">
        <v>185</v>
      </c>
      <c r="AA808" s="4">
        <f>=ROUNDDOWN(68.5185185185185,0)</f>
      </c>
      <c r="AB808" s="5">
        <v>2.7</v>
      </c>
      <c r="AC808" s="2" t="s">
        <v>126</v>
      </c>
      <c r="AD808" s="4">
        <v>20</v>
      </c>
      <c r="AE808" s="4">
        <v>20</v>
      </c>
      <c r="AF808" s="6">
        <v>66</v>
      </c>
      <c r="AG808" s="6"/>
      <c r="AH808" s="7">
        <v>1</v>
      </c>
      <c r="AI808" s="4"/>
      <c r="AJ808" s="4">
        <f>=ROUNDDOWN({0},0)</f>
      </c>
      <c r="AK808" s="5"/>
      <c r="AL808" s="2" t="s">
        <v>206</v>
      </c>
      <c r="AM808" s="4"/>
      <c r="AN808" s="4"/>
      <c r="AO808" s="7"/>
      <c r="AP808" s="4"/>
      <c r="AQ808" s="8"/>
      <c r="AR808" s="4"/>
      <c r="AS808" s="8"/>
      <c r="AT808" s="7"/>
      <c r="AU808" s="7"/>
      <c r="AV808" s="4" t="s">
        <v>206</v>
      </c>
      <c r="AW808" s="8" t="s">
        <v>206</v>
      </c>
      <c r="AX808" s="4" t="s">
        <v>206</v>
      </c>
      <c r="AY808" s="8" t="s">
        <v>206</v>
      </c>
      <c r="AZ808" s="7" t="s">
        <v>206</v>
      </c>
      <c r="BA808" s="7" t="s">
        <v>206</v>
      </c>
      <c r="BB808" s="7"/>
      <c r="BC808" s="4" t="s">
        <v>206</v>
      </c>
      <c r="BD808" s="8" t="s">
        <v>206</v>
      </c>
      <c r="BE808" s="4" t="s">
        <v>206</v>
      </c>
      <c r="BF808" s="8" t="s">
        <v>206</v>
      </c>
      <c r="BG808" s="7" t="s">
        <v>206</v>
      </c>
      <c r="BH808" s="7" t="s">
        <v>206</v>
      </c>
      <c r="BI808" s="7"/>
      <c r="BJ808" s="4">
        <v>4</v>
      </c>
      <c r="BK808" s="8">
        <v>69.26</v>
      </c>
      <c r="BL808" s="2" t="s">
        <v>380</v>
      </c>
      <c r="BM808" s="7"/>
      <c r="BN808" s="7"/>
      <c r="BO808" s="4"/>
      <c r="BP808" s="8"/>
      <c r="BQ808" s="4"/>
      <c r="BR808" s="8"/>
      <c r="BS808" s="7"/>
      <c r="BT808" s="7"/>
      <c r="BU808" s="2" t="s">
        <v>5027</v>
      </c>
      <c r="BV808" s="2" t="s">
        <v>206</v>
      </c>
      <c r="BW808" s="2" t="s">
        <v>206</v>
      </c>
      <c r="BX808" s="2" t="s">
        <v>214</v>
      </c>
      <c r="BY808" s="2" t="s">
        <v>215</v>
      </c>
      <c r="BZ808" s="2" t="s">
        <v>203</v>
      </c>
      <c r="CA808" s="2" t="s">
        <v>4989</v>
      </c>
      <c r="CB808" s="2" t="s">
        <v>2083</v>
      </c>
      <c r="CC808" s="2" t="s">
        <v>218</v>
      </c>
      <c r="CD808" s="2" t="s">
        <v>206</v>
      </c>
      <c r="CE808" s="4">
        <v>185</v>
      </c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  <c r="DE808" s="4"/>
      <c r="DF808" s="4"/>
      <c r="DG808" s="4"/>
      <c r="DH808" s="4"/>
      <c r="DI808" s="4"/>
      <c r="DJ808" s="4"/>
      <c r="DK808" s="4"/>
      <c r="DL808" s="4"/>
      <c r="DM808" s="4"/>
      <c r="DN808" s="4">
        <v>20</v>
      </c>
      <c r="DO808" s="4"/>
      <c r="DP808" s="4"/>
      <c r="DQ808" s="4"/>
      <c r="DR808" s="4"/>
      <c r="DS808" s="4"/>
      <c r="DT808" s="4"/>
      <c r="DU808" s="4"/>
      <c r="DV808" s="4"/>
      <c r="DW808" s="4"/>
      <c r="DX808" s="4"/>
      <c r="DY808" s="4"/>
      <c r="DZ808" s="4"/>
      <c r="EA808" s="4"/>
      <c r="EB808" s="4"/>
      <c r="EC808" s="4"/>
      <c r="ED808" s="4"/>
      <c r="EE808" s="4"/>
      <c r="EF808" s="4"/>
      <c r="EG808" s="4"/>
      <c r="EH808" s="4"/>
      <c r="EI808" s="4"/>
      <c r="EJ808" s="4"/>
      <c r="EK808" s="4"/>
      <c r="EL808" s="4"/>
      <c r="EM808" s="4"/>
      <c r="EN808" s="4"/>
      <c r="EO808" s="4"/>
      <c r="EP808" s="4"/>
      <c r="EQ808" s="4"/>
      <c r="ER808" s="4"/>
      <c r="ES808" s="4"/>
      <c r="ET808" s="4"/>
      <c r="EU808" s="4"/>
      <c r="EV808" s="4"/>
      <c r="EW808" s="4"/>
      <c r="EX808" s="4"/>
      <c r="EY808" s="4"/>
      <c r="EZ808" s="4"/>
      <c r="FA808" s="4"/>
      <c r="FB808" s="4"/>
      <c r="FC808" s="4"/>
      <c r="FD808" s="4"/>
      <c r="FE808" s="4"/>
      <c r="FF808" s="4"/>
      <c r="FG808" s="4"/>
      <c r="FH808" s="4"/>
      <c r="FI808" s="4"/>
      <c r="FJ808" s="4"/>
      <c r="FK808" s="4"/>
      <c r="FL808" s="4"/>
      <c r="FM808" s="4"/>
      <c r="FN808" s="4"/>
      <c r="FO808" s="4"/>
      <c r="FP808" s="4"/>
      <c r="FQ808" s="4"/>
      <c r="FR808" s="4"/>
      <c r="FS808" s="4"/>
      <c r="FT808" s="4"/>
      <c r="FU808" s="4"/>
      <c r="FV808" s="4"/>
      <c r="FW808" s="4"/>
      <c r="FX808" s="4"/>
      <c r="FY808" s="4"/>
      <c r="FZ808" s="4"/>
      <c r="GA808" s="4"/>
      <c r="GB808" s="4"/>
      <c r="GC808" s="4"/>
      <c r="GD808" s="4"/>
      <c r="GE808" s="4"/>
      <c r="GF808" s="4"/>
    </row>
    <row r="809">
      <c r="A809" s="2" t="s">
        <v>5028</v>
      </c>
      <c r="B809" s="2" t="s">
        <v>225</v>
      </c>
      <c r="C809" s="2" t="s">
        <v>196</v>
      </c>
      <c r="D809" s="2" t="s">
        <v>227</v>
      </c>
      <c r="E809" s="2" t="s">
        <v>228</v>
      </c>
      <c r="F809" s="2" t="s">
        <v>4983</v>
      </c>
      <c r="G809" s="2" t="s">
        <v>4983</v>
      </c>
      <c r="H809" s="2" t="s">
        <v>4983</v>
      </c>
      <c r="I809" s="2" t="s">
        <v>230</v>
      </c>
      <c r="J809" s="2" t="s">
        <v>282</v>
      </c>
      <c r="K809" s="2" t="s">
        <v>202</v>
      </c>
      <c r="L809" s="3">
        <v>19</v>
      </c>
      <c r="M809" s="3">
        <v>19.95</v>
      </c>
      <c r="N809" s="3">
        <v>37.99</v>
      </c>
      <c r="O809" s="2" t="s">
        <v>203</v>
      </c>
      <c r="P809" s="2" t="s">
        <v>204</v>
      </c>
      <c r="Q809" s="2" t="s">
        <v>205</v>
      </c>
      <c r="R809" s="2" t="s">
        <v>206</v>
      </c>
      <c r="S809" s="2" t="s">
        <v>5026</v>
      </c>
      <c r="T809" s="2" t="s">
        <v>4985</v>
      </c>
      <c r="U809" s="2" t="s">
        <v>206</v>
      </c>
      <c r="V809" s="2" t="s">
        <v>209</v>
      </c>
      <c r="W809" s="2" t="s">
        <v>210</v>
      </c>
      <c r="X809" s="2" t="s">
        <v>206</v>
      </c>
      <c r="Y809" s="2" t="s">
        <v>4986</v>
      </c>
      <c r="Z809" s="4">
        <v>391</v>
      </c>
      <c r="AA809" s="4">
        <f>=ROUNDDOWN(32.5833333333333,0)</f>
      </c>
      <c r="AB809" s="5">
        <v>12</v>
      </c>
      <c r="AC809" s="2" t="s">
        <v>126</v>
      </c>
      <c r="AD809" s="4">
        <v>160</v>
      </c>
      <c r="AE809" s="4">
        <v>160</v>
      </c>
      <c r="AF809" s="6">
        <v>66</v>
      </c>
      <c r="AG809" s="6"/>
      <c r="AH809" s="7">
        <v>1</v>
      </c>
      <c r="AI809" s="4"/>
      <c r="AJ809" s="4">
        <f>=ROUNDDOWN({0},0)</f>
      </c>
      <c r="AK809" s="5"/>
      <c r="AL809" s="2" t="s">
        <v>206</v>
      </c>
      <c r="AM809" s="4"/>
      <c r="AN809" s="4"/>
      <c r="AO809" s="7"/>
      <c r="AP809" s="4"/>
      <c r="AQ809" s="8"/>
      <c r="AR809" s="4"/>
      <c r="AS809" s="8"/>
      <c r="AT809" s="7"/>
      <c r="AU809" s="7"/>
      <c r="AV809" s="4" t="s">
        <v>206</v>
      </c>
      <c r="AW809" s="8" t="s">
        <v>206</v>
      </c>
      <c r="AX809" s="4" t="s">
        <v>206</v>
      </c>
      <c r="AY809" s="8" t="s">
        <v>206</v>
      </c>
      <c r="AZ809" s="7" t="s">
        <v>206</v>
      </c>
      <c r="BA809" s="7" t="s">
        <v>206</v>
      </c>
      <c r="BB809" s="7"/>
      <c r="BC809" s="4" t="s">
        <v>206</v>
      </c>
      <c r="BD809" s="8" t="s">
        <v>206</v>
      </c>
      <c r="BE809" s="4" t="s">
        <v>206</v>
      </c>
      <c r="BF809" s="8" t="s">
        <v>206</v>
      </c>
      <c r="BG809" s="7" t="s">
        <v>206</v>
      </c>
      <c r="BH809" s="7" t="s">
        <v>206</v>
      </c>
      <c r="BI809" s="7"/>
      <c r="BJ809" s="4">
        <v>37</v>
      </c>
      <c r="BK809" s="8">
        <v>774.61</v>
      </c>
      <c r="BL809" s="2" t="s">
        <v>5029</v>
      </c>
      <c r="BM809" s="7"/>
      <c r="BN809" s="7"/>
      <c r="BO809" s="4"/>
      <c r="BP809" s="8"/>
      <c r="BQ809" s="4"/>
      <c r="BR809" s="8"/>
      <c r="BS809" s="7"/>
      <c r="BT809" s="7"/>
      <c r="BU809" s="2" t="s">
        <v>5030</v>
      </c>
      <c r="BV809" s="2" t="s">
        <v>206</v>
      </c>
      <c r="BW809" s="2" t="s">
        <v>206</v>
      </c>
      <c r="BX809" s="2" t="s">
        <v>214</v>
      </c>
      <c r="BY809" s="2" t="s">
        <v>215</v>
      </c>
      <c r="BZ809" s="2" t="s">
        <v>203</v>
      </c>
      <c r="CA809" s="2" t="s">
        <v>4989</v>
      </c>
      <c r="CB809" s="2" t="s">
        <v>5031</v>
      </c>
      <c r="CC809" s="2" t="s">
        <v>218</v>
      </c>
      <c r="CD809" s="2" t="s">
        <v>206</v>
      </c>
      <c r="CE809" s="4">
        <v>391</v>
      </c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  <c r="DE809" s="4"/>
      <c r="DF809" s="4"/>
      <c r="DG809" s="4"/>
      <c r="DH809" s="4"/>
      <c r="DI809" s="4"/>
      <c r="DJ809" s="4"/>
      <c r="DK809" s="4"/>
      <c r="DL809" s="4"/>
      <c r="DM809" s="4"/>
      <c r="DN809" s="4">
        <v>160</v>
      </c>
      <c r="DO809" s="4"/>
      <c r="DP809" s="4"/>
      <c r="DQ809" s="4"/>
      <c r="DR809" s="4"/>
      <c r="DS809" s="4"/>
      <c r="DT809" s="4"/>
      <c r="DU809" s="4"/>
      <c r="DV809" s="4"/>
      <c r="DW809" s="4"/>
      <c r="DX809" s="4"/>
      <c r="DY809" s="4"/>
      <c r="DZ809" s="4"/>
      <c r="EA809" s="4"/>
      <c r="EB809" s="4"/>
      <c r="EC809" s="4"/>
      <c r="ED809" s="4"/>
      <c r="EE809" s="4"/>
      <c r="EF809" s="4"/>
      <c r="EG809" s="4"/>
      <c r="EH809" s="4"/>
      <c r="EI809" s="4"/>
      <c r="EJ809" s="4"/>
      <c r="EK809" s="4"/>
      <c r="EL809" s="4"/>
      <c r="EM809" s="4"/>
      <c r="EN809" s="4"/>
      <c r="EO809" s="4"/>
      <c r="EP809" s="4"/>
      <c r="EQ809" s="4"/>
      <c r="ER809" s="4"/>
      <c r="ES809" s="4"/>
      <c r="ET809" s="4"/>
      <c r="EU809" s="4"/>
      <c r="EV809" s="4"/>
      <c r="EW809" s="4"/>
      <c r="EX809" s="4"/>
      <c r="EY809" s="4"/>
      <c r="EZ809" s="4"/>
      <c r="FA809" s="4"/>
      <c r="FB809" s="4"/>
      <c r="FC809" s="4"/>
      <c r="FD809" s="4"/>
      <c r="FE809" s="4"/>
      <c r="FF809" s="4"/>
      <c r="FG809" s="4"/>
      <c r="FH809" s="4"/>
      <c r="FI809" s="4"/>
      <c r="FJ809" s="4"/>
      <c r="FK809" s="4"/>
      <c r="FL809" s="4"/>
      <c r="FM809" s="4"/>
      <c r="FN809" s="4"/>
      <c r="FO809" s="4"/>
      <c r="FP809" s="4"/>
      <c r="FQ809" s="4"/>
      <c r="FR809" s="4"/>
      <c r="FS809" s="4"/>
      <c r="FT809" s="4"/>
      <c r="FU809" s="4"/>
      <c r="FV809" s="4"/>
      <c r="FW809" s="4"/>
      <c r="FX809" s="4"/>
      <c r="FY809" s="4"/>
      <c r="FZ809" s="4"/>
      <c r="GA809" s="4"/>
      <c r="GB809" s="4"/>
      <c r="GC809" s="4"/>
      <c r="GD809" s="4"/>
      <c r="GE809" s="4"/>
      <c r="GF809" s="4"/>
    </row>
    <row r="810">
      <c r="A810" s="2" t="s">
        <v>5032</v>
      </c>
      <c r="B810" s="2" t="s">
        <v>225</v>
      </c>
      <c r="C810" s="2" t="s">
        <v>1948</v>
      </c>
      <c r="D810" s="2" t="s">
        <v>227</v>
      </c>
      <c r="E810" s="2" t="s">
        <v>228</v>
      </c>
      <c r="F810" s="2" t="s">
        <v>5033</v>
      </c>
      <c r="G810" s="2" t="s">
        <v>5033</v>
      </c>
      <c r="H810" s="2" t="s">
        <v>5033</v>
      </c>
      <c r="I810" s="2" t="s">
        <v>5034</v>
      </c>
      <c r="J810" s="2" t="s">
        <v>201</v>
      </c>
      <c r="K810" s="2" t="s">
        <v>262</v>
      </c>
      <c r="L810" s="3">
        <v>19.78</v>
      </c>
      <c r="M810" s="3">
        <v>20.77</v>
      </c>
      <c r="N810" s="3">
        <v>42.99</v>
      </c>
      <c r="O810" s="2" t="s">
        <v>203</v>
      </c>
      <c r="P810" s="2" t="s">
        <v>492</v>
      </c>
      <c r="Q810" s="2" t="s">
        <v>205</v>
      </c>
      <c r="R810" s="2" t="s">
        <v>206</v>
      </c>
      <c r="S810" s="2" t="s">
        <v>5035</v>
      </c>
      <c r="T810" s="2" t="s">
        <v>1523</v>
      </c>
      <c r="U810" s="2" t="s">
        <v>556</v>
      </c>
      <c r="V810" s="2" t="s">
        <v>209</v>
      </c>
      <c r="W810" s="2" t="s">
        <v>210</v>
      </c>
      <c r="X810" s="2" t="s">
        <v>206</v>
      </c>
      <c r="Y810" s="2" t="s">
        <v>211</v>
      </c>
      <c r="Z810" s="4">
        <v>768</v>
      </c>
      <c r="AA810" s="4">
        <f>=ROUNDDOWN(17.0666666666667,0)</f>
      </c>
      <c r="AB810" s="5">
        <v>45</v>
      </c>
      <c r="AC810" s="2" t="s">
        <v>1620</v>
      </c>
      <c r="AD810" s="4">
        <v>986</v>
      </c>
      <c r="AE810" s="4">
        <v>986</v>
      </c>
      <c r="AF810" s="6">
        <v>65</v>
      </c>
      <c r="AG810" s="6"/>
      <c r="AH810" s="7">
        <v>1</v>
      </c>
      <c r="AI810" s="4"/>
      <c r="AJ810" s="4">
        <f>=ROUNDDOWN({0},0)</f>
      </c>
      <c r="AK810" s="5"/>
      <c r="AL810" s="2" t="s">
        <v>206</v>
      </c>
      <c r="AM810" s="4"/>
      <c r="AN810" s="4"/>
      <c r="AO810" s="7"/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 t="s">
        <v>206</v>
      </c>
      <c r="BD810" s="8" t="s">
        <v>206</v>
      </c>
      <c r="BE810" s="4" t="s">
        <v>206</v>
      </c>
      <c r="BF810" s="8" t="s">
        <v>206</v>
      </c>
      <c r="BG810" s="7" t="s">
        <v>206</v>
      </c>
      <c r="BH810" s="7" t="s">
        <v>206</v>
      </c>
      <c r="BI810" s="7"/>
      <c r="BJ810" s="4">
        <v>356</v>
      </c>
      <c r="BK810" s="8">
        <v>7702.57</v>
      </c>
      <c r="BL810" s="2" t="s">
        <v>5036</v>
      </c>
      <c r="BM810" s="7"/>
      <c r="BN810" s="7"/>
      <c r="BO810" s="4"/>
      <c r="BP810" s="8"/>
      <c r="BQ810" s="4"/>
      <c r="BR810" s="8"/>
      <c r="BS810" s="7"/>
      <c r="BT810" s="7"/>
      <c r="BU810" s="2" t="s">
        <v>5037</v>
      </c>
      <c r="BV810" s="2" t="s">
        <v>206</v>
      </c>
      <c r="BW810" s="2" t="s">
        <v>206</v>
      </c>
      <c r="BX810" s="2" t="s">
        <v>214</v>
      </c>
      <c r="BY810" s="2" t="s">
        <v>215</v>
      </c>
      <c r="BZ810" s="2" t="s">
        <v>203</v>
      </c>
      <c r="CA810" s="2" t="s">
        <v>2892</v>
      </c>
      <c r="CB810" s="2" t="s">
        <v>747</v>
      </c>
      <c r="CC810" s="2" t="s">
        <v>218</v>
      </c>
      <c r="CD810" s="2" t="s">
        <v>206</v>
      </c>
      <c r="CE810" s="4">
        <v>276</v>
      </c>
      <c r="CF810" s="4">
        <v>432</v>
      </c>
      <c r="CG810" s="4"/>
      <c r="CH810" s="4"/>
      <c r="CI810" s="4"/>
      <c r="CJ810" s="4"/>
      <c r="CK810" s="4"/>
      <c r="CL810" s="4">
        <v>60</v>
      </c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>
        <v>986</v>
      </c>
      <c r="CY810" s="4"/>
      <c r="CZ810" s="4"/>
      <c r="DA810" s="4"/>
      <c r="DB810" s="4"/>
      <c r="DC810" s="4"/>
      <c r="DD810" s="4"/>
      <c r="DE810" s="4"/>
      <c r="DF810" s="4"/>
      <c r="DG810" s="4"/>
      <c r="DH810" s="4"/>
      <c r="DI810" s="4"/>
      <c r="DJ810" s="4"/>
      <c r="DK810" s="4"/>
      <c r="DL810" s="4"/>
      <c r="DM810" s="4"/>
      <c r="DN810" s="4"/>
      <c r="DO810" s="4"/>
      <c r="DP810" s="4"/>
      <c r="DQ810" s="4"/>
      <c r="DR810" s="4"/>
      <c r="DS810" s="4"/>
      <c r="DT810" s="4"/>
      <c r="DU810" s="4"/>
      <c r="DV810" s="4"/>
      <c r="DW810" s="4"/>
      <c r="DX810" s="4"/>
      <c r="DY810" s="4"/>
      <c r="DZ810" s="4"/>
      <c r="EA810" s="4"/>
      <c r="EB810" s="4"/>
      <c r="EC810" s="4"/>
      <c r="ED810" s="4"/>
      <c r="EE810" s="4"/>
      <c r="EF810" s="4"/>
      <c r="EG810" s="4"/>
      <c r="EH810" s="4"/>
      <c r="EI810" s="4"/>
      <c r="EJ810" s="4"/>
      <c r="EK810" s="4"/>
      <c r="EL810" s="4"/>
      <c r="EM810" s="4"/>
      <c r="EN810" s="4"/>
      <c r="EO810" s="4"/>
      <c r="EP810" s="4"/>
      <c r="EQ810" s="4"/>
      <c r="ER810" s="4"/>
      <c r="ES810" s="4"/>
      <c r="ET810" s="4"/>
      <c r="EU810" s="4"/>
      <c r="EV810" s="4"/>
      <c r="EW810" s="4"/>
      <c r="EX810" s="4"/>
      <c r="EY810" s="4"/>
      <c r="EZ810" s="4"/>
      <c r="FA810" s="4"/>
      <c r="FB810" s="4"/>
      <c r="FC810" s="4"/>
      <c r="FD810" s="4"/>
      <c r="FE810" s="4"/>
      <c r="FF810" s="4"/>
      <c r="FG810" s="4"/>
      <c r="FH810" s="4"/>
      <c r="FI810" s="4"/>
      <c r="FJ810" s="4"/>
      <c r="FK810" s="4"/>
      <c r="FL810" s="4"/>
      <c r="FM810" s="4"/>
      <c r="FN810" s="4"/>
      <c r="FO810" s="4"/>
      <c r="FP810" s="4"/>
      <c r="FQ810" s="4"/>
      <c r="FR810" s="4"/>
      <c r="FS810" s="4"/>
      <c r="FT810" s="4"/>
      <c r="FU810" s="4"/>
      <c r="FV810" s="4"/>
      <c r="FW810" s="4"/>
      <c r="FX810" s="4"/>
      <c r="FY810" s="4"/>
      <c r="FZ810" s="4"/>
      <c r="GA810" s="4"/>
      <c r="GB810" s="4"/>
      <c r="GC810" s="4"/>
      <c r="GD810" s="4"/>
      <c r="GE810" s="4"/>
      <c r="GF810" s="4"/>
    </row>
    <row r="811">
      <c r="A811" s="2" t="s">
        <v>5038</v>
      </c>
      <c r="B811" s="2" t="s">
        <v>225</v>
      </c>
      <c r="C811" s="2" t="s">
        <v>1948</v>
      </c>
      <c r="D811" s="2" t="s">
        <v>227</v>
      </c>
      <c r="E811" s="2" t="s">
        <v>228</v>
      </c>
      <c r="F811" s="2" t="s">
        <v>5033</v>
      </c>
      <c r="G811" s="2" t="s">
        <v>5033</v>
      </c>
      <c r="H811" s="2" t="s">
        <v>5033</v>
      </c>
      <c r="I811" s="2" t="s">
        <v>5034</v>
      </c>
      <c r="J811" s="2" t="s">
        <v>201</v>
      </c>
      <c r="K811" s="2" t="s">
        <v>709</v>
      </c>
      <c r="L811" s="3">
        <v>19.78</v>
      </c>
      <c r="M811" s="3">
        <v>20.77</v>
      </c>
      <c r="N811" s="3">
        <v>42.99</v>
      </c>
      <c r="O811" s="2" t="s">
        <v>203</v>
      </c>
      <c r="P811" s="2" t="s">
        <v>204</v>
      </c>
      <c r="Q811" s="2" t="s">
        <v>205</v>
      </c>
      <c r="R811" s="2" t="s">
        <v>206</v>
      </c>
      <c r="S811" s="2" t="s">
        <v>5039</v>
      </c>
      <c r="T811" s="2" t="s">
        <v>1523</v>
      </c>
      <c r="U811" s="2" t="s">
        <v>556</v>
      </c>
      <c r="V811" s="2" t="s">
        <v>209</v>
      </c>
      <c r="W811" s="2" t="s">
        <v>210</v>
      </c>
      <c r="X811" s="2" t="s">
        <v>206</v>
      </c>
      <c r="Y811" s="2" t="s">
        <v>211</v>
      </c>
      <c r="Z811" s="4">
        <v>197</v>
      </c>
      <c r="AA811" s="4">
        <f>=ROUNDDOWN(17.9090909090909,0)</f>
      </c>
      <c r="AB811" s="5">
        <v>11</v>
      </c>
      <c r="AC811" s="2" t="s">
        <v>206</v>
      </c>
      <c r="AD811" s="4"/>
      <c r="AE811" s="4"/>
      <c r="AF811" s="6">
        <v>65</v>
      </c>
      <c r="AG811" s="6"/>
      <c r="AH811" s="7">
        <v>1</v>
      </c>
      <c r="AI811" s="4"/>
      <c r="AJ811" s="4">
        <f>=ROUNDDOWN({0},0)</f>
      </c>
      <c r="AK811" s="5"/>
      <c r="AL811" s="2" t="s">
        <v>206</v>
      </c>
      <c r="AM811" s="4"/>
      <c r="AN811" s="4"/>
      <c r="AO811" s="7"/>
      <c r="AP811" s="4"/>
      <c r="AQ811" s="8"/>
      <c r="AR811" s="4"/>
      <c r="AS811" s="8"/>
      <c r="AT811" s="7"/>
      <c r="AU811" s="7"/>
      <c r="AV811" s="4" t="s">
        <v>206</v>
      </c>
      <c r="AW811" s="8" t="s">
        <v>206</v>
      </c>
      <c r="AX811" s="4" t="s">
        <v>206</v>
      </c>
      <c r="AY811" s="8" t="s">
        <v>206</v>
      </c>
      <c r="AZ811" s="7" t="s">
        <v>206</v>
      </c>
      <c r="BA811" s="7" t="s">
        <v>206</v>
      </c>
      <c r="BB811" s="7"/>
      <c r="BC811" s="4" t="s">
        <v>206</v>
      </c>
      <c r="BD811" s="8" t="s">
        <v>206</v>
      </c>
      <c r="BE811" s="4" t="s">
        <v>206</v>
      </c>
      <c r="BF811" s="8" t="s">
        <v>206</v>
      </c>
      <c r="BG811" s="7" t="s">
        <v>206</v>
      </c>
      <c r="BH811" s="7" t="s">
        <v>206</v>
      </c>
      <c r="BI811" s="7"/>
      <c r="BJ811" s="4">
        <v>66</v>
      </c>
      <c r="BK811" s="8">
        <v>1430.42</v>
      </c>
      <c r="BL811" s="2" t="s">
        <v>5040</v>
      </c>
      <c r="BM811" s="7"/>
      <c r="BN811" s="7"/>
      <c r="BO811" s="4"/>
      <c r="BP811" s="8"/>
      <c r="BQ811" s="4"/>
      <c r="BR811" s="8"/>
      <c r="BS811" s="7"/>
      <c r="BT811" s="7"/>
      <c r="BU811" s="2" t="s">
        <v>5041</v>
      </c>
      <c r="BV811" s="2" t="s">
        <v>206</v>
      </c>
      <c r="BW811" s="2" t="s">
        <v>206</v>
      </c>
      <c r="BX811" s="2" t="s">
        <v>214</v>
      </c>
      <c r="BY811" s="2" t="s">
        <v>215</v>
      </c>
      <c r="BZ811" s="2" t="s">
        <v>203</v>
      </c>
      <c r="CA811" s="2" t="s">
        <v>216</v>
      </c>
      <c r="CB811" s="2" t="s">
        <v>5042</v>
      </c>
      <c r="CC811" s="2" t="s">
        <v>218</v>
      </c>
      <c r="CD811" s="2" t="s">
        <v>206</v>
      </c>
      <c r="CE811" s="4">
        <v>143</v>
      </c>
      <c r="CF811" s="4">
        <v>37</v>
      </c>
      <c r="CG811" s="4"/>
      <c r="CH811" s="4"/>
      <c r="CI811" s="4"/>
      <c r="CJ811" s="4"/>
      <c r="CK811" s="4">
        <v>2</v>
      </c>
      <c r="CL811" s="4">
        <v>15</v>
      </c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  <c r="DE811" s="4"/>
      <c r="DF811" s="4"/>
      <c r="DG811" s="4"/>
      <c r="DH811" s="4"/>
      <c r="DI811" s="4"/>
      <c r="DJ811" s="4"/>
      <c r="DK811" s="4"/>
      <c r="DL811" s="4"/>
      <c r="DM811" s="4"/>
      <c r="DN811" s="4"/>
      <c r="DO811" s="4"/>
      <c r="DP811" s="4"/>
      <c r="DQ811" s="4"/>
      <c r="DR811" s="4"/>
      <c r="DS811" s="4"/>
      <c r="DT811" s="4"/>
      <c r="DU811" s="4"/>
      <c r="DV811" s="4"/>
      <c r="DW811" s="4"/>
      <c r="DX811" s="4"/>
      <c r="DY811" s="4"/>
      <c r="DZ811" s="4"/>
      <c r="EA811" s="4"/>
      <c r="EB811" s="4"/>
      <c r="EC811" s="4"/>
      <c r="ED811" s="4"/>
      <c r="EE811" s="4"/>
      <c r="EF811" s="4"/>
      <c r="EG811" s="4"/>
      <c r="EH811" s="4"/>
      <c r="EI811" s="4"/>
      <c r="EJ811" s="4"/>
      <c r="EK811" s="4"/>
      <c r="EL811" s="4"/>
      <c r="EM811" s="4"/>
      <c r="EN811" s="4"/>
      <c r="EO811" s="4"/>
      <c r="EP811" s="4"/>
      <c r="EQ811" s="4"/>
      <c r="ER811" s="4"/>
      <c r="ES811" s="4"/>
      <c r="ET811" s="4"/>
      <c r="EU811" s="4"/>
      <c r="EV811" s="4"/>
      <c r="EW811" s="4"/>
      <c r="EX811" s="4"/>
      <c r="EY811" s="4"/>
      <c r="EZ811" s="4"/>
      <c r="FA811" s="4"/>
      <c r="FB811" s="4"/>
      <c r="FC811" s="4"/>
      <c r="FD811" s="4"/>
      <c r="FE811" s="4"/>
      <c r="FF811" s="4"/>
      <c r="FG811" s="4"/>
      <c r="FH811" s="4"/>
      <c r="FI811" s="4"/>
      <c r="FJ811" s="4"/>
      <c r="FK811" s="4"/>
      <c r="FL811" s="4"/>
      <c r="FM811" s="4"/>
      <c r="FN811" s="4"/>
      <c r="FO811" s="4"/>
      <c r="FP811" s="4"/>
      <c r="FQ811" s="4"/>
      <c r="FR811" s="4"/>
      <c r="FS811" s="4"/>
      <c r="FT811" s="4"/>
      <c r="FU811" s="4"/>
      <c r="FV811" s="4"/>
      <c r="FW811" s="4"/>
      <c r="FX811" s="4"/>
      <c r="FY811" s="4"/>
      <c r="FZ811" s="4"/>
      <c r="GA811" s="4"/>
      <c r="GB811" s="4"/>
      <c r="GC811" s="4"/>
      <c r="GD811" s="4"/>
      <c r="GE811" s="4"/>
      <c r="GF811" s="4"/>
    </row>
    <row r="812">
      <c r="A812" s="2" t="s">
        <v>5043</v>
      </c>
      <c r="B812" s="2" t="s">
        <v>225</v>
      </c>
      <c r="C812" s="2" t="s">
        <v>1948</v>
      </c>
      <c r="D812" s="2" t="s">
        <v>227</v>
      </c>
      <c r="E812" s="2" t="s">
        <v>228</v>
      </c>
      <c r="F812" s="2" t="s">
        <v>5033</v>
      </c>
      <c r="G812" s="2" t="s">
        <v>5033</v>
      </c>
      <c r="H812" s="2" t="s">
        <v>5033</v>
      </c>
      <c r="I812" s="2" t="s">
        <v>5034</v>
      </c>
      <c r="J812" s="2" t="s">
        <v>231</v>
      </c>
      <c r="K812" s="2" t="s">
        <v>709</v>
      </c>
      <c r="L812" s="3">
        <v>34.5</v>
      </c>
      <c r="M812" s="3">
        <v>36.22</v>
      </c>
      <c r="N812" s="3">
        <v>74.99</v>
      </c>
      <c r="O812" s="2" t="s">
        <v>203</v>
      </c>
      <c r="P812" s="2" t="s">
        <v>204</v>
      </c>
      <c r="Q812" s="2" t="s">
        <v>205</v>
      </c>
      <c r="R812" s="2" t="s">
        <v>206</v>
      </c>
      <c r="S812" s="2" t="s">
        <v>5039</v>
      </c>
      <c r="T812" s="2" t="s">
        <v>1523</v>
      </c>
      <c r="U812" s="2" t="s">
        <v>235</v>
      </c>
      <c r="V812" s="2" t="s">
        <v>209</v>
      </c>
      <c r="W812" s="2" t="s">
        <v>210</v>
      </c>
      <c r="X812" s="2" t="s">
        <v>206</v>
      </c>
      <c r="Y812" s="2" t="s">
        <v>5044</v>
      </c>
      <c r="Z812" s="4">
        <v>315</v>
      </c>
      <c r="AA812" s="4">
        <f>=ROUNDDOWN(24.2307692307692,0)</f>
      </c>
      <c r="AB812" s="5">
        <v>13</v>
      </c>
      <c r="AC812" s="2" t="s">
        <v>109</v>
      </c>
      <c r="AD812" s="4">
        <v>850</v>
      </c>
      <c r="AE812" s="4">
        <v>850</v>
      </c>
      <c r="AF812" s="6">
        <v>65</v>
      </c>
      <c r="AG812" s="6"/>
      <c r="AH812" s="7">
        <v>1</v>
      </c>
      <c r="AI812" s="4"/>
      <c r="AJ812" s="4">
        <f>=ROUNDDOWN({0},0)</f>
      </c>
      <c r="AK812" s="5"/>
      <c r="AL812" s="2" t="s">
        <v>206</v>
      </c>
      <c r="AM812" s="4"/>
      <c r="AN812" s="4"/>
      <c r="AO812" s="7"/>
      <c r="AP812" s="4"/>
      <c r="AQ812" s="8"/>
      <c r="AR812" s="4"/>
      <c r="AS812" s="8"/>
      <c r="AT812" s="7"/>
      <c r="AU812" s="7"/>
      <c r="AV812" s="4" t="s">
        <v>206</v>
      </c>
      <c r="AW812" s="8" t="s">
        <v>206</v>
      </c>
      <c r="AX812" s="4" t="s">
        <v>206</v>
      </c>
      <c r="AY812" s="8" t="s">
        <v>206</v>
      </c>
      <c r="AZ812" s="7" t="s">
        <v>206</v>
      </c>
      <c r="BA812" s="7" t="s">
        <v>206</v>
      </c>
      <c r="BB812" s="7"/>
      <c r="BC812" s="4" t="s">
        <v>206</v>
      </c>
      <c r="BD812" s="8" t="s">
        <v>206</v>
      </c>
      <c r="BE812" s="4" t="s">
        <v>206</v>
      </c>
      <c r="BF812" s="8" t="s">
        <v>206</v>
      </c>
      <c r="BG812" s="7" t="s">
        <v>206</v>
      </c>
      <c r="BH812" s="7" t="s">
        <v>206</v>
      </c>
      <c r="BI812" s="7"/>
      <c r="BJ812" s="4">
        <v>57</v>
      </c>
      <c r="BK812" s="8">
        <v>2140.69</v>
      </c>
      <c r="BL812" s="2" t="s">
        <v>3822</v>
      </c>
      <c r="BM812" s="7"/>
      <c r="BN812" s="7"/>
      <c r="BO812" s="4"/>
      <c r="BP812" s="8"/>
      <c r="BQ812" s="4"/>
      <c r="BR812" s="8"/>
      <c r="BS812" s="7"/>
      <c r="BT812" s="7"/>
      <c r="BU812" s="2" t="s">
        <v>5045</v>
      </c>
      <c r="BV812" s="2" t="s">
        <v>206</v>
      </c>
      <c r="BW812" s="2" t="s">
        <v>206</v>
      </c>
      <c r="BX812" s="2" t="s">
        <v>214</v>
      </c>
      <c r="BY812" s="2" t="s">
        <v>215</v>
      </c>
      <c r="BZ812" s="2" t="s">
        <v>203</v>
      </c>
      <c r="CA812" s="2" t="s">
        <v>2892</v>
      </c>
      <c r="CB812" s="2" t="s">
        <v>747</v>
      </c>
      <c r="CC812" s="2" t="s">
        <v>218</v>
      </c>
      <c r="CD812" s="2" t="s">
        <v>206</v>
      </c>
      <c r="CE812" s="4">
        <v>58</v>
      </c>
      <c r="CF812" s="4">
        <v>222</v>
      </c>
      <c r="CG812" s="4"/>
      <c r="CH812" s="4"/>
      <c r="CI812" s="4"/>
      <c r="CJ812" s="4"/>
      <c r="CK812" s="4"/>
      <c r="CL812" s="4">
        <v>35</v>
      </c>
      <c r="CM812" s="4"/>
      <c r="CN812" s="4"/>
      <c r="CO812" s="4"/>
      <c r="CP812" s="4"/>
      <c r="CQ812" s="4"/>
      <c r="CR812" s="4"/>
      <c r="CS812" s="4"/>
      <c r="CT812" s="4"/>
      <c r="CU812" s="4">
        <v>850</v>
      </c>
      <c r="CV812" s="4"/>
      <c r="CW812" s="4"/>
      <c r="CX812" s="4"/>
      <c r="CY812" s="4"/>
      <c r="CZ812" s="4"/>
      <c r="DA812" s="4"/>
      <c r="DB812" s="4"/>
      <c r="DC812" s="4"/>
      <c r="DD812" s="4"/>
      <c r="DE812" s="4"/>
      <c r="DF812" s="4"/>
      <c r="DG812" s="4"/>
      <c r="DH812" s="4"/>
      <c r="DI812" s="4"/>
      <c r="DJ812" s="4"/>
      <c r="DK812" s="4"/>
      <c r="DL812" s="4"/>
      <c r="DM812" s="4"/>
      <c r="DN812" s="4"/>
      <c r="DO812" s="4"/>
      <c r="DP812" s="4"/>
      <c r="DQ812" s="4"/>
      <c r="DR812" s="4"/>
      <c r="DS812" s="4"/>
      <c r="DT812" s="4"/>
      <c r="DU812" s="4"/>
      <c r="DV812" s="4"/>
      <c r="DW812" s="4"/>
      <c r="DX812" s="4"/>
      <c r="DY812" s="4"/>
      <c r="DZ812" s="4"/>
      <c r="EA812" s="4"/>
      <c r="EB812" s="4"/>
      <c r="EC812" s="4"/>
      <c r="ED812" s="4"/>
      <c r="EE812" s="4"/>
      <c r="EF812" s="4"/>
      <c r="EG812" s="4"/>
      <c r="EH812" s="4"/>
      <c r="EI812" s="4"/>
      <c r="EJ812" s="4"/>
      <c r="EK812" s="4"/>
      <c r="EL812" s="4"/>
      <c r="EM812" s="4"/>
      <c r="EN812" s="4"/>
      <c r="EO812" s="4"/>
      <c r="EP812" s="4"/>
      <c r="EQ812" s="4"/>
      <c r="ER812" s="4"/>
      <c r="ES812" s="4"/>
      <c r="ET812" s="4"/>
      <c r="EU812" s="4"/>
      <c r="EV812" s="4"/>
      <c r="EW812" s="4"/>
      <c r="EX812" s="4"/>
      <c r="EY812" s="4"/>
      <c r="EZ812" s="4"/>
      <c r="FA812" s="4"/>
      <c r="FB812" s="4"/>
      <c r="FC812" s="4"/>
      <c r="FD812" s="4"/>
      <c r="FE812" s="4"/>
      <c r="FF812" s="4"/>
      <c r="FG812" s="4"/>
      <c r="FH812" s="4"/>
      <c r="FI812" s="4"/>
      <c r="FJ812" s="4"/>
      <c r="FK812" s="4"/>
      <c r="FL812" s="4"/>
      <c r="FM812" s="4"/>
      <c r="FN812" s="4"/>
      <c r="FO812" s="4"/>
      <c r="FP812" s="4"/>
      <c r="FQ812" s="4"/>
      <c r="FR812" s="4"/>
      <c r="FS812" s="4"/>
      <c r="FT812" s="4"/>
      <c r="FU812" s="4"/>
      <c r="FV812" s="4"/>
      <c r="FW812" s="4"/>
      <c r="FX812" s="4"/>
      <c r="FY812" s="4"/>
      <c r="FZ812" s="4"/>
      <c r="GA812" s="4"/>
      <c r="GB812" s="4"/>
      <c r="GC812" s="4"/>
      <c r="GD812" s="4"/>
      <c r="GE812" s="4"/>
      <c r="GF812" s="4"/>
    </row>
    <row r="813">
      <c r="A813" s="2" t="s">
        <v>5046</v>
      </c>
      <c r="B813" s="2" t="s">
        <v>461</v>
      </c>
      <c r="C813" s="2" t="s">
        <v>462</v>
      </c>
      <c r="D813" s="2" t="s">
        <v>3436</v>
      </c>
      <c r="E813" s="2" t="s">
        <v>3437</v>
      </c>
      <c r="F813" s="2" t="s">
        <v>5047</v>
      </c>
      <c r="G813" s="2" t="s">
        <v>5047</v>
      </c>
      <c r="H813" s="2" t="s">
        <v>5047</v>
      </c>
      <c r="I813" s="2" t="s">
        <v>5048</v>
      </c>
      <c r="J813" s="2" t="s">
        <v>434</v>
      </c>
      <c r="K813" s="2" t="s">
        <v>656</v>
      </c>
      <c r="L813" s="3">
        <v>285.2</v>
      </c>
      <c r="M813" s="3">
        <v>299.46</v>
      </c>
      <c r="N813" s="3">
        <v>599</v>
      </c>
      <c r="O813" s="2" t="s">
        <v>203</v>
      </c>
      <c r="P813" s="2" t="s">
        <v>204</v>
      </c>
      <c r="Q813" s="2" t="s">
        <v>205</v>
      </c>
      <c r="R813" s="2" t="s">
        <v>206</v>
      </c>
      <c r="S813" s="2" t="s">
        <v>206</v>
      </c>
      <c r="T813" s="2" t="s">
        <v>206</v>
      </c>
      <c r="U813" s="2" t="s">
        <v>206</v>
      </c>
      <c r="V813" s="2" t="s">
        <v>209</v>
      </c>
      <c r="W813" s="2" t="s">
        <v>1210</v>
      </c>
      <c r="X813" s="2" t="s">
        <v>206</v>
      </c>
      <c r="Y813" s="2" t="s">
        <v>4942</v>
      </c>
      <c r="Z813" s="4">
        <v>74</v>
      </c>
      <c r="AA813" s="4">
        <f>=ROUNDDOWN(20.5555555555556,0)</f>
      </c>
      <c r="AB813" s="5">
        <v>3.6</v>
      </c>
      <c r="AC813" s="2" t="s">
        <v>123</v>
      </c>
      <c r="AD813" s="4">
        <v>65</v>
      </c>
      <c r="AE813" s="4">
        <v>260</v>
      </c>
      <c r="AF813" s="6">
        <v>74</v>
      </c>
      <c r="AG813" s="6">
        <v>60</v>
      </c>
      <c r="AH813" s="7">
        <v>1</v>
      </c>
      <c r="AI813" s="4"/>
      <c r="AJ813" s="4">
        <f>=ROUNDDOWN({0},0)</f>
      </c>
      <c r="AK813" s="5">
        <v>17.6</v>
      </c>
      <c r="AL813" s="2" t="s">
        <v>206</v>
      </c>
      <c r="AM813" s="4"/>
      <c r="AN813" s="4"/>
      <c r="AO813" s="7">
        <v>1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 t="s">
        <v>206</v>
      </c>
      <c r="BD813" s="8" t="s">
        <v>206</v>
      </c>
      <c r="BE813" s="4" t="s">
        <v>206</v>
      </c>
      <c r="BF813" s="8" t="s">
        <v>206</v>
      </c>
      <c r="BG813" s="7" t="s">
        <v>206</v>
      </c>
      <c r="BH813" s="7" t="s">
        <v>206</v>
      </c>
      <c r="BI813" s="7"/>
      <c r="BJ813" s="4">
        <v>92</v>
      </c>
      <c r="BK813" s="8">
        <v>22015.57</v>
      </c>
      <c r="BL813" s="2" t="s">
        <v>5049</v>
      </c>
      <c r="BM813" s="7"/>
      <c r="BN813" s="7"/>
      <c r="BO813" s="4"/>
      <c r="BP813" s="8"/>
      <c r="BQ813" s="4"/>
      <c r="BR813" s="8"/>
      <c r="BS813" s="7"/>
      <c r="BT813" s="7"/>
      <c r="BU813" s="2" t="s">
        <v>5050</v>
      </c>
      <c r="BV813" s="2" t="s">
        <v>206</v>
      </c>
      <c r="BW813" s="2" t="s">
        <v>206</v>
      </c>
      <c r="BX813" s="2" t="s">
        <v>214</v>
      </c>
      <c r="BY813" s="2" t="s">
        <v>215</v>
      </c>
      <c r="BZ813" s="2" t="s">
        <v>203</v>
      </c>
      <c r="CA813" s="2" t="s">
        <v>3502</v>
      </c>
      <c r="CB813" s="2" t="s">
        <v>5051</v>
      </c>
      <c r="CC813" s="2" t="s">
        <v>218</v>
      </c>
      <c r="CD813" s="2" t="s">
        <v>206</v>
      </c>
      <c r="CE813" s="4"/>
      <c r="CF813" s="4">
        <v>74</v>
      </c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  <c r="DE813" s="4"/>
      <c r="DF813" s="4"/>
      <c r="DG813" s="4"/>
      <c r="DH813" s="4"/>
      <c r="DI813" s="4"/>
      <c r="DJ813" s="4"/>
      <c r="DK813" s="4">
        <v>65</v>
      </c>
      <c r="DL813" s="4"/>
      <c r="DM813" s="4"/>
      <c r="DN813" s="4"/>
      <c r="DO813" s="4"/>
      <c r="DP813" s="4"/>
      <c r="DQ813" s="4"/>
      <c r="DR813" s="4"/>
      <c r="DS813" s="4">
        <v>52</v>
      </c>
      <c r="DT813" s="4"/>
      <c r="DU813" s="4"/>
      <c r="DV813" s="4"/>
      <c r="DW813" s="4"/>
      <c r="DX813" s="4"/>
      <c r="DY813" s="4"/>
      <c r="DZ813" s="4"/>
      <c r="EA813" s="4"/>
      <c r="EB813" s="4"/>
      <c r="EC813" s="4"/>
      <c r="ED813" s="4"/>
      <c r="EE813" s="4"/>
      <c r="EF813" s="4"/>
      <c r="EG813" s="4"/>
      <c r="EH813" s="4"/>
      <c r="EI813" s="4"/>
      <c r="EJ813" s="4"/>
      <c r="EK813" s="4"/>
      <c r="EL813" s="4">
        <v>13</v>
      </c>
      <c r="EM813" s="4"/>
      <c r="EN813" s="4"/>
      <c r="EO813" s="4"/>
      <c r="EP813" s="4"/>
      <c r="EQ813" s="4"/>
      <c r="ER813" s="4"/>
      <c r="ES813" s="4"/>
      <c r="ET813" s="4"/>
      <c r="EU813" s="4"/>
      <c r="EV813" s="4"/>
      <c r="EW813" s="4"/>
      <c r="EX813" s="4"/>
      <c r="EY813" s="4"/>
      <c r="EZ813" s="4"/>
      <c r="FA813" s="4"/>
      <c r="FB813" s="4"/>
      <c r="FC813" s="4"/>
      <c r="FD813" s="4"/>
      <c r="FE813" s="4"/>
      <c r="FF813" s="4"/>
      <c r="FG813" s="4"/>
      <c r="FH813" s="4"/>
      <c r="FI813" s="4"/>
      <c r="FJ813" s="4"/>
      <c r="FK813" s="4"/>
      <c r="FL813" s="4"/>
      <c r="FM813" s="4"/>
      <c r="FN813" s="4"/>
      <c r="FO813" s="4"/>
      <c r="FP813" s="4"/>
      <c r="FQ813" s="4"/>
      <c r="FR813" s="4"/>
      <c r="FS813" s="4"/>
      <c r="FT813" s="4"/>
      <c r="FU813" s="4"/>
      <c r="FV813" s="4"/>
      <c r="FW813" s="4"/>
      <c r="FX813" s="4"/>
      <c r="FY813" s="4"/>
      <c r="FZ813" s="4"/>
      <c r="GA813" s="4">
        <v>130</v>
      </c>
      <c r="GB813" s="4"/>
      <c r="GC813" s="4"/>
      <c r="GD813" s="4"/>
      <c r="GE813" s="4"/>
      <c r="GF813" s="4"/>
    </row>
    <row r="814">
      <c r="A814" s="2" t="s">
        <v>5052</v>
      </c>
      <c r="B814" s="2" t="s">
        <v>461</v>
      </c>
      <c r="C814" s="2" t="s">
        <v>462</v>
      </c>
      <c r="D814" s="2" t="s">
        <v>5053</v>
      </c>
      <c r="E814" s="2" t="s">
        <v>791</v>
      </c>
      <c r="F814" s="2" t="s">
        <v>5047</v>
      </c>
      <c r="G814" s="2" t="s">
        <v>5047</v>
      </c>
      <c r="H814" s="2" t="s">
        <v>5047</v>
      </c>
      <c r="I814" s="2" t="s">
        <v>5054</v>
      </c>
      <c r="J814" s="2" t="s">
        <v>434</v>
      </c>
      <c r="K814" s="2" t="s">
        <v>5055</v>
      </c>
      <c r="L814" s="3">
        <v>121.5</v>
      </c>
      <c r="M814" s="3">
        <v>127.58</v>
      </c>
      <c r="N814" s="3">
        <v>259</v>
      </c>
      <c r="O814" s="2" t="s">
        <v>203</v>
      </c>
      <c r="P814" s="2" t="s">
        <v>467</v>
      </c>
      <c r="Q814" s="2" t="s">
        <v>205</v>
      </c>
      <c r="R814" s="2" t="s">
        <v>206</v>
      </c>
      <c r="S814" s="2" t="s">
        <v>206</v>
      </c>
      <c r="T814" s="2" t="s">
        <v>206</v>
      </c>
      <c r="U814" s="2" t="s">
        <v>437</v>
      </c>
      <c r="V814" s="2" t="s">
        <v>209</v>
      </c>
      <c r="W814" s="2" t="s">
        <v>1210</v>
      </c>
      <c r="X814" s="2" t="s">
        <v>439</v>
      </c>
      <c r="Y814" s="2" t="s">
        <v>3878</v>
      </c>
      <c r="Z814" s="4">
        <v>75</v>
      </c>
      <c r="AA814" s="4">
        <f>=ROUNDDOWN(31.25,0)</f>
      </c>
      <c r="AB814" s="5">
        <v>2.4</v>
      </c>
      <c r="AC814" s="2" t="s">
        <v>3659</v>
      </c>
      <c r="AD814" s="4">
        <v>60</v>
      </c>
      <c r="AE814" s="4">
        <v>60</v>
      </c>
      <c r="AF814" s="6">
        <v>74</v>
      </c>
      <c r="AG814" s="6">
        <v>60</v>
      </c>
      <c r="AH814" s="7">
        <v>1</v>
      </c>
      <c r="AI814" s="4"/>
      <c r="AJ814" s="4">
        <f>=ROUNDDOWN({0},0)</f>
      </c>
      <c r="AK814" s="5"/>
      <c r="AL814" s="2" t="s">
        <v>206</v>
      </c>
      <c r="AM814" s="4"/>
      <c r="AN814" s="4"/>
      <c r="AO814" s="7"/>
      <c r="AP814" s="4"/>
      <c r="AQ814" s="8"/>
      <c r="AR814" s="4"/>
      <c r="AS814" s="8"/>
      <c r="AT814" s="7"/>
      <c r="AU814" s="7"/>
      <c r="AV814" s="4" t="s">
        <v>206</v>
      </c>
      <c r="AW814" s="8" t="s">
        <v>206</v>
      </c>
      <c r="AX814" s="4" t="s">
        <v>206</v>
      </c>
      <c r="AY814" s="8" t="s">
        <v>206</v>
      </c>
      <c r="AZ814" s="7" t="s">
        <v>206</v>
      </c>
      <c r="BA814" s="7" t="s">
        <v>206</v>
      </c>
      <c r="BB814" s="7" t="s">
        <v>206</v>
      </c>
      <c r="BC814" s="4" t="s">
        <v>206</v>
      </c>
      <c r="BD814" s="8" t="s">
        <v>206</v>
      </c>
      <c r="BE814" s="4" t="s">
        <v>206</v>
      </c>
      <c r="BF814" s="8" t="s">
        <v>206</v>
      </c>
      <c r="BG814" s="7" t="s">
        <v>206</v>
      </c>
      <c r="BH814" s="7" t="s">
        <v>206</v>
      </c>
      <c r="BI814" s="7"/>
      <c r="BJ814" s="4">
        <v>9</v>
      </c>
      <c r="BK814" s="8">
        <v>830.37</v>
      </c>
      <c r="BL814" s="2" t="s">
        <v>5056</v>
      </c>
      <c r="BM814" s="7"/>
      <c r="BN814" s="7"/>
      <c r="BO814" s="4"/>
      <c r="BP814" s="8"/>
      <c r="BQ814" s="4"/>
      <c r="BR814" s="8"/>
      <c r="BS814" s="7"/>
      <c r="BT814" s="7"/>
      <c r="BU814" s="2" t="s">
        <v>5057</v>
      </c>
      <c r="BV814" s="2" t="s">
        <v>206</v>
      </c>
      <c r="BW814" s="2" t="s">
        <v>206</v>
      </c>
      <c r="BX814" s="2" t="s">
        <v>3349</v>
      </c>
      <c r="BY814" s="2" t="s">
        <v>215</v>
      </c>
      <c r="BZ814" s="2" t="s">
        <v>203</v>
      </c>
      <c r="CA814" s="2" t="s">
        <v>3880</v>
      </c>
      <c r="CB814" s="2" t="s">
        <v>1808</v>
      </c>
      <c r="CC814" s="2" t="s">
        <v>218</v>
      </c>
      <c r="CD814" s="2" t="s">
        <v>206</v>
      </c>
      <c r="CE814" s="4"/>
      <c r="CF814" s="4">
        <v>75</v>
      </c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  <c r="DE814" s="4"/>
      <c r="DF814" s="4"/>
      <c r="DG814" s="4"/>
      <c r="DH814" s="4"/>
      <c r="DI814" s="4"/>
      <c r="DJ814" s="4"/>
      <c r="DK814" s="4"/>
      <c r="DL814" s="4"/>
      <c r="DM814" s="4"/>
      <c r="DN814" s="4"/>
      <c r="DO814" s="4"/>
      <c r="DP814" s="4"/>
      <c r="DQ814" s="4"/>
      <c r="DR814" s="4"/>
      <c r="DS814" s="4"/>
      <c r="DT814" s="4"/>
      <c r="DU814" s="4"/>
      <c r="DV814" s="4"/>
      <c r="DW814" s="4"/>
      <c r="DX814" s="4"/>
      <c r="DY814" s="4"/>
      <c r="DZ814" s="4"/>
      <c r="EA814" s="4"/>
      <c r="EB814" s="4"/>
      <c r="EC814" s="4"/>
      <c r="ED814" s="4"/>
      <c r="EE814" s="4"/>
      <c r="EF814" s="4"/>
      <c r="EG814" s="4"/>
      <c r="EH814" s="4"/>
      <c r="EI814" s="4"/>
      <c r="EJ814" s="4"/>
      <c r="EK814" s="4"/>
      <c r="EL814" s="4"/>
      <c r="EM814" s="4"/>
      <c r="EN814" s="4"/>
      <c r="EO814" s="4"/>
      <c r="EP814" s="4"/>
      <c r="EQ814" s="4"/>
      <c r="ER814" s="4"/>
      <c r="ES814" s="4"/>
      <c r="ET814" s="4"/>
      <c r="EU814" s="4"/>
      <c r="EV814" s="4"/>
      <c r="EW814" s="4"/>
      <c r="EX814" s="4"/>
      <c r="EY814" s="4"/>
      <c r="EZ814" s="4"/>
      <c r="FA814" s="4"/>
      <c r="FB814" s="4"/>
      <c r="FC814" s="4"/>
      <c r="FD814" s="4"/>
      <c r="FE814" s="4"/>
      <c r="FF814" s="4"/>
      <c r="FG814" s="4"/>
      <c r="FH814" s="4"/>
      <c r="FI814" s="4"/>
      <c r="FJ814" s="4"/>
      <c r="FK814" s="4"/>
      <c r="FL814" s="4"/>
      <c r="FM814" s="4"/>
      <c r="FN814" s="4"/>
      <c r="FO814" s="4"/>
      <c r="FP814" s="4"/>
      <c r="FQ814" s="4"/>
      <c r="FR814" s="4"/>
      <c r="FS814" s="4"/>
      <c r="FT814" s="4">
        <v>60</v>
      </c>
      <c r="FU814" s="4"/>
      <c r="FV814" s="4"/>
      <c r="FW814" s="4"/>
      <c r="FX814" s="4"/>
      <c r="FY814" s="4"/>
      <c r="FZ814" s="4"/>
      <c r="GA814" s="4"/>
      <c r="GB814" s="4"/>
      <c r="GC814" s="4"/>
      <c r="GD814" s="4"/>
      <c r="GE814" s="4"/>
      <c r="GF814" s="4"/>
    </row>
    <row r="815">
      <c r="A815" s="2" t="s">
        <v>5058</v>
      </c>
      <c r="B815" s="2" t="s">
        <v>461</v>
      </c>
      <c r="C815" s="2" t="s">
        <v>462</v>
      </c>
      <c r="D815" s="2" t="s">
        <v>1072</v>
      </c>
      <c r="E815" s="2" t="s">
        <v>1073</v>
      </c>
      <c r="F815" s="2" t="s">
        <v>5047</v>
      </c>
      <c r="G815" s="2" t="s">
        <v>5047</v>
      </c>
      <c r="H815" s="2" t="s">
        <v>5047</v>
      </c>
      <c r="I815" s="2" t="s">
        <v>5059</v>
      </c>
      <c r="J815" s="2" t="s">
        <v>434</v>
      </c>
      <c r="K815" s="2" t="s">
        <v>5055</v>
      </c>
      <c r="L815" s="3">
        <v>164.59</v>
      </c>
      <c r="M815" s="3">
        <v>172.82</v>
      </c>
      <c r="N815" s="3">
        <v>349</v>
      </c>
      <c r="O815" s="2" t="s">
        <v>203</v>
      </c>
      <c r="P815" s="2" t="s">
        <v>467</v>
      </c>
      <c r="Q815" s="2" t="s">
        <v>205</v>
      </c>
      <c r="R815" s="2" t="s">
        <v>206</v>
      </c>
      <c r="S815" s="2" t="s">
        <v>206</v>
      </c>
      <c r="T815" s="2" t="s">
        <v>206</v>
      </c>
      <c r="U815" s="2" t="s">
        <v>206</v>
      </c>
      <c r="V815" s="2" t="s">
        <v>209</v>
      </c>
      <c r="W815" s="2" t="s">
        <v>1210</v>
      </c>
      <c r="X815" s="2" t="s">
        <v>439</v>
      </c>
      <c r="Y815" s="2" t="s">
        <v>1491</v>
      </c>
      <c r="Z815" s="4">
        <v>66</v>
      </c>
      <c r="AA815" s="4">
        <f>=ROUNDDOWN(22.7586206896552,0)</f>
      </c>
      <c r="AB815" s="5">
        <v>2.9</v>
      </c>
      <c r="AC815" s="2" t="s">
        <v>123</v>
      </c>
      <c r="AD815" s="4">
        <v>70</v>
      </c>
      <c r="AE815" s="4">
        <v>70</v>
      </c>
      <c r="AF815" s="6">
        <v>74</v>
      </c>
      <c r="AG815" s="6">
        <v>60</v>
      </c>
      <c r="AH815" s="7">
        <v>1</v>
      </c>
      <c r="AI815" s="4"/>
      <c r="AJ815" s="4">
        <f>=ROUNDDOWN({0},0)</f>
      </c>
      <c r="AK815" s="5"/>
      <c r="AL815" s="2" t="s">
        <v>206</v>
      </c>
      <c r="AM815" s="4"/>
      <c r="AN815" s="4"/>
      <c r="AO815" s="7"/>
      <c r="AP815" s="4"/>
      <c r="AQ815" s="8"/>
      <c r="AR815" s="4"/>
      <c r="AS815" s="8"/>
      <c r="AT815" s="7"/>
      <c r="AU815" s="7"/>
      <c r="AV815" s="4" t="s">
        <v>206</v>
      </c>
      <c r="AW815" s="8" t="s">
        <v>206</v>
      </c>
      <c r="AX815" s="4" t="s">
        <v>206</v>
      </c>
      <c r="AY815" s="8" t="s">
        <v>206</v>
      </c>
      <c r="AZ815" s="7" t="s">
        <v>206</v>
      </c>
      <c r="BA815" s="7" t="s">
        <v>206</v>
      </c>
      <c r="BB815" s="7" t="s">
        <v>206</v>
      </c>
      <c r="BC815" s="4" t="s">
        <v>206</v>
      </c>
      <c r="BD815" s="8" t="s">
        <v>206</v>
      </c>
      <c r="BE815" s="4" t="s">
        <v>206</v>
      </c>
      <c r="BF815" s="8" t="s">
        <v>206</v>
      </c>
      <c r="BG815" s="7" t="s">
        <v>206</v>
      </c>
      <c r="BH815" s="7" t="s">
        <v>206</v>
      </c>
      <c r="BI815" s="7"/>
      <c r="BJ815" s="4">
        <v>12</v>
      </c>
      <c r="BK815" s="8">
        <v>1588.88</v>
      </c>
      <c r="BL815" s="2" t="s">
        <v>5060</v>
      </c>
      <c r="BM815" s="7"/>
      <c r="BN815" s="7"/>
      <c r="BO815" s="4"/>
      <c r="BP815" s="8"/>
      <c r="BQ815" s="4"/>
      <c r="BR815" s="8"/>
      <c r="BS815" s="7"/>
      <c r="BT815" s="7"/>
      <c r="BU815" s="2" t="s">
        <v>5061</v>
      </c>
      <c r="BV815" s="2" t="s">
        <v>206</v>
      </c>
      <c r="BW815" s="2" t="s">
        <v>206</v>
      </c>
      <c r="BX815" s="2" t="s">
        <v>214</v>
      </c>
      <c r="BY815" s="2" t="s">
        <v>215</v>
      </c>
      <c r="BZ815" s="2" t="s">
        <v>203</v>
      </c>
      <c r="CA815" s="2" t="s">
        <v>1491</v>
      </c>
      <c r="CB815" s="2" t="s">
        <v>5062</v>
      </c>
      <c r="CC815" s="2" t="s">
        <v>218</v>
      </c>
      <c r="CD815" s="2" t="s">
        <v>206</v>
      </c>
      <c r="CE815" s="4"/>
      <c r="CF815" s="4">
        <v>63</v>
      </c>
      <c r="CG815" s="4"/>
      <c r="CH815" s="4">
        <v>3</v>
      </c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  <c r="DE815" s="4"/>
      <c r="DF815" s="4"/>
      <c r="DG815" s="4"/>
      <c r="DH815" s="4"/>
      <c r="DI815" s="4"/>
      <c r="DJ815" s="4"/>
      <c r="DK815" s="4">
        <v>70</v>
      </c>
      <c r="DL815" s="4"/>
      <c r="DM815" s="4"/>
      <c r="DN815" s="4"/>
      <c r="DO815" s="4"/>
      <c r="DP815" s="4"/>
      <c r="DQ815" s="4"/>
      <c r="DR815" s="4"/>
      <c r="DS815" s="4"/>
      <c r="DT815" s="4"/>
      <c r="DU815" s="4"/>
      <c r="DV815" s="4"/>
      <c r="DW815" s="4"/>
      <c r="DX815" s="4"/>
      <c r="DY815" s="4"/>
      <c r="DZ815" s="4"/>
      <c r="EA815" s="4"/>
      <c r="EB815" s="4"/>
      <c r="EC815" s="4"/>
      <c r="ED815" s="4"/>
      <c r="EE815" s="4"/>
      <c r="EF815" s="4"/>
      <c r="EG815" s="4"/>
      <c r="EH815" s="4"/>
      <c r="EI815" s="4"/>
      <c r="EJ815" s="4"/>
      <c r="EK815" s="4"/>
      <c r="EL815" s="4"/>
      <c r="EM815" s="4"/>
      <c r="EN815" s="4"/>
      <c r="EO815" s="4"/>
      <c r="EP815" s="4"/>
      <c r="EQ815" s="4"/>
      <c r="ER815" s="4"/>
      <c r="ES815" s="4"/>
      <c r="ET815" s="4"/>
      <c r="EU815" s="4"/>
      <c r="EV815" s="4"/>
      <c r="EW815" s="4"/>
      <c r="EX815" s="4"/>
      <c r="EY815" s="4"/>
      <c r="EZ815" s="4"/>
      <c r="FA815" s="4"/>
      <c r="FB815" s="4"/>
      <c r="FC815" s="4"/>
      <c r="FD815" s="4"/>
      <c r="FE815" s="4"/>
      <c r="FF815" s="4"/>
      <c r="FG815" s="4"/>
      <c r="FH815" s="4"/>
      <c r="FI815" s="4"/>
      <c r="FJ815" s="4"/>
      <c r="FK815" s="4"/>
      <c r="FL815" s="4"/>
      <c r="FM815" s="4"/>
      <c r="FN815" s="4"/>
      <c r="FO815" s="4"/>
      <c r="FP815" s="4"/>
      <c r="FQ815" s="4"/>
      <c r="FR815" s="4"/>
      <c r="FS815" s="4"/>
      <c r="FT815" s="4"/>
      <c r="FU815" s="4"/>
      <c r="FV815" s="4"/>
      <c r="FW815" s="4"/>
      <c r="FX815" s="4"/>
      <c r="FY815" s="4"/>
      <c r="FZ815" s="4"/>
      <c r="GA815" s="4"/>
      <c r="GB815" s="4"/>
      <c r="GC815" s="4"/>
      <c r="GD815" s="4"/>
      <c r="GE815" s="4"/>
      <c r="GF815" s="4"/>
    </row>
    <row r="816">
      <c r="A816" s="2" t="s">
        <v>5063</v>
      </c>
      <c r="B816" s="2" t="s">
        <v>475</v>
      </c>
      <c r="C816" s="2" t="s">
        <v>287</v>
      </c>
      <c r="D816" s="2" t="s">
        <v>476</v>
      </c>
      <c r="E816" s="2" t="s">
        <v>477</v>
      </c>
      <c r="F816" s="2" t="s">
        <v>5064</v>
      </c>
      <c r="G816" s="2" t="s">
        <v>5064</v>
      </c>
      <c r="H816" s="2" t="s">
        <v>5064</v>
      </c>
      <c r="I816" s="2" t="s">
        <v>5065</v>
      </c>
      <c r="J816" s="2" t="s">
        <v>482</v>
      </c>
      <c r="K816" s="2" t="s">
        <v>336</v>
      </c>
      <c r="L816" s="3">
        <v>24</v>
      </c>
      <c r="M816" s="3">
        <v>25.2</v>
      </c>
      <c r="N816" s="3">
        <v>49.99</v>
      </c>
      <c r="O816" s="2" t="s">
        <v>203</v>
      </c>
      <c r="P816" s="2" t="s">
        <v>773</v>
      </c>
      <c r="Q816" s="2" t="s">
        <v>205</v>
      </c>
      <c r="R816" s="2" t="s">
        <v>206</v>
      </c>
      <c r="S816" s="2" t="s">
        <v>5066</v>
      </c>
      <c r="T816" s="2" t="s">
        <v>206</v>
      </c>
      <c r="U816" s="2" t="s">
        <v>485</v>
      </c>
      <c r="V816" s="2" t="s">
        <v>209</v>
      </c>
      <c r="W816" s="2" t="s">
        <v>439</v>
      </c>
      <c r="X816" s="2" t="s">
        <v>206</v>
      </c>
      <c r="Y816" s="2" t="s">
        <v>1331</v>
      </c>
      <c r="Z816" s="4">
        <v>470</v>
      </c>
      <c r="AA816" s="4">
        <f>=ROUNDDOWN(10.6818181818182,0)</f>
      </c>
      <c r="AB816" s="5">
        <v>44</v>
      </c>
      <c r="AC816" s="2" t="s">
        <v>124</v>
      </c>
      <c r="AD816" s="4">
        <v>407</v>
      </c>
      <c r="AE816" s="4">
        <v>1457</v>
      </c>
      <c r="AF816" s="6">
        <v>73</v>
      </c>
      <c r="AG816" s="6"/>
      <c r="AH816" s="7">
        <v>1</v>
      </c>
      <c r="AI816" s="4"/>
      <c r="AJ816" s="4">
        <f>=ROUNDDOWN({0},0)</f>
      </c>
      <c r="AK816" s="5"/>
      <c r="AL816" s="2" t="s">
        <v>206</v>
      </c>
      <c r="AM816" s="4"/>
      <c r="AN816" s="4"/>
      <c r="AO816" s="7"/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>
        <v>233</v>
      </c>
      <c r="BK816" s="8">
        <v>5829.31</v>
      </c>
      <c r="BL816" s="2" t="s">
        <v>5067</v>
      </c>
      <c r="BM816" s="7"/>
      <c r="BN816" s="7"/>
      <c r="BO816" s="4"/>
      <c r="BP816" s="8"/>
      <c r="BQ816" s="4"/>
      <c r="BR816" s="8"/>
      <c r="BS816" s="7"/>
      <c r="BT816" s="7"/>
      <c r="BU816" s="2" t="s">
        <v>5068</v>
      </c>
      <c r="BV816" s="2" t="s">
        <v>206</v>
      </c>
      <c r="BW816" s="2" t="s">
        <v>206</v>
      </c>
      <c r="BX816" s="2" t="s">
        <v>850</v>
      </c>
      <c r="BY816" s="2" t="s">
        <v>215</v>
      </c>
      <c r="BZ816" s="2" t="s">
        <v>203</v>
      </c>
      <c r="CA816" s="2" t="s">
        <v>4459</v>
      </c>
      <c r="CB816" s="2" t="s">
        <v>1973</v>
      </c>
      <c r="CC816" s="2" t="s">
        <v>218</v>
      </c>
      <c r="CD816" s="2" t="s">
        <v>206</v>
      </c>
      <c r="CE816" s="4">
        <v>470</v>
      </c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  <c r="DE816" s="4"/>
      <c r="DF816" s="4"/>
      <c r="DG816" s="4"/>
      <c r="DH816" s="4"/>
      <c r="DI816" s="4"/>
      <c r="DJ816" s="4"/>
      <c r="DK816" s="4"/>
      <c r="DL816" s="4">
        <v>407</v>
      </c>
      <c r="DM816" s="4"/>
      <c r="DN816" s="4"/>
      <c r="DO816" s="4"/>
      <c r="DP816" s="4"/>
      <c r="DQ816" s="4"/>
      <c r="DR816" s="4"/>
      <c r="DS816" s="4"/>
      <c r="DT816" s="4"/>
      <c r="DU816" s="4"/>
      <c r="DV816" s="4"/>
      <c r="DW816" s="4"/>
      <c r="DX816" s="4"/>
      <c r="DY816" s="4"/>
      <c r="DZ816" s="4"/>
      <c r="EA816" s="4"/>
      <c r="EB816" s="4"/>
      <c r="EC816" s="4"/>
      <c r="ED816" s="4"/>
      <c r="EE816" s="4"/>
      <c r="EF816" s="4"/>
      <c r="EG816" s="4"/>
      <c r="EH816" s="4"/>
      <c r="EI816" s="4">
        <v>420</v>
      </c>
      <c r="EJ816" s="4">
        <v>210</v>
      </c>
      <c r="EK816" s="4"/>
      <c r="EL816" s="4"/>
      <c r="EM816" s="4"/>
      <c r="EN816" s="4"/>
      <c r="EO816" s="4"/>
      <c r="EP816" s="4"/>
      <c r="EQ816" s="4"/>
      <c r="ER816" s="4"/>
      <c r="ES816" s="4"/>
      <c r="ET816" s="4"/>
      <c r="EU816" s="4"/>
      <c r="EV816" s="4"/>
      <c r="EW816" s="4"/>
      <c r="EX816" s="4"/>
      <c r="EY816" s="4"/>
      <c r="EZ816" s="4"/>
      <c r="FA816" s="4"/>
      <c r="FB816" s="4"/>
      <c r="FC816" s="4"/>
      <c r="FD816" s="4"/>
      <c r="FE816" s="4"/>
      <c r="FF816" s="4"/>
      <c r="FG816" s="4"/>
      <c r="FH816" s="4"/>
      <c r="FI816" s="4"/>
      <c r="FJ816" s="4"/>
      <c r="FK816" s="4"/>
      <c r="FL816" s="4"/>
      <c r="FM816" s="4"/>
      <c r="FN816" s="4"/>
      <c r="FO816" s="4"/>
      <c r="FP816" s="4"/>
      <c r="FQ816" s="4"/>
      <c r="FR816" s="4"/>
      <c r="FS816" s="4"/>
      <c r="FT816" s="4"/>
      <c r="FU816" s="4">
        <v>420</v>
      </c>
      <c r="FV816" s="4"/>
      <c r="FW816" s="4"/>
      <c r="FX816" s="4"/>
      <c r="FY816" s="4"/>
      <c r="FZ816" s="4"/>
      <c r="GA816" s="4"/>
      <c r="GB816" s="4"/>
      <c r="GC816" s="4"/>
      <c r="GD816" s="4"/>
      <c r="GE816" s="4"/>
      <c r="GF816" s="4"/>
    </row>
    <row r="817">
      <c r="A817" s="2" t="s">
        <v>5069</v>
      </c>
      <c r="B817" s="2" t="s">
        <v>429</v>
      </c>
      <c r="C817" s="2" t="s">
        <v>287</v>
      </c>
      <c r="D817" s="2" t="s">
        <v>430</v>
      </c>
      <c r="E817" s="2" t="s">
        <v>431</v>
      </c>
      <c r="F817" s="2" t="s">
        <v>5070</v>
      </c>
      <c r="G817" s="2" t="s">
        <v>5070</v>
      </c>
      <c r="H817" s="2" t="s">
        <v>5070</v>
      </c>
      <c r="I817" s="2" t="s">
        <v>5071</v>
      </c>
      <c r="J817" s="2" t="s">
        <v>434</v>
      </c>
      <c r="K817" s="2" t="s">
        <v>262</v>
      </c>
      <c r="L817" s="3">
        <v>36.42</v>
      </c>
      <c r="M817" s="3">
        <v>38.24</v>
      </c>
      <c r="N817" s="3">
        <v>76.49</v>
      </c>
      <c r="O817" s="2" t="s">
        <v>203</v>
      </c>
      <c r="P817" s="2" t="s">
        <v>467</v>
      </c>
      <c r="Q817" s="2" t="s">
        <v>205</v>
      </c>
      <c r="R817" s="2" t="s">
        <v>206</v>
      </c>
      <c r="S817" s="2" t="s">
        <v>206</v>
      </c>
      <c r="T817" s="2" t="s">
        <v>206</v>
      </c>
      <c r="U817" s="2" t="s">
        <v>437</v>
      </c>
      <c r="V817" s="2" t="s">
        <v>901</v>
      </c>
      <c r="W817" s="2" t="s">
        <v>901</v>
      </c>
      <c r="X817" s="2" t="s">
        <v>539</v>
      </c>
      <c r="Y817" s="2" t="s">
        <v>718</v>
      </c>
      <c r="Z817" s="4">
        <v>76</v>
      </c>
      <c r="AA817" s="4">
        <f>=ROUNDDOWN(25.3333333333333,0)</f>
      </c>
      <c r="AB817" s="5">
        <v>3</v>
      </c>
      <c r="AC817" s="2" t="s">
        <v>206</v>
      </c>
      <c r="AD817" s="4"/>
      <c r="AE817" s="4"/>
      <c r="AF817" s="6">
        <v>63</v>
      </c>
      <c r="AG817" s="6"/>
      <c r="AH817" s="7">
        <v>1</v>
      </c>
      <c r="AI817" s="4"/>
      <c r="AJ817" s="4">
        <f>=ROUNDDOWN({0},0)</f>
      </c>
      <c r="AK817" s="5"/>
      <c r="AL817" s="2" t="s">
        <v>206</v>
      </c>
      <c r="AM817" s="4"/>
      <c r="AN817" s="4"/>
      <c r="AO817" s="7"/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>
        <v>12</v>
      </c>
      <c r="BK817" s="8">
        <v>533.05</v>
      </c>
      <c r="BL817" s="2" t="s">
        <v>5072</v>
      </c>
      <c r="BM817" s="7"/>
      <c r="BN817" s="7"/>
      <c r="BO817" s="4"/>
      <c r="BP817" s="8"/>
      <c r="BQ817" s="4"/>
      <c r="BR817" s="8"/>
      <c r="BS817" s="7"/>
      <c r="BT817" s="7"/>
      <c r="BU817" s="2" t="s">
        <v>5073</v>
      </c>
      <c r="BV817" s="2" t="s">
        <v>206</v>
      </c>
      <c r="BW817" s="2" t="s">
        <v>206</v>
      </c>
      <c r="BX817" s="2" t="s">
        <v>214</v>
      </c>
      <c r="BY817" s="2" t="s">
        <v>215</v>
      </c>
      <c r="BZ817" s="2" t="s">
        <v>203</v>
      </c>
      <c r="CA817" s="2" t="s">
        <v>1995</v>
      </c>
      <c r="CB817" s="2" t="s">
        <v>1457</v>
      </c>
      <c r="CC817" s="2" t="s">
        <v>218</v>
      </c>
      <c r="CD817" s="2" t="s">
        <v>206</v>
      </c>
      <c r="CE817" s="4">
        <v>76</v>
      </c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  <c r="DE817" s="4"/>
      <c r="DF817" s="4"/>
      <c r="DG817" s="4"/>
      <c r="DH817" s="4"/>
      <c r="DI817" s="4"/>
      <c r="DJ817" s="4"/>
      <c r="DK817" s="4"/>
      <c r="DL817" s="4"/>
      <c r="DM817" s="4"/>
      <c r="DN817" s="4"/>
      <c r="DO817" s="4"/>
      <c r="DP817" s="4"/>
      <c r="DQ817" s="4"/>
      <c r="DR817" s="4"/>
      <c r="DS817" s="4"/>
      <c r="DT817" s="4"/>
      <c r="DU817" s="4"/>
      <c r="DV817" s="4"/>
      <c r="DW817" s="4"/>
      <c r="DX817" s="4"/>
      <c r="DY817" s="4"/>
      <c r="DZ817" s="4"/>
      <c r="EA817" s="4"/>
      <c r="EB817" s="4"/>
      <c r="EC817" s="4"/>
      <c r="ED817" s="4"/>
      <c r="EE817" s="4"/>
      <c r="EF817" s="4"/>
      <c r="EG817" s="4"/>
      <c r="EH817" s="4"/>
      <c r="EI817" s="4"/>
      <c r="EJ817" s="4"/>
      <c r="EK817" s="4"/>
      <c r="EL817" s="4"/>
      <c r="EM817" s="4"/>
      <c r="EN817" s="4"/>
      <c r="EO817" s="4"/>
      <c r="EP817" s="4"/>
      <c r="EQ817" s="4"/>
      <c r="ER817" s="4"/>
      <c r="ES817" s="4"/>
      <c r="ET817" s="4"/>
      <c r="EU817" s="4"/>
      <c r="EV817" s="4"/>
      <c r="EW817" s="4"/>
      <c r="EX817" s="4"/>
      <c r="EY817" s="4"/>
      <c r="EZ817" s="4"/>
      <c r="FA817" s="4"/>
      <c r="FB817" s="4"/>
      <c r="FC817" s="4"/>
      <c r="FD817" s="4"/>
      <c r="FE817" s="4"/>
      <c r="FF817" s="4"/>
      <c r="FG817" s="4"/>
      <c r="FH817" s="4"/>
      <c r="FI817" s="4"/>
      <c r="FJ817" s="4"/>
      <c r="FK817" s="4"/>
      <c r="FL817" s="4"/>
      <c r="FM817" s="4"/>
      <c r="FN817" s="4"/>
      <c r="FO817" s="4"/>
      <c r="FP817" s="4"/>
      <c r="FQ817" s="4"/>
      <c r="FR817" s="4"/>
      <c r="FS817" s="4"/>
      <c r="FT817" s="4"/>
      <c r="FU817" s="4"/>
      <c r="FV817" s="4"/>
      <c r="FW817" s="4"/>
      <c r="FX817" s="4"/>
      <c r="FY817" s="4"/>
      <c r="FZ817" s="4"/>
      <c r="GA817" s="4"/>
      <c r="GB817" s="4"/>
      <c r="GC817" s="4"/>
      <c r="GD817" s="4"/>
      <c r="GE817" s="4"/>
      <c r="GF817" s="4"/>
    </row>
    <row r="818">
      <c r="A818" s="2" t="s">
        <v>5074</v>
      </c>
      <c r="B818" s="2" t="s">
        <v>461</v>
      </c>
      <c r="C818" s="2" t="s">
        <v>287</v>
      </c>
      <c r="D818" s="2" t="s">
        <v>463</v>
      </c>
      <c r="E818" s="2" t="s">
        <v>464</v>
      </c>
      <c r="F818" s="2" t="s">
        <v>5075</v>
      </c>
      <c r="G818" s="2" t="s">
        <v>5076</v>
      </c>
      <c r="H818" s="2" t="s">
        <v>5077</v>
      </c>
      <c r="I818" s="2" t="s">
        <v>5078</v>
      </c>
      <c r="J818" s="2" t="s">
        <v>434</v>
      </c>
      <c r="K818" s="2" t="s">
        <v>763</v>
      </c>
      <c r="L818" s="3">
        <v>171</v>
      </c>
      <c r="M818" s="3">
        <v>179.55</v>
      </c>
      <c r="N818" s="3">
        <v>359</v>
      </c>
      <c r="O818" s="2" t="s">
        <v>203</v>
      </c>
      <c r="P818" s="2" t="s">
        <v>467</v>
      </c>
      <c r="Q818" s="2" t="s">
        <v>205</v>
      </c>
      <c r="R818" s="2" t="s">
        <v>206</v>
      </c>
      <c r="S818" s="2" t="s">
        <v>206</v>
      </c>
      <c r="T818" s="2" t="s">
        <v>206</v>
      </c>
      <c r="U818" s="2" t="s">
        <v>437</v>
      </c>
      <c r="V818" s="2" t="s">
        <v>209</v>
      </c>
      <c r="W818" s="2" t="s">
        <v>539</v>
      </c>
      <c r="X818" s="2" t="s">
        <v>877</v>
      </c>
      <c r="Y818" s="2" t="s">
        <v>5079</v>
      </c>
      <c r="Z818" s="4">
        <v>33</v>
      </c>
      <c r="AA818" s="4">
        <f>=ROUNDDOWN(33,0)</f>
      </c>
      <c r="AB818" s="5">
        <v>1</v>
      </c>
      <c r="AC818" s="2" t="s">
        <v>2147</v>
      </c>
      <c r="AD818" s="4">
        <v>98</v>
      </c>
      <c r="AE818" s="4">
        <v>98</v>
      </c>
      <c r="AF818" s="6">
        <v>66</v>
      </c>
      <c r="AG818" s="6"/>
      <c r="AH818" s="7">
        <v>1</v>
      </c>
      <c r="AI818" s="4"/>
      <c r="AJ818" s="4">
        <f>=ROUNDDOWN({0},0)</f>
      </c>
      <c r="AK818" s="5"/>
      <c r="AL818" s="2" t="s">
        <v>206</v>
      </c>
      <c r="AM818" s="4"/>
      <c r="AN818" s="4"/>
      <c r="AO818" s="7"/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/>
      <c r="BD818" s="8"/>
      <c r="BE818" s="4"/>
      <c r="BF818" s="8"/>
      <c r="BG818" s="7"/>
      <c r="BH818" s="7"/>
      <c r="BI818" s="7"/>
      <c r="BJ818" s="4">
        <v>2</v>
      </c>
      <c r="BK818" s="8">
        <v>387.82</v>
      </c>
      <c r="BL818" s="2" t="s">
        <v>5080</v>
      </c>
      <c r="BM818" s="7"/>
      <c r="BN818" s="7"/>
      <c r="BO818" s="4"/>
      <c r="BP818" s="8"/>
      <c r="BQ818" s="4"/>
      <c r="BR818" s="8"/>
      <c r="BS818" s="7"/>
      <c r="BT818" s="7"/>
      <c r="BU818" s="2" t="s">
        <v>5081</v>
      </c>
      <c r="BV818" s="2" t="s">
        <v>206</v>
      </c>
      <c r="BW818" s="2" t="s">
        <v>206</v>
      </c>
      <c r="BX818" s="2" t="s">
        <v>214</v>
      </c>
      <c r="BY818" s="2" t="s">
        <v>215</v>
      </c>
      <c r="BZ818" s="2" t="s">
        <v>203</v>
      </c>
      <c r="CA818" s="2" t="s">
        <v>3275</v>
      </c>
      <c r="CB818" s="2" t="s">
        <v>2912</v>
      </c>
      <c r="CC818" s="2" t="s">
        <v>218</v>
      </c>
      <c r="CD818" s="2" t="s">
        <v>206</v>
      </c>
      <c r="CE818" s="4"/>
      <c r="CF818" s="4">
        <v>33</v>
      </c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  <c r="DE818" s="4"/>
      <c r="DF818" s="4"/>
      <c r="DG818" s="4"/>
      <c r="DH818" s="4"/>
      <c r="DI818" s="4"/>
      <c r="DJ818" s="4"/>
      <c r="DK818" s="4"/>
      <c r="DL818" s="4"/>
      <c r="DM818" s="4"/>
      <c r="DN818" s="4"/>
      <c r="DO818" s="4"/>
      <c r="DP818" s="4"/>
      <c r="DQ818" s="4"/>
      <c r="DR818" s="4"/>
      <c r="DS818" s="4"/>
      <c r="DT818" s="4"/>
      <c r="DU818" s="4"/>
      <c r="DV818" s="4"/>
      <c r="DW818" s="4"/>
      <c r="DX818" s="4"/>
      <c r="DY818" s="4"/>
      <c r="DZ818" s="4"/>
      <c r="EA818" s="4"/>
      <c r="EB818" s="4"/>
      <c r="EC818" s="4"/>
      <c r="ED818" s="4"/>
      <c r="EE818" s="4"/>
      <c r="EF818" s="4"/>
      <c r="EG818" s="4"/>
      <c r="EH818" s="4"/>
      <c r="EI818" s="4"/>
      <c r="EJ818" s="4"/>
      <c r="EK818" s="4"/>
      <c r="EL818" s="4"/>
      <c r="EM818" s="4"/>
      <c r="EN818" s="4"/>
      <c r="EO818" s="4"/>
      <c r="EP818" s="4"/>
      <c r="EQ818" s="4"/>
      <c r="ER818" s="4"/>
      <c r="ES818" s="4"/>
      <c r="ET818" s="4"/>
      <c r="EU818" s="4"/>
      <c r="EV818" s="4"/>
      <c r="EW818" s="4"/>
      <c r="EX818" s="4"/>
      <c r="EY818" s="4"/>
      <c r="EZ818" s="4"/>
      <c r="FA818" s="4"/>
      <c r="FB818" s="4"/>
      <c r="FC818" s="4"/>
      <c r="FD818" s="4"/>
      <c r="FE818" s="4"/>
      <c r="FF818" s="4"/>
      <c r="FG818" s="4"/>
      <c r="FH818" s="4"/>
      <c r="FI818" s="4"/>
      <c r="FJ818" s="4"/>
      <c r="FK818" s="4"/>
      <c r="FL818" s="4"/>
      <c r="FM818" s="4"/>
      <c r="FN818" s="4"/>
      <c r="FO818" s="4"/>
      <c r="FP818" s="4">
        <v>98</v>
      </c>
      <c r="FQ818" s="4"/>
      <c r="FR818" s="4"/>
      <c r="FS818" s="4"/>
      <c r="FT818" s="4"/>
      <c r="FU818" s="4"/>
      <c r="FV818" s="4"/>
      <c r="FW818" s="4"/>
      <c r="FX818" s="4"/>
      <c r="FY818" s="4"/>
      <c r="FZ818" s="4"/>
      <c r="GA818" s="4"/>
      <c r="GB818" s="4"/>
      <c r="GC818" s="4"/>
      <c r="GD818" s="4"/>
      <c r="GE818" s="4"/>
      <c r="GF818" s="4"/>
    </row>
    <row r="819">
      <c r="A819" s="2" t="s">
        <v>5082</v>
      </c>
      <c r="B819" s="2" t="s">
        <v>429</v>
      </c>
      <c r="C819" s="2" t="s">
        <v>1031</v>
      </c>
      <c r="D819" s="2" t="s">
        <v>895</v>
      </c>
      <c r="E819" s="2" t="s">
        <v>5083</v>
      </c>
      <c r="F819" s="2" t="s">
        <v>5084</v>
      </c>
      <c r="G819" s="2" t="s">
        <v>5084</v>
      </c>
      <c r="H819" s="2" t="s">
        <v>5084</v>
      </c>
      <c r="I819" s="2" t="s">
        <v>5085</v>
      </c>
      <c r="J819" s="2" t="s">
        <v>5086</v>
      </c>
      <c r="K819" s="2" t="s">
        <v>833</v>
      </c>
      <c r="L819" s="3">
        <v>47.09</v>
      </c>
      <c r="M819" s="3">
        <v>49.44</v>
      </c>
      <c r="N819" s="3">
        <v>98.99</v>
      </c>
      <c r="O819" s="2" t="s">
        <v>203</v>
      </c>
      <c r="P819" s="2" t="s">
        <v>204</v>
      </c>
      <c r="Q819" s="2" t="s">
        <v>205</v>
      </c>
      <c r="R819" s="2" t="s">
        <v>206</v>
      </c>
      <c r="S819" s="2" t="s">
        <v>5087</v>
      </c>
      <c r="T819" s="2" t="s">
        <v>206</v>
      </c>
      <c r="U819" s="2" t="s">
        <v>437</v>
      </c>
      <c r="V819" s="2" t="s">
        <v>438</v>
      </c>
      <c r="W819" s="2" t="s">
        <v>914</v>
      </c>
      <c r="X819" s="2" t="s">
        <v>206</v>
      </c>
      <c r="Y819" s="2" t="s">
        <v>1956</v>
      </c>
      <c r="Z819" s="4">
        <v>199</v>
      </c>
      <c r="AA819" s="4">
        <f>=ROUNDDOWN(24.5679012345679,0)</f>
      </c>
      <c r="AB819" s="5">
        <v>8.1</v>
      </c>
      <c r="AC819" s="2" t="s">
        <v>923</v>
      </c>
      <c r="AD819" s="4">
        <v>100</v>
      </c>
      <c r="AE819" s="4">
        <v>100</v>
      </c>
      <c r="AF819" s="6">
        <v>63</v>
      </c>
      <c r="AG819" s="6"/>
      <c r="AH819" s="7">
        <v>1</v>
      </c>
      <c r="AI819" s="4"/>
      <c r="AJ819" s="4">
        <f>=ROUNDDOWN({0},0)</f>
      </c>
      <c r="AK819" s="5"/>
      <c r="AL819" s="2" t="s">
        <v>206</v>
      </c>
      <c r="AM819" s="4"/>
      <c r="AN819" s="4"/>
      <c r="AO819" s="7"/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>
        <v>43</v>
      </c>
      <c r="BK819" s="8">
        <v>2174.15</v>
      </c>
      <c r="BL819" s="2" t="s">
        <v>5088</v>
      </c>
      <c r="BM819" s="7"/>
      <c r="BN819" s="7"/>
      <c r="BO819" s="4"/>
      <c r="BP819" s="8"/>
      <c r="BQ819" s="4"/>
      <c r="BR819" s="8"/>
      <c r="BS819" s="7"/>
      <c r="BT819" s="7"/>
      <c r="BU819" s="2" t="s">
        <v>5089</v>
      </c>
      <c r="BV819" s="2" t="s">
        <v>206</v>
      </c>
      <c r="BW819" s="2" t="s">
        <v>206</v>
      </c>
      <c r="BX819" s="2" t="s">
        <v>426</v>
      </c>
      <c r="BY819" s="2" t="s">
        <v>215</v>
      </c>
      <c r="BZ819" s="2" t="s">
        <v>203</v>
      </c>
      <c r="CA819" s="2" t="s">
        <v>2570</v>
      </c>
      <c r="CB819" s="2" t="s">
        <v>5090</v>
      </c>
      <c r="CC819" s="2" t="s">
        <v>218</v>
      </c>
      <c r="CD819" s="2" t="s">
        <v>206</v>
      </c>
      <c r="CE819" s="4"/>
      <c r="CF819" s="4">
        <v>199</v>
      </c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  <c r="DE819" s="4"/>
      <c r="DF819" s="4"/>
      <c r="DG819" s="4"/>
      <c r="DH819" s="4"/>
      <c r="DI819" s="4"/>
      <c r="DJ819" s="4"/>
      <c r="DK819" s="4"/>
      <c r="DL819" s="4"/>
      <c r="DM819" s="4"/>
      <c r="DN819" s="4"/>
      <c r="DO819" s="4"/>
      <c r="DP819" s="4"/>
      <c r="DQ819" s="4"/>
      <c r="DR819" s="4"/>
      <c r="DS819" s="4"/>
      <c r="DT819" s="4"/>
      <c r="DU819" s="4"/>
      <c r="DV819" s="4"/>
      <c r="DW819" s="4"/>
      <c r="DX819" s="4"/>
      <c r="DY819" s="4"/>
      <c r="DZ819" s="4"/>
      <c r="EA819" s="4"/>
      <c r="EB819" s="4"/>
      <c r="EC819" s="4"/>
      <c r="ED819" s="4"/>
      <c r="EE819" s="4"/>
      <c r="EF819" s="4"/>
      <c r="EG819" s="4"/>
      <c r="EH819" s="4"/>
      <c r="EI819" s="4"/>
      <c r="EJ819" s="4"/>
      <c r="EK819" s="4"/>
      <c r="EL819" s="4"/>
      <c r="EM819" s="4"/>
      <c r="EN819" s="4"/>
      <c r="EO819" s="4"/>
      <c r="EP819" s="4"/>
      <c r="EQ819" s="4"/>
      <c r="ER819" s="4"/>
      <c r="ES819" s="4"/>
      <c r="ET819" s="4"/>
      <c r="EU819" s="4"/>
      <c r="EV819" s="4"/>
      <c r="EW819" s="4"/>
      <c r="EX819" s="4"/>
      <c r="EY819" s="4"/>
      <c r="EZ819" s="4"/>
      <c r="FA819" s="4"/>
      <c r="FB819" s="4"/>
      <c r="FC819" s="4"/>
      <c r="FD819" s="4"/>
      <c r="FE819" s="4"/>
      <c r="FF819" s="4"/>
      <c r="FG819" s="4">
        <v>100</v>
      </c>
      <c r="FH819" s="4"/>
      <c r="FI819" s="4"/>
      <c r="FJ819" s="4"/>
      <c r="FK819" s="4"/>
      <c r="FL819" s="4"/>
      <c r="FM819" s="4"/>
      <c r="FN819" s="4"/>
      <c r="FO819" s="4"/>
      <c r="FP819" s="4"/>
      <c r="FQ819" s="4"/>
      <c r="FR819" s="4"/>
      <c r="FS819" s="4"/>
      <c r="FT819" s="4"/>
      <c r="FU819" s="4"/>
      <c r="FV819" s="4"/>
      <c r="FW819" s="4"/>
      <c r="FX819" s="4"/>
      <c r="FY819" s="4"/>
      <c r="FZ819" s="4"/>
      <c r="GA819" s="4"/>
      <c r="GB819" s="4"/>
      <c r="GC819" s="4"/>
      <c r="GD819" s="4"/>
      <c r="GE819" s="4"/>
      <c r="GF819" s="4"/>
    </row>
    <row r="820">
      <c r="A820" s="2" t="s">
        <v>5091</v>
      </c>
      <c r="B820" s="2" t="s">
        <v>429</v>
      </c>
      <c r="C820" s="2" t="s">
        <v>287</v>
      </c>
      <c r="D820" s="2" t="s">
        <v>909</v>
      </c>
      <c r="E820" s="2" t="s">
        <v>910</v>
      </c>
      <c r="F820" s="2" t="s">
        <v>5092</v>
      </c>
      <c r="G820" s="2" t="s">
        <v>5092</v>
      </c>
      <c r="H820" s="2" t="s">
        <v>5092</v>
      </c>
      <c r="I820" s="2" t="s">
        <v>5093</v>
      </c>
      <c r="J820" s="2" t="s">
        <v>434</v>
      </c>
      <c r="K820" s="2" t="s">
        <v>5094</v>
      </c>
      <c r="L820" s="3">
        <v>6.66</v>
      </c>
      <c r="M820" s="3">
        <v>6.99</v>
      </c>
      <c r="N820" s="3">
        <v>19.99</v>
      </c>
      <c r="O820" s="2" t="s">
        <v>203</v>
      </c>
      <c r="P820" s="2" t="s">
        <v>467</v>
      </c>
      <c r="Q820" s="2" t="s">
        <v>205</v>
      </c>
      <c r="R820" s="2" t="s">
        <v>206</v>
      </c>
      <c r="S820" s="2" t="s">
        <v>206</v>
      </c>
      <c r="T820" s="2" t="s">
        <v>206</v>
      </c>
      <c r="U820" s="2" t="s">
        <v>437</v>
      </c>
      <c r="V820" s="2" t="s">
        <v>1002</v>
      </c>
      <c r="W820" s="2" t="s">
        <v>210</v>
      </c>
      <c r="X820" s="2" t="s">
        <v>786</v>
      </c>
      <c r="Y820" s="2" t="s">
        <v>1011</v>
      </c>
      <c r="Z820" s="4">
        <v>207</v>
      </c>
      <c r="AA820" s="4">
        <f>=ROUNDDOWN(41.4,0)</f>
      </c>
      <c r="AB820" s="5">
        <v>5</v>
      </c>
      <c r="AC820" s="2" t="s">
        <v>206</v>
      </c>
      <c r="AD820" s="4"/>
      <c r="AE820" s="4"/>
      <c r="AF820" s="6">
        <v>63</v>
      </c>
      <c r="AG820" s="6"/>
      <c r="AH820" s="7">
        <v>1</v>
      </c>
      <c r="AI820" s="4"/>
      <c r="AJ820" s="4">
        <f>=ROUNDDOWN({0},0)</f>
      </c>
      <c r="AK820" s="5"/>
      <c r="AL820" s="2" t="s">
        <v>206</v>
      </c>
      <c r="AM820" s="4"/>
      <c r="AN820" s="4"/>
      <c r="AO820" s="7"/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/>
      <c r="BD820" s="8"/>
      <c r="BE820" s="4"/>
      <c r="BF820" s="8"/>
      <c r="BG820" s="7"/>
      <c r="BH820" s="7"/>
      <c r="BI820" s="7"/>
      <c r="BJ820" s="4">
        <v>46</v>
      </c>
      <c r="BK820" s="8">
        <v>372.61</v>
      </c>
      <c r="BL820" s="2" t="s">
        <v>5095</v>
      </c>
      <c r="BM820" s="7"/>
      <c r="BN820" s="7"/>
      <c r="BO820" s="4"/>
      <c r="BP820" s="8"/>
      <c r="BQ820" s="4"/>
      <c r="BR820" s="8"/>
      <c r="BS820" s="7"/>
      <c r="BT820" s="7"/>
      <c r="BU820" s="2" t="s">
        <v>5096</v>
      </c>
      <c r="BV820" s="2" t="s">
        <v>206</v>
      </c>
      <c r="BW820" s="2" t="s">
        <v>206</v>
      </c>
      <c r="BX820" s="2" t="s">
        <v>214</v>
      </c>
      <c r="BY820" s="2" t="s">
        <v>215</v>
      </c>
      <c r="BZ820" s="2" t="s">
        <v>203</v>
      </c>
      <c r="CA820" s="2" t="s">
        <v>1006</v>
      </c>
      <c r="CB820" s="2" t="s">
        <v>206</v>
      </c>
      <c r="CC820" s="2" t="s">
        <v>218</v>
      </c>
      <c r="CD820" s="2" t="s">
        <v>206</v>
      </c>
      <c r="CE820" s="4"/>
      <c r="CF820" s="4">
        <v>207</v>
      </c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  <c r="DE820" s="4"/>
      <c r="DF820" s="4"/>
      <c r="DG820" s="4"/>
      <c r="DH820" s="4"/>
      <c r="DI820" s="4"/>
      <c r="DJ820" s="4"/>
      <c r="DK820" s="4"/>
      <c r="DL820" s="4"/>
      <c r="DM820" s="4"/>
      <c r="DN820" s="4"/>
      <c r="DO820" s="4"/>
      <c r="DP820" s="4"/>
      <c r="DQ820" s="4"/>
      <c r="DR820" s="4"/>
      <c r="DS820" s="4"/>
      <c r="DT820" s="4"/>
      <c r="DU820" s="4"/>
      <c r="DV820" s="4"/>
      <c r="DW820" s="4"/>
      <c r="DX820" s="4"/>
      <c r="DY820" s="4"/>
      <c r="DZ820" s="4"/>
      <c r="EA820" s="4"/>
      <c r="EB820" s="4"/>
      <c r="EC820" s="4"/>
      <c r="ED820" s="4"/>
      <c r="EE820" s="4"/>
      <c r="EF820" s="4"/>
      <c r="EG820" s="4"/>
      <c r="EH820" s="4"/>
      <c r="EI820" s="4"/>
      <c r="EJ820" s="4"/>
      <c r="EK820" s="4"/>
      <c r="EL820" s="4"/>
      <c r="EM820" s="4"/>
      <c r="EN820" s="4"/>
      <c r="EO820" s="4"/>
      <c r="EP820" s="4"/>
      <c r="EQ820" s="4"/>
      <c r="ER820" s="4"/>
      <c r="ES820" s="4"/>
      <c r="ET820" s="4"/>
      <c r="EU820" s="4"/>
      <c r="EV820" s="4"/>
      <c r="EW820" s="4"/>
      <c r="EX820" s="4"/>
      <c r="EY820" s="4"/>
      <c r="EZ820" s="4"/>
      <c r="FA820" s="4"/>
      <c r="FB820" s="4"/>
      <c r="FC820" s="4"/>
      <c r="FD820" s="4"/>
      <c r="FE820" s="4"/>
      <c r="FF820" s="4"/>
      <c r="FG820" s="4"/>
      <c r="FH820" s="4"/>
      <c r="FI820" s="4"/>
      <c r="FJ820" s="4"/>
      <c r="FK820" s="4"/>
      <c r="FL820" s="4"/>
      <c r="FM820" s="4"/>
      <c r="FN820" s="4"/>
      <c r="FO820" s="4"/>
      <c r="FP820" s="4"/>
      <c r="FQ820" s="4"/>
      <c r="FR820" s="4"/>
      <c r="FS820" s="4"/>
      <c r="FT820" s="4"/>
      <c r="FU820" s="4"/>
      <c r="FV820" s="4"/>
      <c r="FW820" s="4"/>
      <c r="FX820" s="4"/>
      <c r="FY820" s="4"/>
      <c r="FZ820" s="4"/>
      <c r="GA820" s="4"/>
      <c r="GB820" s="4"/>
      <c r="GC820" s="4"/>
      <c r="GD820" s="4"/>
      <c r="GE820" s="4"/>
      <c r="GF820" s="4"/>
    </row>
    <row r="821">
      <c r="A821" s="2" t="s">
        <v>5097</v>
      </c>
      <c r="B821" s="2" t="s">
        <v>528</v>
      </c>
      <c r="C821" s="2" t="s">
        <v>1689</v>
      </c>
      <c r="D821" s="2" t="s">
        <v>548</v>
      </c>
      <c r="E821" s="2" t="s">
        <v>549</v>
      </c>
      <c r="F821" s="2" t="s">
        <v>5098</v>
      </c>
      <c r="G821" s="2" t="s">
        <v>206</v>
      </c>
      <c r="H821" s="2" t="s">
        <v>206</v>
      </c>
      <c r="I821" s="2" t="s">
        <v>5099</v>
      </c>
      <c r="J821" s="2" t="s">
        <v>593</v>
      </c>
      <c r="K821" s="2" t="s">
        <v>1060</v>
      </c>
      <c r="L821" s="3">
        <v>96.89</v>
      </c>
      <c r="M821" s="3">
        <v>101.74</v>
      </c>
      <c r="N821" s="3">
        <v>199.99</v>
      </c>
      <c r="O821" s="2" t="s">
        <v>203</v>
      </c>
      <c r="P821" s="2" t="s">
        <v>204</v>
      </c>
      <c r="Q821" s="2" t="s">
        <v>205</v>
      </c>
      <c r="R821" s="2" t="s">
        <v>206</v>
      </c>
      <c r="S821" s="2" t="s">
        <v>5100</v>
      </c>
      <c r="T821" s="2" t="s">
        <v>206</v>
      </c>
      <c r="U821" s="2" t="s">
        <v>206</v>
      </c>
      <c r="V821" s="2" t="s">
        <v>3421</v>
      </c>
      <c r="W821" s="2" t="s">
        <v>786</v>
      </c>
      <c r="X821" s="2" t="s">
        <v>1322</v>
      </c>
      <c r="Y821" s="2" t="s">
        <v>2044</v>
      </c>
      <c r="Z821" s="4">
        <v>99</v>
      </c>
      <c r="AA821" s="4">
        <f>=ROUNDDOWN(43.0434782608696,0)</f>
      </c>
      <c r="AB821" s="5">
        <v>2.3</v>
      </c>
      <c r="AC821" s="2" t="s">
        <v>206</v>
      </c>
      <c r="AD821" s="4"/>
      <c r="AE821" s="4"/>
      <c r="AF821" s="6">
        <v>69</v>
      </c>
      <c r="AG821" s="6"/>
      <c r="AH821" s="7">
        <v>1</v>
      </c>
      <c r="AI821" s="4"/>
      <c r="AJ821" s="4">
        <f>=ROUNDDOWN({0},0)</f>
      </c>
      <c r="AK821" s="5"/>
      <c r="AL821" s="2" t="s">
        <v>206</v>
      </c>
      <c r="AM821" s="4"/>
      <c r="AN821" s="4"/>
      <c r="AO821" s="7"/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/>
      <c r="BD821" s="8"/>
      <c r="BE821" s="4"/>
      <c r="BF821" s="8"/>
      <c r="BG821" s="7"/>
      <c r="BH821" s="7"/>
      <c r="BI821" s="7"/>
      <c r="BJ821" s="4">
        <v>18</v>
      </c>
      <c r="BK821" s="8">
        <v>1665.83</v>
      </c>
      <c r="BL821" s="2" t="s">
        <v>5101</v>
      </c>
      <c r="BM821" s="7"/>
      <c r="BN821" s="7"/>
      <c r="BO821" s="4"/>
      <c r="BP821" s="8"/>
      <c r="BQ821" s="4"/>
      <c r="BR821" s="8"/>
      <c r="BS821" s="7"/>
      <c r="BT821" s="7"/>
      <c r="BU821" s="2" t="s">
        <v>5102</v>
      </c>
      <c r="BV821" s="2" t="s">
        <v>206</v>
      </c>
      <c r="BW821" s="2" t="s">
        <v>206</v>
      </c>
      <c r="BX821" s="2" t="s">
        <v>214</v>
      </c>
      <c r="BY821" s="2" t="s">
        <v>215</v>
      </c>
      <c r="BZ821" s="2" t="s">
        <v>203</v>
      </c>
      <c r="CA821" s="2" t="s">
        <v>4722</v>
      </c>
      <c r="CB821" s="2" t="s">
        <v>5103</v>
      </c>
      <c r="CC821" s="2" t="s">
        <v>218</v>
      </c>
      <c r="CD821" s="2" t="s">
        <v>206</v>
      </c>
      <c r="CE821" s="4">
        <v>49</v>
      </c>
      <c r="CF821" s="4">
        <v>50</v>
      </c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  <c r="DE821" s="4"/>
      <c r="DF821" s="4"/>
      <c r="DG821" s="4"/>
      <c r="DH821" s="4"/>
      <c r="DI821" s="4"/>
      <c r="DJ821" s="4"/>
      <c r="DK821" s="4"/>
      <c r="DL821" s="4"/>
      <c r="DM821" s="4"/>
      <c r="DN821" s="4"/>
      <c r="DO821" s="4"/>
      <c r="DP821" s="4"/>
      <c r="DQ821" s="4"/>
      <c r="DR821" s="4"/>
      <c r="DS821" s="4"/>
      <c r="DT821" s="4"/>
      <c r="DU821" s="4"/>
      <c r="DV821" s="4"/>
      <c r="DW821" s="4"/>
      <c r="DX821" s="4"/>
      <c r="DY821" s="4"/>
      <c r="DZ821" s="4"/>
      <c r="EA821" s="4"/>
      <c r="EB821" s="4"/>
      <c r="EC821" s="4"/>
      <c r="ED821" s="4"/>
      <c r="EE821" s="4"/>
      <c r="EF821" s="4"/>
      <c r="EG821" s="4"/>
      <c r="EH821" s="4"/>
      <c r="EI821" s="4"/>
      <c r="EJ821" s="4"/>
      <c r="EK821" s="4"/>
      <c r="EL821" s="4"/>
      <c r="EM821" s="4"/>
      <c r="EN821" s="4"/>
      <c r="EO821" s="4"/>
      <c r="EP821" s="4"/>
      <c r="EQ821" s="4"/>
      <c r="ER821" s="4"/>
      <c r="ES821" s="4"/>
      <c r="ET821" s="4"/>
      <c r="EU821" s="4"/>
      <c r="EV821" s="4"/>
      <c r="EW821" s="4"/>
      <c r="EX821" s="4"/>
      <c r="EY821" s="4"/>
      <c r="EZ821" s="4"/>
      <c r="FA821" s="4"/>
      <c r="FB821" s="4"/>
      <c r="FC821" s="4"/>
      <c r="FD821" s="4"/>
      <c r="FE821" s="4"/>
      <c r="FF821" s="4"/>
      <c r="FG821" s="4"/>
      <c r="FH821" s="4"/>
      <c r="FI821" s="4"/>
      <c r="FJ821" s="4"/>
      <c r="FK821" s="4"/>
      <c r="FL821" s="4"/>
      <c r="FM821" s="4"/>
      <c r="FN821" s="4"/>
      <c r="FO821" s="4"/>
      <c r="FP821" s="4"/>
      <c r="FQ821" s="4"/>
      <c r="FR821" s="4"/>
      <c r="FS821" s="4"/>
      <c r="FT821" s="4"/>
      <c r="FU821" s="4"/>
      <c r="FV821" s="4"/>
      <c r="FW821" s="4"/>
      <c r="FX821" s="4"/>
      <c r="FY821" s="4"/>
      <c r="FZ821" s="4"/>
      <c r="GA821" s="4"/>
      <c r="GB821" s="4"/>
      <c r="GC821" s="4"/>
      <c r="GD821" s="4"/>
      <c r="GE821" s="4"/>
      <c r="GF821" s="4"/>
    </row>
    <row r="822">
      <c r="A822" s="2" t="s">
        <v>5104</v>
      </c>
      <c r="B822" s="2" t="s">
        <v>461</v>
      </c>
      <c r="C822" s="2" t="s">
        <v>462</v>
      </c>
      <c r="D822" s="2" t="s">
        <v>1072</v>
      </c>
      <c r="E822" s="2" t="s">
        <v>1073</v>
      </c>
      <c r="F822" s="2" t="s">
        <v>5105</v>
      </c>
      <c r="G822" s="2" t="s">
        <v>5105</v>
      </c>
      <c r="H822" s="2" t="s">
        <v>5105</v>
      </c>
      <c r="I822" s="2" t="s">
        <v>5106</v>
      </c>
      <c r="J822" s="2" t="s">
        <v>434</v>
      </c>
      <c r="K822" s="2" t="s">
        <v>336</v>
      </c>
      <c r="L822" s="3">
        <v>195</v>
      </c>
      <c r="M822" s="3">
        <v>204.75</v>
      </c>
      <c r="N822" s="3">
        <v>409</v>
      </c>
      <c r="O822" s="2" t="s">
        <v>203</v>
      </c>
      <c r="P822" s="2" t="s">
        <v>467</v>
      </c>
      <c r="Q822" s="2" t="s">
        <v>205</v>
      </c>
      <c r="R822" s="2" t="s">
        <v>206</v>
      </c>
      <c r="S822" s="2" t="s">
        <v>5107</v>
      </c>
      <c r="T822" s="2" t="s">
        <v>206</v>
      </c>
      <c r="U822" s="2" t="s">
        <v>206</v>
      </c>
      <c r="V822" s="2" t="s">
        <v>209</v>
      </c>
      <c r="W822" s="2" t="s">
        <v>1210</v>
      </c>
      <c r="X822" s="2" t="s">
        <v>206</v>
      </c>
      <c r="Y822" s="2" t="s">
        <v>211</v>
      </c>
      <c r="Z822" s="4">
        <v>96</v>
      </c>
      <c r="AA822" s="4">
        <f>=ROUNDDOWN(96,0)</f>
      </c>
      <c r="AB822" s="5">
        <v>1</v>
      </c>
      <c r="AC822" s="2" t="s">
        <v>206</v>
      </c>
      <c r="AD822" s="4"/>
      <c r="AE822" s="4"/>
      <c r="AF822" s="6">
        <v>76</v>
      </c>
      <c r="AG822" s="6"/>
      <c r="AH822" s="7">
        <v>1</v>
      </c>
      <c r="AI822" s="4"/>
      <c r="AJ822" s="4">
        <f>=ROUNDDOWN({0},0)</f>
      </c>
      <c r="AK822" s="5"/>
      <c r="AL822" s="2" t="s">
        <v>206</v>
      </c>
      <c r="AM822" s="4"/>
      <c r="AN822" s="4"/>
      <c r="AO822" s="7"/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/>
      <c r="BD822" s="8"/>
      <c r="BE822" s="4"/>
      <c r="BF822" s="8"/>
      <c r="BG822" s="7"/>
      <c r="BH822" s="7"/>
      <c r="BI822" s="7"/>
      <c r="BJ822" s="4"/>
      <c r="BK822" s="8"/>
      <c r="BL822" s="2" t="s">
        <v>206</v>
      </c>
      <c r="BM822" s="7"/>
      <c r="BN822" s="7"/>
      <c r="BO822" s="4"/>
      <c r="BP822" s="8"/>
      <c r="BQ822" s="4"/>
      <c r="BR822" s="8"/>
      <c r="BS822" s="7"/>
      <c r="BT822" s="7"/>
      <c r="BU822" s="2" t="s">
        <v>5108</v>
      </c>
      <c r="BV822" s="2" t="s">
        <v>206</v>
      </c>
      <c r="BW822" s="2" t="s">
        <v>206</v>
      </c>
      <c r="BX822" s="2" t="s">
        <v>214</v>
      </c>
      <c r="BY822" s="2" t="s">
        <v>215</v>
      </c>
      <c r="BZ822" s="2" t="s">
        <v>203</v>
      </c>
      <c r="CA822" s="2" t="s">
        <v>2144</v>
      </c>
      <c r="CB822" s="2" t="s">
        <v>5109</v>
      </c>
      <c r="CC822" s="2" t="s">
        <v>218</v>
      </c>
      <c r="CD822" s="2" t="s">
        <v>206</v>
      </c>
      <c r="CE822" s="4"/>
      <c r="CF822" s="4">
        <v>96</v>
      </c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  <c r="DE822" s="4"/>
      <c r="DF822" s="4"/>
      <c r="DG822" s="4"/>
      <c r="DH822" s="4"/>
      <c r="DI822" s="4"/>
      <c r="DJ822" s="4"/>
      <c r="DK822" s="4"/>
      <c r="DL822" s="4"/>
      <c r="DM822" s="4"/>
      <c r="DN822" s="4"/>
      <c r="DO822" s="4"/>
      <c r="DP822" s="4"/>
      <c r="DQ822" s="4"/>
      <c r="DR822" s="4"/>
      <c r="DS822" s="4"/>
      <c r="DT822" s="4"/>
      <c r="DU822" s="4"/>
      <c r="DV822" s="4"/>
      <c r="DW822" s="4"/>
      <c r="DX822" s="4"/>
      <c r="DY822" s="4"/>
      <c r="DZ822" s="4"/>
      <c r="EA822" s="4"/>
      <c r="EB822" s="4"/>
      <c r="EC822" s="4"/>
      <c r="ED822" s="4"/>
      <c r="EE822" s="4"/>
      <c r="EF822" s="4"/>
      <c r="EG822" s="4"/>
      <c r="EH822" s="4"/>
      <c r="EI822" s="4"/>
      <c r="EJ822" s="4"/>
      <c r="EK822" s="4"/>
      <c r="EL822" s="4"/>
      <c r="EM822" s="4"/>
      <c r="EN822" s="4"/>
      <c r="EO822" s="4"/>
      <c r="EP822" s="4"/>
      <c r="EQ822" s="4"/>
      <c r="ER822" s="4"/>
      <c r="ES822" s="4"/>
      <c r="ET822" s="4"/>
      <c r="EU822" s="4"/>
      <c r="EV822" s="4"/>
      <c r="EW822" s="4"/>
      <c r="EX822" s="4"/>
      <c r="EY822" s="4"/>
      <c r="EZ822" s="4"/>
      <c r="FA822" s="4"/>
      <c r="FB822" s="4"/>
      <c r="FC822" s="4"/>
      <c r="FD822" s="4"/>
      <c r="FE822" s="4"/>
      <c r="FF822" s="4"/>
      <c r="FG822" s="4"/>
      <c r="FH822" s="4"/>
      <c r="FI822" s="4"/>
      <c r="FJ822" s="4"/>
      <c r="FK822" s="4"/>
      <c r="FL822" s="4"/>
      <c r="FM822" s="4"/>
      <c r="FN822" s="4"/>
      <c r="FO822" s="4"/>
      <c r="FP822" s="4"/>
      <c r="FQ822" s="4"/>
      <c r="FR822" s="4"/>
      <c r="FS822" s="4"/>
      <c r="FT822" s="4"/>
      <c r="FU822" s="4"/>
      <c r="FV822" s="4"/>
      <c r="FW822" s="4"/>
      <c r="FX822" s="4"/>
      <c r="FY822" s="4"/>
      <c r="FZ822" s="4"/>
      <c r="GA822" s="4"/>
      <c r="GB822" s="4"/>
      <c r="GC822" s="4"/>
      <c r="GD822" s="4"/>
      <c r="GE822" s="4"/>
      <c r="GF822" s="4"/>
    </row>
    <row r="823">
      <c r="A823" s="2" t="s">
        <v>5110</v>
      </c>
      <c r="B823" s="2" t="s">
        <v>528</v>
      </c>
      <c r="C823" s="2" t="s">
        <v>462</v>
      </c>
      <c r="D823" s="2" t="s">
        <v>548</v>
      </c>
      <c r="E823" s="2" t="s">
        <v>579</v>
      </c>
      <c r="F823" s="2" t="s">
        <v>5111</v>
      </c>
      <c r="G823" s="2" t="s">
        <v>5111</v>
      </c>
      <c r="H823" s="2" t="s">
        <v>5111</v>
      </c>
      <c r="I823" s="2" t="s">
        <v>5112</v>
      </c>
      <c r="J823" s="2" t="s">
        <v>593</v>
      </c>
      <c r="K823" s="2" t="s">
        <v>5113</v>
      </c>
      <c r="L823" s="3">
        <v>53.9</v>
      </c>
      <c r="M823" s="3">
        <v>56.6</v>
      </c>
      <c r="N823" s="3">
        <v>109.99</v>
      </c>
      <c r="O823" s="2" t="s">
        <v>203</v>
      </c>
      <c r="P823" s="2" t="s">
        <v>204</v>
      </c>
      <c r="Q823" s="2" t="s">
        <v>205</v>
      </c>
      <c r="R823" s="2" t="s">
        <v>206</v>
      </c>
      <c r="S823" s="2" t="s">
        <v>5114</v>
      </c>
      <c r="T823" s="2" t="s">
        <v>234</v>
      </c>
      <c r="U823" s="2" t="s">
        <v>556</v>
      </c>
      <c r="V823" s="2" t="s">
        <v>438</v>
      </c>
      <c r="W823" s="2" t="s">
        <v>1322</v>
      </c>
      <c r="X823" s="2" t="s">
        <v>210</v>
      </c>
      <c r="Y823" s="2" t="s">
        <v>1304</v>
      </c>
      <c r="Z823" s="4">
        <v>89</v>
      </c>
      <c r="AA823" s="4">
        <f>=ROUNDDOWN(14.8333333333333,0)</f>
      </c>
      <c r="AB823" s="5">
        <v>6</v>
      </c>
      <c r="AC823" s="2" t="s">
        <v>141</v>
      </c>
      <c r="AD823" s="4">
        <v>100</v>
      </c>
      <c r="AE823" s="4">
        <v>170</v>
      </c>
      <c r="AF823" s="6">
        <v>67</v>
      </c>
      <c r="AG823" s="6"/>
      <c r="AH823" s="7">
        <v>1</v>
      </c>
      <c r="AI823" s="4"/>
      <c r="AJ823" s="4">
        <f>=ROUNDDOWN({0},0)</f>
      </c>
      <c r="AK823" s="5"/>
      <c r="AL823" s="2" t="s">
        <v>206</v>
      </c>
      <c r="AM823" s="4"/>
      <c r="AN823" s="4"/>
      <c r="AO823" s="7"/>
      <c r="AP823" s="4"/>
      <c r="AQ823" s="8"/>
      <c r="AR823" s="4"/>
      <c r="AS823" s="8"/>
      <c r="AT823" s="7"/>
      <c r="AU823" s="7"/>
      <c r="AV823" s="4" t="s">
        <v>206</v>
      </c>
      <c r="AW823" s="8" t="s">
        <v>206</v>
      </c>
      <c r="AX823" s="4" t="s">
        <v>206</v>
      </c>
      <c r="AY823" s="8" t="s">
        <v>206</v>
      </c>
      <c r="AZ823" s="7" t="s">
        <v>206</v>
      </c>
      <c r="BA823" s="7" t="s">
        <v>206</v>
      </c>
      <c r="BB823" s="7"/>
      <c r="BC823" s="4" t="s">
        <v>206</v>
      </c>
      <c r="BD823" s="8" t="s">
        <v>206</v>
      </c>
      <c r="BE823" s="4" t="s">
        <v>206</v>
      </c>
      <c r="BF823" s="8" t="s">
        <v>206</v>
      </c>
      <c r="BG823" s="7" t="s">
        <v>206</v>
      </c>
      <c r="BH823" s="7" t="s">
        <v>206</v>
      </c>
      <c r="BI823" s="7"/>
      <c r="BJ823" s="4">
        <v>17</v>
      </c>
      <c r="BK823" s="8">
        <v>1034.03</v>
      </c>
      <c r="BL823" s="2" t="s">
        <v>5115</v>
      </c>
      <c r="BM823" s="7"/>
      <c r="BN823" s="7"/>
      <c r="BO823" s="4"/>
      <c r="BP823" s="8"/>
      <c r="BQ823" s="4"/>
      <c r="BR823" s="8"/>
      <c r="BS823" s="7"/>
      <c r="BT823" s="7"/>
      <c r="BU823" s="2" t="s">
        <v>5116</v>
      </c>
      <c r="BV823" s="2" t="s">
        <v>206</v>
      </c>
      <c r="BW823" s="2" t="s">
        <v>206</v>
      </c>
      <c r="BX823" s="2" t="s">
        <v>214</v>
      </c>
      <c r="BY823" s="2" t="s">
        <v>215</v>
      </c>
      <c r="BZ823" s="2" t="s">
        <v>203</v>
      </c>
      <c r="CA823" s="2" t="s">
        <v>3616</v>
      </c>
      <c r="CB823" s="2" t="s">
        <v>2334</v>
      </c>
      <c r="CC823" s="2" t="s">
        <v>218</v>
      </c>
      <c r="CD823" s="2" t="s">
        <v>206</v>
      </c>
      <c r="CE823" s="4">
        <v>89</v>
      </c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  <c r="DE823" s="4"/>
      <c r="DF823" s="4"/>
      <c r="DG823" s="4"/>
      <c r="DH823" s="4"/>
      <c r="DI823" s="4"/>
      <c r="DJ823" s="4"/>
      <c r="DK823" s="4"/>
      <c r="DL823" s="4"/>
      <c r="DM823" s="4"/>
      <c r="DN823" s="4"/>
      <c r="DO823" s="4"/>
      <c r="DP823" s="4"/>
      <c r="DQ823" s="4"/>
      <c r="DR823" s="4"/>
      <c r="DS823" s="4"/>
      <c r="DT823" s="4"/>
      <c r="DU823" s="4"/>
      <c r="DV823" s="4"/>
      <c r="DW823" s="4"/>
      <c r="DX823" s="4"/>
      <c r="DY823" s="4"/>
      <c r="DZ823" s="4"/>
      <c r="EA823" s="4"/>
      <c r="EB823" s="4"/>
      <c r="EC823" s="4">
        <v>100</v>
      </c>
      <c r="ED823" s="4"/>
      <c r="EE823" s="4"/>
      <c r="EF823" s="4"/>
      <c r="EG823" s="4"/>
      <c r="EH823" s="4"/>
      <c r="EI823" s="4"/>
      <c r="EJ823" s="4"/>
      <c r="EK823" s="4"/>
      <c r="EL823" s="4"/>
      <c r="EM823" s="4"/>
      <c r="EN823" s="4"/>
      <c r="EO823" s="4"/>
      <c r="EP823" s="4"/>
      <c r="EQ823" s="4"/>
      <c r="ER823" s="4"/>
      <c r="ES823" s="4"/>
      <c r="ET823" s="4"/>
      <c r="EU823" s="4"/>
      <c r="EV823" s="4"/>
      <c r="EW823" s="4"/>
      <c r="EX823" s="4"/>
      <c r="EY823" s="4"/>
      <c r="EZ823" s="4"/>
      <c r="FA823" s="4"/>
      <c r="FB823" s="4"/>
      <c r="FC823" s="4"/>
      <c r="FD823" s="4"/>
      <c r="FE823" s="4">
        <v>70</v>
      </c>
      <c r="FF823" s="4"/>
      <c r="FG823" s="4"/>
      <c r="FH823" s="4"/>
      <c r="FI823" s="4"/>
      <c r="FJ823" s="4"/>
      <c r="FK823" s="4"/>
      <c r="FL823" s="4"/>
      <c r="FM823" s="4"/>
      <c r="FN823" s="4"/>
      <c r="FO823" s="4"/>
      <c r="FP823" s="4"/>
      <c r="FQ823" s="4"/>
      <c r="FR823" s="4"/>
      <c r="FS823" s="4"/>
      <c r="FT823" s="4"/>
      <c r="FU823" s="4"/>
      <c r="FV823" s="4"/>
      <c r="FW823" s="4"/>
      <c r="FX823" s="4"/>
      <c r="FY823" s="4"/>
      <c r="FZ823" s="4"/>
      <c r="GA823" s="4"/>
      <c r="GB823" s="4"/>
      <c r="GC823" s="4"/>
      <c r="GD823" s="4"/>
      <c r="GE823" s="4"/>
      <c r="GF823" s="4"/>
    </row>
    <row r="824">
      <c r="A824" s="2" t="s">
        <v>5117</v>
      </c>
      <c r="B824" s="2" t="s">
        <v>528</v>
      </c>
      <c r="C824" s="2" t="s">
        <v>462</v>
      </c>
      <c r="D824" s="2" t="s">
        <v>548</v>
      </c>
      <c r="E824" s="2" t="s">
        <v>579</v>
      </c>
      <c r="F824" s="2" t="s">
        <v>5111</v>
      </c>
      <c r="G824" s="2" t="s">
        <v>5111</v>
      </c>
      <c r="H824" s="2" t="s">
        <v>5111</v>
      </c>
      <c r="I824" s="2" t="s">
        <v>5112</v>
      </c>
      <c r="J824" s="2" t="s">
        <v>582</v>
      </c>
      <c r="K824" s="2" t="s">
        <v>5113</v>
      </c>
      <c r="L824" s="3">
        <v>67.2</v>
      </c>
      <c r="M824" s="3">
        <v>70.56</v>
      </c>
      <c r="N824" s="3">
        <v>139.99</v>
      </c>
      <c r="O824" s="2" t="s">
        <v>203</v>
      </c>
      <c r="P824" s="2" t="s">
        <v>204</v>
      </c>
      <c r="Q824" s="2" t="s">
        <v>205</v>
      </c>
      <c r="R824" s="2" t="s">
        <v>206</v>
      </c>
      <c r="S824" s="2" t="s">
        <v>5114</v>
      </c>
      <c r="T824" s="2" t="s">
        <v>234</v>
      </c>
      <c r="U824" s="2" t="s">
        <v>556</v>
      </c>
      <c r="V824" s="2" t="s">
        <v>438</v>
      </c>
      <c r="W824" s="2" t="s">
        <v>1322</v>
      </c>
      <c r="X824" s="2" t="s">
        <v>210</v>
      </c>
      <c r="Y824" s="2" t="s">
        <v>1304</v>
      </c>
      <c r="Z824" s="4">
        <v>103</v>
      </c>
      <c r="AA824" s="4">
        <f>=ROUNDDOWN(23.953488372093,0)</f>
      </c>
      <c r="AB824" s="5">
        <v>4.3</v>
      </c>
      <c r="AC824" s="2" t="s">
        <v>141</v>
      </c>
      <c r="AD824" s="4">
        <v>150</v>
      </c>
      <c r="AE824" s="4">
        <v>150</v>
      </c>
      <c r="AF824" s="6">
        <v>67</v>
      </c>
      <c r="AG824" s="6"/>
      <c r="AH824" s="7">
        <v>1</v>
      </c>
      <c r="AI824" s="4"/>
      <c r="AJ824" s="4">
        <f>=ROUNDDOWN({0},0)</f>
      </c>
      <c r="AK824" s="5"/>
      <c r="AL824" s="2" t="s">
        <v>206</v>
      </c>
      <c r="AM824" s="4"/>
      <c r="AN824" s="4"/>
      <c r="AO824" s="7"/>
      <c r="AP824" s="4"/>
      <c r="AQ824" s="8"/>
      <c r="AR824" s="4"/>
      <c r="AS824" s="8"/>
      <c r="AT824" s="7"/>
      <c r="AU824" s="7"/>
      <c r="AV824" s="4" t="s">
        <v>206</v>
      </c>
      <c r="AW824" s="8" t="s">
        <v>206</v>
      </c>
      <c r="AX824" s="4" t="s">
        <v>206</v>
      </c>
      <c r="AY824" s="8" t="s">
        <v>206</v>
      </c>
      <c r="AZ824" s="7" t="s">
        <v>206</v>
      </c>
      <c r="BA824" s="7" t="s">
        <v>206</v>
      </c>
      <c r="BB824" s="7"/>
      <c r="BC824" s="4" t="s">
        <v>206</v>
      </c>
      <c r="BD824" s="8" t="s">
        <v>206</v>
      </c>
      <c r="BE824" s="4" t="s">
        <v>206</v>
      </c>
      <c r="BF824" s="8" t="s">
        <v>206</v>
      </c>
      <c r="BG824" s="7" t="s">
        <v>206</v>
      </c>
      <c r="BH824" s="7" t="s">
        <v>206</v>
      </c>
      <c r="BI824" s="7"/>
      <c r="BJ824" s="4">
        <v>13</v>
      </c>
      <c r="BK824" s="8">
        <v>952.55</v>
      </c>
      <c r="BL824" s="2" t="s">
        <v>5118</v>
      </c>
      <c r="BM824" s="7"/>
      <c r="BN824" s="7"/>
      <c r="BO824" s="4"/>
      <c r="BP824" s="8"/>
      <c r="BQ824" s="4"/>
      <c r="BR824" s="8"/>
      <c r="BS824" s="7"/>
      <c r="BT824" s="7"/>
      <c r="BU824" s="2" t="s">
        <v>5119</v>
      </c>
      <c r="BV824" s="2" t="s">
        <v>206</v>
      </c>
      <c r="BW824" s="2" t="s">
        <v>206</v>
      </c>
      <c r="BX824" s="2" t="s">
        <v>214</v>
      </c>
      <c r="BY824" s="2" t="s">
        <v>215</v>
      </c>
      <c r="BZ824" s="2" t="s">
        <v>203</v>
      </c>
      <c r="CA824" s="2" t="s">
        <v>3616</v>
      </c>
      <c r="CB824" s="2" t="s">
        <v>5120</v>
      </c>
      <c r="CC824" s="2" t="s">
        <v>218</v>
      </c>
      <c r="CD824" s="2" t="s">
        <v>206</v>
      </c>
      <c r="CE824" s="4">
        <v>103</v>
      </c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  <c r="DE824" s="4"/>
      <c r="DF824" s="4"/>
      <c r="DG824" s="4"/>
      <c r="DH824" s="4"/>
      <c r="DI824" s="4"/>
      <c r="DJ824" s="4"/>
      <c r="DK824" s="4"/>
      <c r="DL824" s="4"/>
      <c r="DM824" s="4"/>
      <c r="DN824" s="4"/>
      <c r="DO824" s="4"/>
      <c r="DP824" s="4"/>
      <c r="DQ824" s="4"/>
      <c r="DR824" s="4"/>
      <c r="DS824" s="4"/>
      <c r="DT824" s="4"/>
      <c r="DU824" s="4"/>
      <c r="DV824" s="4"/>
      <c r="DW824" s="4"/>
      <c r="DX824" s="4"/>
      <c r="DY824" s="4"/>
      <c r="DZ824" s="4"/>
      <c r="EA824" s="4"/>
      <c r="EB824" s="4"/>
      <c r="EC824" s="4">
        <v>150</v>
      </c>
      <c r="ED824" s="4"/>
      <c r="EE824" s="4"/>
      <c r="EF824" s="4"/>
      <c r="EG824" s="4"/>
      <c r="EH824" s="4"/>
      <c r="EI824" s="4"/>
      <c r="EJ824" s="4"/>
      <c r="EK824" s="4"/>
      <c r="EL824" s="4"/>
      <c r="EM824" s="4"/>
      <c r="EN824" s="4"/>
      <c r="EO824" s="4"/>
      <c r="EP824" s="4"/>
      <c r="EQ824" s="4"/>
      <c r="ER824" s="4"/>
      <c r="ES824" s="4"/>
      <c r="ET824" s="4"/>
      <c r="EU824" s="4"/>
      <c r="EV824" s="4"/>
      <c r="EW824" s="4"/>
      <c r="EX824" s="4"/>
      <c r="EY824" s="4"/>
      <c r="EZ824" s="4"/>
      <c r="FA824" s="4"/>
      <c r="FB824" s="4"/>
      <c r="FC824" s="4"/>
      <c r="FD824" s="4"/>
      <c r="FE824" s="4"/>
      <c r="FF824" s="4"/>
      <c r="FG824" s="4"/>
      <c r="FH824" s="4"/>
      <c r="FI824" s="4"/>
      <c r="FJ824" s="4"/>
      <c r="FK824" s="4"/>
      <c r="FL824" s="4"/>
      <c r="FM824" s="4"/>
      <c r="FN824" s="4"/>
      <c r="FO824" s="4"/>
      <c r="FP824" s="4"/>
      <c r="FQ824" s="4"/>
      <c r="FR824" s="4"/>
      <c r="FS824" s="4"/>
      <c r="FT824" s="4"/>
      <c r="FU824" s="4"/>
      <c r="FV824" s="4"/>
      <c r="FW824" s="4"/>
      <c r="FX824" s="4"/>
      <c r="FY824" s="4"/>
      <c r="FZ824" s="4"/>
      <c r="GA824" s="4"/>
      <c r="GB824" s="4"/>
      <c r="GC824" s="4"/>
      <c r="GD824" s="4"/>
      <c r="GE824" s="4"/>
      <c r="GF824" s="4"/>
    </row>
    <row r="825">
      <c r="A825" s="2" t="s">
        <v>5121</v>
      </c>
      <c r="B825" s="2" t="s">
        <v>429</v>
      </c>
      <c r="C825" s="2" t="s">
        <v>447</v>
      </c>
      <c r="D825" s="2" t="s">
        <v>430</v>
      </c>
      <c r="E825" s="2" t="s">
        <v>2171</v>
      </c>
      <c r="F825" s="2" t="s">
        <v>5122</v>
      </c>
      <c r="G825" s="2" t="s">
        <v>5122</v>
      </c>
      <c r="H825" s="2" t="s">
        <v>5122</v>
      </c>
      <c r="I825" s="2" t="s">
        <v>5123</v>
      </c>
      <c r="J825" s="2" t="s">
        <v>434</v>
      </c>
      <c r="K825" s="2" t="s">
        <v>450</v>
      </c>
      <c r="L825" s="3">
        <v>38.09</v>
      </c>
      <c r="M825" s="3">
        <v>39.99</v>
      </c>
      <c r="N825" s="3">
        <v>79.99</v>
      </c>
      <c r="O825" s="2" t="s">
        <v>203</v>
      </c>
      <c r="P825" s="2" t="s">
        <v>204</v>
      </c>
      <c r="Q825" s="2" t="s">
        <v>205</v>
      </c>
      <c r="R825" s="2" t="s">
        <v>206</v>
      </c>
      <c r="S825" s="2" t="s">
        <v>206</v>
      </c>
      <c r="T825" s="2" t="s">
        <v>206</v>
      </c>
      <c r="U825" s="2" t="s">
        <v>900</v>
      </c>
      <c r="V825" s="2" t="s">
        <v>1002</v>
      </c>
      <c r="W825" s="2" t="s">
        <v>901</v>
      </c>
      <c r="X825" s="2" t="s">
        <v>2757</v>
      </c>
      <c r="Y825" s="2" t="s">
        <v>2758</v>
      </c>
      <c r="Z825" s="4">
        <v>66</v>
      </c>
      <c r="AA825" s="4">
        <f>=ROUNDDOWN(16.5,0)</f>
      </c>
      <c r="AB825" s="5">
        <v>4</v>
      </c>
      <c r="AC825" s="2" t="s">
        <v>441</v>
      </c>
      <c r="AD825" s="4">
        <v>70</v>
      </c>
      <c r="AE825" s="4">
        <v>70</v>
      </c>
      <c r="AF825" s="6">
        <v>65</v>
      </c>
      <c r="AG825" s="6"/>
      <c r="AH825" s="7">
        <v>0.6452</v>
      </c>
      <c r="AI825" s="4"/>
      <c r="AJ825" s="4">
        <f>=ROUNDDOWN({0},0)</f>
      </c>
      <c r="AK825" s="5"/>
      <c r="AL825" s="2" t="s">
        <v>206</v>
      </c>
      <c r="AM825" s="4"/>
      <c r="AN825" s="4"/>
      <c r="AO825" s="7"/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/>
      <c r="BD825" s="8"/>
      <c r="BE825" s="4"/>
      <c r="BF825" s="8"/>
      <c r="BG825" s="7"/>
      <c r="BH825" s="7"/>
      <c r="BI825" s="7"/>
      <c r="BJ825" s="4">
        <v>4</v>
      </c>
      <c r="BK825" s="8">
        <v>172.57</v>
      </c>
      <c r="BL825" s="2" t="s">
        <v>5124</v>
      </c>
      <c r="BM825" s="7"/>
      <c r="BN825" s="7"/>
      <c r="BO825" s="4"/>
      <c r="BP825" s="8"/>
      <c r="BQ825" s="4"/>
      <c r="BR825" s="8"/>
      <c r="BS825" s="7"/>
      <c r="BT825" s="7"/>
      <c r="BU825" s="2" t="s">
        <v>5125</v>
      </c>
      <c r="BV825" s="2" t="s">
        <v>206</v>
      </c>
      <c r="BW825" s="2" t="s">
        <v>206</v>
      </c>
      <c r="BX825" s="2" t="s">
        <v>214</v>
      </c>
      <c r="BY825" s="2" t="s">
        <v>215</v>
      </c>
      <c r="BZ825" s="2" t="s">
        <v>203</v>
      </c>
      <c r="CA825" s="2" t="s">
        <v>2761</v>
      </c>
      <c r="CB825" s="2" t="s">
        <v>5126</v>
      </c>
      <c r="CC825" s="2" t="s">
        <v>218</v>
      </c>
      <c r="CD825" s="2" t="s">
        <v>206</v>
      </c>
      <c r="CE825" s="4"/>
      <c r="CF825" s="4">
        <v>66</v>
      </c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  <c r="DE825" s="4"/>
      <c r="DF825" s="4"/>
      <c r="DG825" s="4"/>
      <c r="DH825" s="4"/>
      <c r="DI825" s="4"/>
      <c r="DJ825" s="4"/>
      <c r="DK825" s="4"/>
      <c r="DL825" s="4"/>
      <c r="DM825" s="4"/>
      <c r="DN825" s="4"/>
      <c r="DO825" s="4"/>
      <c r="DP825" s="4"/>
      <c r="DQ825" s="4"/>
      <c r="DR825" s="4">
        <v>70</v>
      </c>
      <c r="DS825" s="4"/>
      <c r="DT825" s="4"/>
      <c r="DU825" s="4"/>
      <c r="DV825" s="4"/>
      <c r="DW825" s="4"/>
      <c r="DX825" s="4"/>
      <c r="DY825" s="4"/>
      <c r="DZ825" s="4"/>
      <c r="EA825" s="4"/>
      <c r="EB825" s="4"/>
      <c r="EC825" s="4"/>
      <c r="ED825" s="4"/>
      <c r="EE825" s="4"/>
      <c r="EF825" s="4"/>
      <c r="EG825" s="4"/>
      <c r="EH825" s="4"/>
      <c r="EI825" s="4"/>
      <c r="EJ825" s="4"/>
      <c r="EK825" s="4"/>
      <c r="EL825" s="4"/>
      <c r="EM825" s="4"/>
      <c r="EN825" s="4"/>
      <c r="EO825" s="4"/>
      <c r="EP825" s="4"/>
      <c r="EQ825" s="4"/>
      <c r="ER825" s="4"/>
      <c r="ES825" s="4"/>
      <c r="ET825" s="4"/>
      <c r="EU825" s="4"/>
      <c r="EV825" s="4"/>
      <c r="EW825" s="4"/>
      <c r="EX825" s="4"/>
      <c r="EY825" s="4"/>
      <c r="EZ825" s="4"/>
      <c r="FA825" s="4"/>
      <c r="FB825" s="4"/>
      <c r="FC825" s="4"/>
      <c r="FD825" s="4"/>
      <c r="FE825" s="4"/>
      <c r="FF825" s="4"/>
      <c r="FG825" s="4"/>
      <c r="FH825" s="4"/>
      <c r="FI825" s="4"/>
      <c r="FJ825" s="4"/>
      <c r="FK825" s="4"/>
      <c r="FL825" s="4"/>
      <c r="FM825" s="4"/>
      <c r="FN825" s="4"/>
      <c r="FO825" s="4"/>
      <c r="FP825" s="4"/>
      <c r="FQ825" s="4"/>
      <c r="FR825" s="4"/>
      <c r="FS825" s="4"/>
      <c r="FT825" s="4"/>
      <c r="FU825" s="4"/>
      <c r="FV825" s="4"/>
      <c r="FW825" s="4"/>
      <c r="FX825" s="4"/>
      <c r="FY825" s="4"/>
      <c r="FZ825" s="4"/>
      <c r="GA825" s="4"/>
      <c r="GB825" s="4"/>
      <c r="GC825" s="4"/>
      <c r="GD825" s="4"/>
      <c r="GE825" s="4"/>
      <c r="GF825" s="4"/>
    </row>
    <row r="826">
      <c r="A826" s="2" t="s">
        <v>5127</v>
      </c>
      <c r="B826" s="2" t="s">
        <v>461</v>
      </c>
      <c r="C826" s="2" t="s">
        <v>287</v>
      </c>
      <c r="D826" s="2" t="s">
        <v>882</v>
      </c>
      <c r="E826" s="2" t="s">
        <v>883</v>
      </c>
      <c r="F826" s="2" t="s">
        <v>5128</v>
      </c>
      <c r="G826" s="2" t="s">
        <v>5129</v>
      </c>
      <c r="H826" s="2" t="s">
        <v>5130</v>
      </c>
      <c r="I826" s="2" t="s">
        <v>887</v>
      </c>
      <c r="J826" s="2" t="s">
        <v>434</v>
      </c>
      <c r="K826" s="2" t="s">
        <v>5131</v>
      </c>
      <c r="L826" s="3">
        <v>261.25</v>
      </c>
      <c r="M826" s="3">
        <v>274.31</v>
      </c>
      <c r="N826" s="3">
        <v>549</v>
      </c>
      <c r="O826" s="2" t="s">
        <v>203</v>
      </c>
      <c r="P826" s="2" t="s">
        <v>467</v>
      </c>
      <c r="Q826" s="2" t="s">
        <v>205</v>
      </c>
      <c r="R826" s="2" t="s">
        <v>206</v>
      </c>
      <c r="S826" s="2" t="s">
        <v>5132</v>
      </c>
      <c r="T826" s="2" t="s">
        <v>206</v>
      </c>
      <c r="U826" s="2" t="s">
        <v>206</v>
      </c>
      <c r="V826" s="2" t="s">
        <v>468</v>
      </c>
      <c r="W826" s="2" t="s">
        <v>877</v>
      </c>
      <c r="X826" s="2" t="s">
        <v>539</v>
      </c>
      <c r="Y826" s="2" t="s">
        <v>2416</v>
      </c>
      <c r="Z826" s="4">
        <v>18</v>
      </c>
      <c r="AA826" s="4">
        <f>=ROUNDDOWN(4.5,0)</f>
      </c>
      <c r="AB826" s="5">
        <v>4</v>
      </c>
      <c r="AC826" s="2" t="s">
        <v>116</v>
      </c>
      <c r="AD826" s="4">
        <v>100</v>
      </c>
      <c r="AE826" s="4">
        <v>100</v>
      </c>
      <c r="AF826" s="6">
        <v>69</v>
      </c>
      <c r="AG826" s="6">
        <v>52</v>
      </c>
      <c r="AH826" s="7">
        <v>1</v>
      </c>
      <c r="AI826" s="4"/>
      <c r="AJ826" s="4">
        <f>=ROUNDDOWN({0},0)</f>
      </c>
      <c r="AK826" s="5"/>
      <c r="AL826" s="2" t="s">
        <v>206</v>
      </c>
      <c r="AM826" s="4"/>
      <c r="AN826" s="4"/>
      <c r="AO826" s="7"/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/>
      <c r="BD826" s="8"/>
      <c r="BE826" s="4"/>
      <c r="BF826" s="8"/>
      <c r="BG826" s="7"/>
      <c r="BH826" s="7"/>
      <c r="BI826" s="7"/>
      <c r="BJ826" s="4">
        <v>8</v>
      </c>
      <c r="BK826" s="8">
        <v>2247.59</v>
      </c>
      <c r="BL826" s="2" t="s">
        <v>5133</v>
      </c>
      <c r="BM826" s="7"/>
      <c r="BN826" s="7"/>
      <c r="BO826" s="4"/>
      <c r="BP826" s="8"/>
      <c r="BQ826" s="4"/>
      <c r="BR826" s="8"/>
      <c r="BS826" s="7"/>
      <c r="BT826" s="7"/>
      <c r="BU826" s="2" t="s">
        <v>5134</v>
      </c>
      <c r="BV826" s="2" t="s">
        <v>206</v>
      </c>
      <c r="BW826" s="2" t="s">
        <v>206</v>
      </c>
      <c r="BX826" s="2" t="s">
        <v>214</v>
      </c>
      <c r="BY826" s="2" t="s">
        <v>215</v>
      </c>
      <c r="BZ826" s="2" t="s">
        <v>203</v>
      </c>
      <c r="CA826" s="2" t="s">
        <v>5135</v>
      </c>
      <c r="CB826" s="2" t="s">
        <v>1338</v>
      </c>
      <c r="CC826" s="2" t="s">
        <v>218</v>
      </c>
      <c r="CD826" s="2" t="s">
        <v>206</v>
      </c>
      <c r="CE826" s="4"/>
      <c r="CF826" s="4"/>
      <c r="CG826" s="4"/>
      <c r="CH826" s="4">
        <v>18</v>
      </c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>
        <v>100</v>
      </c>
      <c r="DE826" s="4"/>
      <c r="DF826" s="4"/>
      <c r="DG826" s="4"/>
      <c r="DH826" s="4"/>
      <c r="DI826" s="4"/>
      <c r="DJ826" s="4"/>
      <c r="DK826" s="4"/>
      <c r="DL826" s="4"/>
      <c r="DM826" s="4"/>
      <c r="DN826" s="4"/>
      <c r="DO826" s="4"/>
      <c r="DP826" s="4"/>
      <c r="DQ826" s="4"/>
      <c r="DR826" s="4"/>
      <c r="DS826" s="4"/>
      <c r="DT826" s="4"/>
      <c r="DU826" s="4"/>
      <c r="DV826" s="4"/>
      <c r="DW826" s="4"/>
      <c r="DX826" s="4"/>
      <c r="DY826" s="4"/>
      <c r="DZ826" s="4"/>
      <c r="EA826" s="4"/>
      <c r="EB826" s="4"/>
      <c r="EC826" s="4"/>
      <c r="ED826" s="4"/>
      <c r="EE826" s="4"/>
      <c r="EF826" s="4"/>
      <c r="EG826" s="4"/>
      <c r="EH826" s="4"/>
      <c r="EI826" s="4"/>
      <c r="EJ826" s="4"/>
      <c r="EK826" s="4"/>
      <c r="EL826" s="4"/>
      <c r="EM826" s="4"/>
      <c r="EN826" s="4"/>
      <c r="EO826" s="4"/>
      <c r="EP826" s="4"/>
      <c r="EQ826" s="4"/>
      <c r="ER826" s="4"/>
      <c r="ES826" s="4"/>
      <c r="ET826" s="4"/>
      <c r="EU826" s="4"/>
      <c r="EV826" s="4"/>
      <c r="EW826" s="4"/>
      <c r="EX826" s="4"/>
      <c r="EY826" s="4"/>
      <c r="EZ826" s="4"/>
      <c r="FA826" s="4"/>
      <c r="FB826" s="4"/>
      <c r="FC826" s="4"/>
      <c r="FD826" s="4"/>
      <c r="FE826" s="4"/>
      <c r="FF826" s="4"/>
      <c r="FG826" s="4"/>
      <c r="FH826" s="4"/>
      <c r="FI826" s="4"/>
      <c r="FJ826" s="4"/>
      <c r="FK826" s="4"/>
      <c r="FL826" s="4"/>
      <c r="FM826" s="4"/>
      <c r="FN826" s="4"/>
      <c r="FO826" s="4"/>
      <c r="FP826" s="4"/>
      <c r="FQ826" s="4"/>
      <c r="FR826" s="4"/>
      <c r="FS826" s="4"/>
      <c r="FT826" s="4"/>
      <c r="FU826" s="4"/>
      <c r="FV826" s="4"/>
      <c r="FW826" s="4"/>
      <c r="FX826" s="4"/>
      <c r="FY826" s="4"/>
      <c r="FZ826" s="4"/>
      <c r="GA826" s="4"/>
      <c r="GB826" s="4"/>
      <c r="GC826" s="4"/>
      <c r="GD826" s="4"/>
      <c r="GE826" s="4"/>
      <c r="GF826" s="4"/>
    </row>
    <row r="827">
      <c r="A827" s="2" t="s">
        <v>5136</v>
      </c>
      <c r="B827" s="2" t="s">
        <v>561</v>
      </c>
      <c r="C827" s="2" t="s">
        <v>562</v>
      </c>
      <c r="D827" s="2" t="s">
        <v>563</v>
      </c>
      <c r="E827" s="2" t="s">
        <v>564</v>
      </c>
      <c r="F827" s="2" t="s">
        <v>5137</v>
      </c>
      <c r="G827" s="2" t="s">
        <v>5137</v>
      </c>
      <c r="H827" s="2" t="s">
        <v>5137</v>
      </c>
      <c r="I827" s="2" t="s">
        <v>5138</v>
      </c>
      <c r="J827" s="2" t="s">
        <v>3049</v>
      </c>
      <c r="K827" s="2" t="s">
        <v>1909</v>
      </c>
      <c r="L827" s="3">
        <v>9.27</v>
      </c>
      <c r="M827" s="3">
        <v>9.73</v>
      </c>
      <c r="N827" s="3">
        <v>19.99</v>
      </c>
      <c r="O827" s="2" t="s">
        <v>203</v>
      </c>
      <c r="P827" s="2" t="s">
        <v>492</v>
      </c>
      <c r="Q827" s="2" t="s">
        <v>205</v>
      </c>
      <c r="R827" s="2" t="s">
        <v>206</v>
      </c>
      <c r="S827" s="2" t="s">
        <v>206</v>
      </c>
      <c r="T827" s="2" t="s">
        <v>206</v>
      </c>
      <c r="U827" s="2" t="s">
        <v>437</v>
      </c>
      <c r="V827" s="2" t="s">
        <v>468</v>
      </c>
      <c r="W827" s="2" t="s">
        <v>210</v>
      </c>
      <c r="X827" s="2" t="s">
        <v>206</v>
      </c>
      <c r="Y827" s="2" t="s">
        <v>1444</v>
      </c>
      <c r="Z827" s="4">
        <v>7</v>
      </c>
      <c r="AA827" s="4">
        <f>=ROUNDDOWN(0.212121212121212,0)</f>
      </c>
      <c r="AB827" s="5">
        <v>33</v>
      </c>
      <c r="AC827" s="2" t="s">
        <v>318</v>
      </c>
      <c r="AD827" s="4">
        <v>90</v>
      </c>
      <c r="AE827" s="4">
        <v>870</v>
      </c>
      <c r="AF827" s="6">
        <v>65</v>
      </c>
      <c r="AG827" s="6"/>
      <c r="AH827" s="7">
        <v>0.9032</v>
      </c>
      <c r="AI827" s="4"/>
      <c r="AJ827" s="4">
        <f>=ROUNDDOWN({0},0)</f>
      </c>
      <c r="AK827" s="5"/>
      <c r="AL827" s="2" t="s">
        <v>206</v>
      </c>
      <c r="AM827" s="4"/>
      <c r="AN827" s="4"/>
      <c r="AO827" s="7"/>
      <c r="AP827" s="4"/>
      <c r="AQ827" s="8"/>
      <c r="AR827" s="4"/>
      <c r="AS827" s="8"/>
      <c r="AT827" s="7"/>
      <c r="AU827" s="7"/>
      <c r="AV827" s="4" t="s">
        <v>206</v>
      </c>
      <c r="AW827" s="8" t="s">
        <v>206</v>
      </c>
      <c r="AX827" s="4" t="s">
        <v>206</v>
      </c>
      <c r="AY827" s="8" t="s">
        <v>206</v>
      </c>
      <c r="AZ827" s="7" t="s">
        <v>206</v>
      </c>
      <c r="BA827" s="7" t="s">
        <v>206</v>
      </c>
      <c r="BB827" s="7"/>
      <c r="BC827" s="4" t="s">
        <v>206</v>
      </c>
      <c r="BD827" s="8" t="s">
        <v>206</v>
      </c>
      <c r="BE827" s="4" t="s">
        <v>206</v>
      </c>
      <c r="BF827" s="8" t="s">
        <v>206</v>
      </c>
      <c r="BG827" s="7" t="s">
        <v>206</v>
      </c>
      <c r="BH827" s="7" t="s">
        <v>206</v>
      </c>
      <c r="BI827" s="7"/>
      <c r="BJ827" s="4">
        <v>435</v>
      </c>
      <c r="BK827" s="8">
        <v>4637.1</v>
      </c>
      <c r="BL827" s="2" t="s">
        <v>569</v>
      </c>
      <c r="BM827" s="7"/>
      <c r="BN827" s="7"/>
      <c r="BO827" s="4"/>
      <c r="BP827" s="8"/>
      <c r="BQ827" s="4"/>
      <c r="BR827" s="8"/>
      <c r="BS827" s="7"/>
      <c r="BT827" s="7"/>
      <c r="BU827" s="2" t="s">
        <v>5139</v>
      </c>
      <c r="BV827" s="2" t="s">
        <v>206</v>
      </c>
      <c r="BW827" s="2" t="s">
        <v>206</v>
      </c>
      <c r="BX827" s="2" t="s">
        <v>214</v>
      </c>
      <c r="BY827" s="2" t="s">
        <v>215</v>
      </c>
      <c r="BZ827" s="2" t="s">
        <v>203</v>
      </c>
      <c r="CA827" s="2" t="s">
        <v>2982</v>
      </c>
      <c r="CB827" s="2" t="s">
        <v>206</v>
      </c>
      <c r="CC827" s="2" t="s">
        <v>218</v>
      </c>
      <c r="CD827" s="2" t="s">
        <v>206</v>
      </c>
      <c r="CE827" s="4">
        <v>2</v>
      </c>
      <c r="CF827" s="4">
        <v>3</v>
      </c>
      <c r="CG827" s="4"/>
      <c r="CH827" s="4">
        <v>2</v>
      </c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  <c r="DE827" s="4"/>
      <c r="DF827" s="4"/>
      <c r="DG827" s="4"/>
      <c r="DH827" s="4"/>
      <c r="DI827" s="4"/>
      <c r="DJ827" s="4"/>
      <c r="DK827" s="4"/>
      <c r="DL827" s="4"/>
      <c r="DM827" s="4"/>
      <c r="DN827" s="4"/>
      <c r="DO827" s="4"/>
      <c r="DP827" s="4"/>
      <c r="DQ827" s="4"/>
      <c r="DR827" s="4"/>
      <c r="DS827" s="4"/>
      <c r="DT827" s="4"/>
      <c r="DU827" s="4"/>
      <c r="DV827" s="4"/>
      <c r="DW827" s="4"/>
      <c r="DX827" s="4">
        <v>90</v>
      </c>
      <c r="DY827" s="4"/>
      <c r="DZ827" s="4"/>
      <c r="EA827" s="4"/>
      <c r="EB827" s="4"/>
      <c r="EC827" s="4"/>
      <c r="ED827" s="4"/>
      <c r="EE827" s="4"/>
      <c r="EF827" s="4"/>
      <c r="EG827" s="4"/>
      <c r="EH827" s="4"/>
      <c r="EI827" s="4"/>
      <c r="EJ827" s="4"/>
      <c r="EK827" s="4"/>
      <c r="EL827" s="4"/>
      <c r="EM827" s="4"/>
      <c r="EN827" s="4"/>
      <c r="EO827" s="4"/>
      <c r="EP827" s="4"/>
      <c r="EQ827" s="4"/>
      <c r="ER827" s="4">
        <v>180</v>
      </c>
      <c r="ES827" s="4"/>
      <c r="ET827" s="4"/>
      <c r="EU827" s="4"/>
      <c r="EV827" s="4"/>
      <c r="EW827" s="4"/>
      <c r="EX827" s="4"/>
      <c r="EY827" s="4"/>
      <c r="EZ827" s="4"/>
      <c r="FA827" s="4"/>
      <c r="FB827" s="4"/>
      <c r="FC827" s="4"/>
      <c r="FD827" s="4"/>
      <c r="FE827" s="4"/>
      <c r="FF827" s="4"/>
      <c r="FG827" s="4"/>
      <c r="FH827" s="4"/>
      <c r="FI827" s="4"/>
      <c r="FJ827" s="4"/>
      <c r="FK827" s="4"/>
      <c r="FL827" s="4"/>
      <c r="FM827" s="4">
        <v>300</v>
      </c>
      <c r="FN827" s="4"/>
      <c r="FO827" s="4"/>
      <c r="FP827" s="4"/>
      <c r="FQ827" s="4"/>
      <c r="FR827" s="4"/>
      <c r="FS827" s="4"/>
      <c r="FT827" s="4"/>
      <c r="FU827" s="4"/>
      <c r="FV827" s="4"/>
      <c r="FW827" s="4"/>
      <c r="FX827" s="4"/>
      <c r="FY827" s="4"/>
      <c r="FZ827" s="4"/>
      <c r="GA827" s="4">
        <v>300</v>
      </c>
      <c r="GB827" s="4"/>
      <c r="GC827" s="4"/>
      <c r="GD827" s="4"/>
      <c r="GE827" s="4"/>
      <c r="GF827" s="4"/>
    </row>
    <row r="828">
      <c r="A828" s="2" t="s">
        <v>5140</v>
      </c>
      <c r="B828" s="2" t="s">
        <v>561</v>
      </c>
      <c r="C828" s="2" t="s">
        <v>562</v>
      </c>
      <c r="D828" s="2" t="s">
        <v>563</v>
      </c>
      <c r="E828" s="2" t="s">
        <v>564</v>
      </c>
      <c r="F828" s="2" t="s">
        <v>5137</v>
      </c>
      <c r="G828" s="2" t="s">
        <v>5137</v>
      </c>
      <c r="H828" s="2" t="s">
        <v>5137</v>
      </c>
      <c r="I828" s="2" t="s">
        <v>5138</v>
      </c>
      <c r="J828" s="2" t="s">
        <v>567</v>
      </c>
      <c r="K828" s="2" t="s">
        <v>1909</v>
      </c>
      <c r="L828" s="3">
        <v>11.12</v>
      </c>
      <c r="M828" s="3">
        <v>11.68</v>
      </c>
      <c r="N828" s="3">
        <v>25.99</v>
      </c>
      <c r="O828" s="2" t="s">
        <v>203</v>
      </c>
      <c r="P828" s="2" t="s">
        <v>492</v>
      </c>
      <c r="Q828" s="2" t="s">
        <v>205</v>
      </c>
      <c r="R828" s="2" t="s">
        <v>206</v>
      </c>
      <c r="S828" s="2" t="s">
        <v>206</v>
      </c>
      <c r="T828" s="2" t="s">
        <v>206</v>
      </c>
      <c r="U828" s="2" t="s">
        <v>437</v>
      </c>
      <c r="V828" s="2" t="s">
        <v>468</v>
      </c>
      <c r="W828" s="2" t="s">
        <v>210</v>
      </c>
      <c r="X828" s="2" t="s">
        <v>206</v>
      </c>
      <c r="Y828" s="2" t="s">
        <v>1444</v>
      </c>
      <c r="Z828" s="4">
        <v>68</v>
      </c>
      <c r="AA828" s="4">
        <f>=ROUNDDOWN(1.88888888888889,0)</f>
      </c>
      <c r="AB828" s="5">
        <v>36</v>
      </c>
      <c r="AC828" s="2" t="s">
        <v>318</v>
      </c>
      <c r="AD828" s="4">
        <v>270</v>
      </c>
      <c r="AE828" s="4">
        <v>1038</v>
      </c>
      <c r="AF828" s="6">
        <v>65</v>
      </c>
      <c r="AG828" s="6"/>
      <c r="AH828" s="7">
        <v>1</v>
      </c>
      <c r="AI828" s="4"/>
      <c r="AJ828" s="4">
        <f>=ROUNDDOWN({0},0)</f>
      </c>
      <c r="AK828" s="5"/>
      <c r="AL828" s="2" t="s">
        <v>206</v>
      </c>
      <c r="AM828" s="4"/>
      <c r="AN828" s="4"/>
      <c r="AO828" s="7"/>
      <c r="AP828" s="4"/>
      <c r="AQ828" s="8"/>
      <c r="AR828" s="4"/>
      <c r="AS828" s="8"/>
      <c r="AT828" s="7"/>
      <c r="AU828" s="7"/>
      <c r="AV828" s="4" t="s">
        <v>206</v>
      </c>
      <c r="AW828" s="8" t="s">
        <v>206</v>
      </c>
      <c r="AX828" s="4" t="s">
        <v>206</v>
      </c>
      <c r="AY828" s="8" t="s">
        <v>206</v>
      </c>
      <c r="AZ828" s="7" t="s">
        <v>206</v>
      </c>
      <c r="BA828" s="7" t="s">
        <v>206</v>
      </c>
      <c r="BB828" s="7"/>
      <c r="BC828" s="4" t="s">
        <v>206</v>
      </c>
      <c r="BD828" s="8" t="s">
        <v>206</v>
      </c>
      <c r="BE828" s="4" t="s">
        <v>206</v>
      </c>
      <c r="BF828" s="8" t="s">
        <v>206</v>
      </c>
      <c r="BG828" s="7" t="s">
        <v>206</v>
      </c>
      <c r="BH828" s="7" t="s">
        <v>206</v>
      </c>
      <c r="BI828" s="7"/>
      <c r="BJ828" s="4">
        <v>344</v>
      </c>
      <c r="BK828" s="8">
        <v>4396.32</v>
      </c>
      <c r="BL828" s="2" t="s">
        <v>2359</v>
      </c>
      <c r="BM828" s="7"/>
      <c r="BN828" s="7"/>
      <c r="BO828" s="4"/>
      <c r="BP828" s="8"/>
      <c r="BQ828" s="4"/>
      <c r="BR828" s="8"/>
      <c r="BS828" s="7"/>
      <c r="BT828" s="7"/>
      <c r="BU828" s="2" t="s">
        <v>5141</v>
      </c>
      <c r="BV828" s="2" t="s">
        <v>206</v>
      </c>
      <c r="BW828" s="2" t="s">
        <v>206</v>
      </c>
      <c r="BX828" s="2" t="s">
        <v>214</v>
      </c>
      <c r="BY828" s="2" t="s">
        <v>215</v>
      </c>
      <c r="BZ828" s="2" t="s">
        <v>203</v>
      </c>
      <c r="CA828" s="2" t="s">
        <v>2982</v>
      </c>
      <c r="CB828" s="2" t="s">
        <v>206</v>
      </c>
      <c r="CC828" s="2" t="s">
        <v>218</v>
      </c>
      <c r="CD828" s="2" t="s">
        <v>206</v>
      </c>
      <c r="CE828" s="4">
        <v>66</v>
      </c>
      <c r="CF828" s="4">
        <v>1</v>
      </c>
      <c r="CG828" s="4"/>
      <c r="CH828" s="4">
        <v>1</v>
      </c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  <c r="DE828" s="4"/>
      <c r="DF828" s="4"/>
      <c r="DG828" s="4"/>
      <c r="DH828" s="4"/>
      <c r="DI828" s="4"/>
      <c r="DJ828" s="4"/>
      <c r="DK828" s="4"/>
      <c r="DL828" s="4"/>
      <c r="DM828" s="4"/>
      <c r="DN828" s="4"/>
      <c r="DO828" s="4"/>
      <c r="DP828" s="4"/>
      <c r="DQ828" s="4"/>
      <c r="DR828" s="4"/>
      <c r="DS828" s="4"/>
      <c r="DT828" s="4"/>
      <c r="DU828" s="4"/>
      <c r="DV828" s="4"/>
      <c r="DW828" s="4"/>
      <c r="DX828" s="4">
        <v>270</v>
      </c>
      <c r="DY828" s="4"/>
      <c r="DZ828" s="4"/>
      <c r="EA828" s="4"/>
      <c r="EB828" s="4"/>
      <c r="EC828" s="4"/>
      <c r="ED828" s="4"/>
      <c r="EE828" s="4"/>
      <c r="EF828" s="4"/>
      <c r="EG828" s="4"/>
      <c r="EH828" s="4"/>
      <c r="EI828" s="4"/>
      <c r="EJ828" s="4"/>
      <c r="EK828" s="4"/>
      <c r="EL828" s="4"/>
      <c r="EM828" s="4"/>
      <c r="EN828" s="4"/>
      <c r="EO828" s="4"/>
      <c r="EP828" s="4"/>
      <c r="EQ828" s="4"/>
      <c r="ER828" s="4">
        <v>270</v>
      </c>
      <c r="ES828" s="4"/>
      <c r="ET828" s="4"/>
      <c r="EU828" s="4"/>
      <c r="EV828" s="4"/>
      <c r="EW828" s="4"/>
      <c r="EX828" s="4"/>
      <c r="EY828" s="4"/>
      <c r="EZ828" s="4"/>
      <c r="FA828" s="4"/>
      <c r="FB828" s="4"/>
      <c r="FC828" s="4"/>
      <c r="FD828" s="4"/>
      <c r="FE828" s="4"/>
      <c r="FF828" s="4"/>
      <c r="FG828" s="4"/>
      <c r="FH828" s="4"/>
      <c r="FI828" s="4"/>
      <c r="FJ828" s="4"/>
      <c r="FK828" s="4"/>
      <c r="FL828" s="4"/>
      <c r="FM828" s="4">
        <v>198</v>
      </c>
      <c r="FN828" s="4"/>
      <c r="FO828" s="4"/>
      <c r="FP828" s="4"/>
      <c r="FQ828" s="4"/>
      <c r="FR828" s="4"/>
      <c r="FS828" s="4"/>
      <c r="FT828" s="4"/>
      <c r="FU828" s="4"/>
      <c r="FV828" s="4"/>
      <c r="FW828" s="4"/>
      <c r="FX828" s="4"/>
      <c r="FY828" s="4"/>
      <c r="FZ828" s="4"/>
      <c r="GA828" s="4">
        <v>300</v>
      </c>
      <c r="GB828" s="4"/>
      <c r="GC828" s="4"/>
      <c r="GD828" s="4"/>
      <c r="GE828" s="4"/>
      <c r="GF828" s="4"/>
    </row>
    <row r="829">
      <c r="A829" s="2" t="s">
        <v>5142</v>
      </c>
      <c r="B829" s="2" t="s">
        <v>561</v>
      </c>
      <c r="C829" s="2" t="s">
        <v>562</v>
      </c>
      <c r="D829" s="2" t="s">
        <v>563</v>
      </c>
      <c r="E829" s="2" t="s">
        <v>564</v>
      </c>
      <c r="F829" s="2" t="s">
        <v>5137</v>
      </c>
      <c r="G829" s="2" t="s">
        <v>5137</v>
      </c>
      <c r="H829" s="2" t="s">
        <v>5137</v>
      </c>
      <c r="I829" s="2" t="s">
        <v>5138</v>
      </c>
      <c r="J829" s="2" t="s">
        <v>3053</v>
      </c>
      <c r="K829" s="2" t="s">
        <v>1909</v>
      </c>
      <c r="L829" s="3">
        <v>14.04</v>
      </c>
      <c r="M829" s="3">
        <v>14.74</v>
      </c>
      <c r="N829" s="3">
        <v>29.99</v>
      </c>
      <c r="O829" s="2" t="s">
        <v>203</v>
      </c>
      <c r="P829" s="2" t="s">
        <v>492</v>
      </c>
      <c r="Q829" s="2" t="s">
        <v>205</v>
      </c>
      <c r="R829" s="2" t="s">
        <v>206</v>
      </c>
      <c r="S829" s="2" t="s">
        <v>206</v>
      </c>
      <c r="T829" s="2" t="s">
        <v>206</v>
      </c>
      <c r="U829" s="2" t="s">
        <v>437</v>
      </c>
      <c r="V829" s="2" t="s">
        <v>468</v>
      </c>
      <c r="W829" s="2" t="s">
        <v>210</v>
      </c>
      <c r="X829" s="2" t="s">
        <v>206</v>
      </c>
      <c r="Y829" s="2" t="s">
        <v>1444</v>
      </c>
      <c r="Z829" s="4">
        <v>6</v>
      </c>
      <c r="AA829" s="4">
        <f>=ROUNDDOWN(0.15,0)</f>
      </c>
      <c r="AB829" s="5">
        <v>40</v>
      </c>
      <c r="AC829" s="2" t="s">
        <v>2250</v>
      </c>
      <c r="AD829" s="4">
        <v>540</v>
      </c>
      <c r="AE829" s="4">
        <v>1080</v>
      </c>
      <c r="AF829" s="6">
        <v>65</v>
      </c>
      <c r="AG829" s="6"/>
      <c r="AH829" s="7">
        <v>1</v>
      </c>
      <c r="AI829" s="4"/>
      <c r="AJ829" s="4">
        <f>=ROUNDDOWN({0},0)</f>
      </c>
      <c r="AK829" s="5"/>
      <c r="AL829" s="2" t="s">
        <v>206</v>
      </c>
      <c r="AM829" s="4"/>
      <c r="AN829" s="4"/>
      <c r="AO829" s="7"/>
      <c r="AP829" s="4"/>
      <c r="AQ829" s="8"/>
      <c r="AR829" s="4"/>
      <c r="AS829" s="8"/>
      <c r="AT829" s="7"/>
      <c r="AU829" s="7"/>
      <c r="AV829" s="4" t="s">
        <v>206</v>
      </c>
      <c r="AW829" s="8" t="s">
        <v>206</v>
      </c>
      <c r="AX829" s="4" t="s">
        <v>206</v>
      </c>
      <c r="AY829" s="8" t="s">
        <v>206</v>
      </c>
      <c r="AZ829" s="7" t="s">
        <v>206</v>
      </c>
      <c r="BA829" s="7" t="s">
        <v>206</v>
      </c>
      <c r="BB829" s="7"/>
      <c r="BC829" s="4" t="s">
        <v>206</v>
      </c>
      <c r="BD829" s="8" t="s">
        <v>206</v>
      </c>
      <c r="BE829" s="4" t="s">
        <v>206</v>
      </c>
      <c r="BF829" s="8" t="s">
        <v>206</v>
      </c>
      <c r="BG829" s="7" t="s">
        <v>206</v>
      </c>
      <c r="BH829" s="7" t="s">
        <v>206</v>
      </c>
      <c r="BI829" s="7"/>
      <c r="BJ829" s="4">
        <v>428</v>
      </c>
      <c r="BK829" s="8">
        <v>6910.79</v>
      </c>
      <c r="BL829" s="2" t="s">
        <v>2359</v>
      </c>
      <c r="BM829" s="7"/>
      <c r="BN829" s="7"/>
      <c r="BO829" s="4"/>
      <c r="BP829" s="8"/>
      <c r="BQ829" s="4"/>
      <c r="BR829" s="8"/>
      <c r="BS829" s="7"/>
      <c r="BT829" s="7"/>
      <c r="BU829" s="2" t="s">
        <v>5143</v>
      </c>
      <c r="BV829" s="2" t="s">
        <v>206</v>
      </c>
      <c r="BW829" s="2" t="s">
        <v>206</v>
      </c>
      <c r="BX829" s="2" t="s">
        <v>214</v>
      </c>
      <c r="BY829" s="2" t="s">
        <v>215</v>
      </c>
      <c r="BZ829" s="2" t="s">
        <v>203</v>
      </c>
      <c r="CA829" s="2" t="s">
        <v>2982</v>
      </c>
      <c r="CB829" s="2" t="s">
        <v>206</v>
      </c>
      <c r="CC829" s="2" t="s">
        <v>218</v>
      </c>
      <c r="CD829" s="2" t="s">
        <v>206</v>
      </c>
      <c r="CE829" s="4">
        <v>3</v>
      </c>
      <c r="CF829" s="4"/>
      <c r="CG829" s="4"/>
      <c r="CH829" s="4">
        <v>3</v>
      </c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  <c r="DE829" s="4"/>
      <c r="DF829" s="4"/>
      <c r="DG829" s="4"/>
      <c r="DH829" s="4"/>
      <c r="DI829" s="4"/>
      <c r="DJ829" s="4"/>
      <c r="DK829" s="4"/>
      <c r="DL829" s="4"/>
      <c r="DM829" s="4"/>
      <c r="DN829" s="4"/>
      <c r="DO829" s="4"/>
      <c r="DP829" s="4"/>
      <c r="DQ829" s="4"/>
      <c r="DR829" s="4"/>
      <c r="DS829" s="4"/>
      <c r="DT829" s="4"/>
      <c r="DU829" s="4"/>
      <c r="DV829" s="4"/>
      <c r="DW829" s="4"/>
      <c r="DX829" s="4"/>
      <c r="DY829" s="4"/>
      <c r="DZ829" s="4"/>
      <c r="EA829" s="4"/>
      <c r="EB829" s="4"/>
      <c r="EC829" s="4"/>
      <c r="ED829" s="4"/>
      <c r="EE829" s="4"/>
      <c r="EF829" s="4"/>
      <c r="EG829" s="4"/>
      <c r="EH829" s="4"/>
      <c r="EI829" s="4"/>
      <c r="EJ829" s="4"/>
      <c r="EK829" s="4"/>
      <c r="EL829" s="4"/>
      <c r="EM829" s="4"/>
      <c r="EN829" s="4"/>
      <c r="EO829" s="4"/>
      <c r="EP829" s="4"/>
      <c r="EQ829" s="4"/>
      <c r="ER829" s="4"/>
      <c r="ES829" s="4"/>
      <c r="ET829" s="4"/>
      <c r="EU829" s="4"/>
      <c r="EV829" s="4"/>
      <c r="EW829" s="4"/>
      <c r="EX829" s="4"/>
      <c r="EY829" s="4"/>
      <c r="EZ829" s="4"/>
      <c r="FA829" s="4"/>
      <c r="FB829" s="4"/>
      <c r="FC829" s="4"/>
      <c r="FD829" s="4"/>
      <c r="FE829" s="4"/>
      <c r="FF829" s="4"/>
      <c r="FG829" s="4"/>
      <c r="FH829" s="4"/>
      <c r="FI829" s="4"/>
      <c r="FJ829" s="4"/>
      <c r="FK829" s="4"/>
      <c r="FL829" s="4"/>
      <c r="FM829" s="4">
        <v>540</v>
      </c>
      <c r="FN829" s="4"/>
      <c r="FO829" s="4"/>
      <c r="FP829" s="4"/>
      <c r="FQ829" s="4"/>
      <c r="FR829" s="4"/>
      <c r="FS829" s="4"/>
      <c r="FT829" s="4"/>
      <c r="FU829" s="4"/>
      <c r="FV829" s="4"/>
      <c r="FW829" s="4"/>
      <c r="FX829" s="4"/>
      <c r="FY829" s="4"/>
      <c r="FZ829" s="4"/>
      <c r="GA829" s="4">
        <v>540</v>
      </c>
      <c r="GB829" s="4"/>
      <c r="GC829" s="4"/>
      <c r="GD829" s="4"/>
      <c r="GE829" s="4"/>
      <c r="GF829" s="4"/>
    </row>
    <row r="830">
      <c r="A830" s="2" t="s">
        <v>5144</v>
      </c>
      <c r="B830" s="2" t="s">
        <v>561</v>
      </c>
      <c r="C830" s="2" t="s">
        <v>562</v>
      </c>
      <c r="D830" s="2" t="s">
        <v>563</v>
      </c>
      <c r="E830" s="2" t="s">
        <v>564</v>
      </c>
      <c r="F830" s="2" t="s">
        <v>5137</v>
      </c>
      <c r="G830" s="2" t="s">
        <v>5137</v>
      </c>
      <c r="H830" s="2" t="s">
        <v>5137</v>
      </c>
      <c r="I830" s="2" t="s">
        <v>5138</v>
      </c>
      <c r="J830" s="2" t="s">
        <v>574</v>
      </c>
      <c r="K830" s="2" t="s">
        <v>1909</v>
      </c>
      <c r="L830" s="3">
        <v>16.45</v>
      </c>
      <c r="M830" s="3">
        <v>17.27</v>
      </c>
      <c r="N830" s="3">
        <v>34.99</v>
      </c>
      <c r="O830" s="2" t="s">
        <v>203</v>
      </c>
      <c r="P830" s="2" t="s">
        <v>492</v>
      </c>
      <c r="Q830" s="2" t="s">
        <v>205</v>
      </c>
      <c r="R830" s="2" t="s">
        <v>206</v>
      </c>
      <c r="S830" s="2" t="s">
        <v>206</v>
      </c>
      <c r="T830" s="2" t="s">
        <v>206</v>
      </c>
      <c r="U830" s="2" t="s">
        <v>437</v>
      </c>
      <c r="V830" s="2" t="s">
        <v>468</v>
      </c>
      <c r="W830" s="2" t="s">
        <v>210</v>
      </c>
      <c r="X830" s="2" t="s">
        <v>206</v>
      </c>
      <c r="Y830" s="2" t="s">
        <v>1444</v>
      </c>
      <c r="Z830" s="4">
        <v>16</v>
      </c>
      <c r="AA830" s="4">
        <f>=ROUNDDOWN(0.727272727272727,0)</f>
      </c>
      <c r="AB830" s="5">
        <v>22</v>
      </c>
      <c r="AC830" s="2" t="s">
        <v>318</v>
      </c>
      <c r="AD830" s="4">
        <v>270</v>
      </c>
      <c r="AE830" s="4">
        <v>600</v>
      </c>
      <c r="AF830" s="6">
        <v>65</v>
      </c>
      <c r="AG830" s="6"/>
      <c r="AH830" s="7">
        <v>0.9677</v>
      </c>
      <c r="AI830" s="4"/>
      <c r="AJ830" s="4">
        <f>=ROUNDDOWN({0},0)</f>
      </c>
      <c r="AK830" s="5"/>
      <c r="AL830" s="2" t="s">
        <v>206</v>
      </c>
      <c r="AM830" s="4"/>
      <c r="AN830" s="4"/>
      <c r="AO830" s="7"/>
      <c r="AP830" s="4"/>
      <c r="AQ830" s="8"/>
      <c r="AR830" s="4"/>
      <c r="AS830" s="8"/>
      <c r="AT830" s="7"/>
      <c r="AU830" s="7"/>
      <c r="AV830" s="4" t="s">
        <v>206</v>
      </c>
      <c r="AW830" s="8" t="s">
        <v>206</v>
      </c>
      <c r="AX830" s="4" t="s">
        <v>206</v>
      </c>
      <c r="AY830" s="8" t="s">
        <v>206</v>
      </c>
      <c r="AZ830" s="7" t="s">
        <v>206</v>
      </c>
      <c r="BA830" s="7" t="s">
        <v>206</v>
      </c>
      <c r="BB830" s="7"/>
      <c r="BC830" s="4" t="s">
        <v>206</v>
      </c>
      <c r="BD830" s="8" t="s">
        <v>206</v>
      </c>
      <c r="BE830" s="4" t="s">
        <v>206</v>
      </c>
      <c r="BF830" s="8" t="s">
        <v>206</v>
      </c>
      <c r="BG830" s="7" t="s">
        <v>206</v>
      </c>
      <c r="BH830" s="7" t="s">
        <v>206</v>
      </c>
      <c r="BI830" s="7"/>
      <c r="BJ830" s="4">
        <v>141</v>
      </c>
      <c r="BK830" s="8">
        <v>2664.67</v>
      </c>
      <c r="BL830" s="2" t="s">
        <v>2359</v>
      </c>
      <c r="BM830" s="7"/>
      <c r="BN830" s="7"/>
      <c r="BO830" s="4"/>
      <c r="BP830" s="8"/>
      <c r="BQ830" s="4"/>
      <c r="BR830" s="8"/>
      <c r="BS830" s="7"/>
      <c r="BT830" s="7"/>
      <c r="BU830" s="2" t="s">
        <v>5145</v>
      </c>
      <c r="BV830" s="2" t="s">
        <v>206</v>
      </c>
      <c r="BW830" s="2" t="s">
        <v>206</v>
      </c>
      <c r="BX830" s="2" t="s">
        <v>214</v>
      </c>
      <c r="BY830" s="2" t="s">
        <v>215</v>
      </c>
      <c r="BZ830" s="2" t="s">
        <v>203</v>
      </c>
      <c r="CA830" s="2" t="s">
        <v>2982</v>
      </c>
      <c r="CB830" s="2" t="s">
        <v>206</v>
      </c>
      <c r="CC830" s="2" t="s">
        <v>218</v>
      </c>
      <c r="CD830" s="2" t="s">
        <v>206</v>
      </c>
      <c r="CE830" s="4">
        <v>13</v>
      </c>
      <c r="CF830" s="4">
        <v>2</v>
      </c>
      <c r="CG830" s="4"/>
      <c r="CH830" s="4">
        <v>1</v>
      </c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  <c r="DE830" s="4"/>
      <c r="DF830" s="4"/>
      <c r="DG830" s="4"/>
      <c r="DH830" s="4"/>
      <c r="DI830" s="4"/>
      <c r="DJ830" s="4"/>
      <c r="DK830" s="4"/>
      <c r="DL830" s="4"/>
      <c r="DM830" s="4"/>
      <c r="DN830" s="4"/>
      <c r="DO830" s="4"/>
      <c r="DP830" s="4"/>
      <c r="DQ830" s="4"/>
      <c r="DR830" s="4"/>
      <c r="DS830" s="4"/>
      <c r="DT830" s="4"/>
      <c r="DU830" s="4"/>
      <c r="DV830" s="4"/>
      <c r="DW830" s="4"/>
      <c r="DX830" s="4">
        <v>270</v>
      </c>
      <c r="DY830" s="4"/>
      <c r="DZ830" s="4"/>
      <c r="EA830" s="4"/>
      <c r="EB830" s="4"/>
      <c r="EC830" s="4"/>
      <c r="ED830" s="4"/>
      <c r="EE830" s="4"/>
      <c r="EF830" s="4"/>
      <c r="EG830" s="4"/>
      <c r="EH830" s="4"/>
      <c r="EI830" s="4"/>
      <c r="EJ830" s="4"/>
      <c r="EK830" s="4"/>
      <c r="EL830" s="4"/>
      <c r="EM830" s="4"/>
      <c r="EN830" s="4"/>
      <c r="EO830" s="4"/>
      <c r="EP830" s="4"/>
      <c r="EQ830" s="4"/>
      <c r="ER830" s="4">
        <v>150</v>
      </c>
      <c r="ES830" s="4"/>
      <c r="ET830" s="4"/>
      <c r="EU830" s="4"/>
      <c r="EV830" s="4"/>
      <c r="EW830" s="4"/>
      <c r="EX830" s="4"/>
      <c r="EY830" s="4"/>
      <c r="EZ830" s="4"/>
      <c r="FA830" s="4"/>
      <c r="FB830" s="4"/>
      <c r="FC830" s="4"/>
      <c r="FD830" s="4"/>
      <c r="FE830" s="4"/>
      <c r="FF830" s="4"/>
      <c r="FG830" s="4"/>
      <c r="FH830" s="4"/>
      <c r="FI830" s="4"/>
      <c r="FJ830" s="4"/>
      <c r="FK830" s="4"/>
      <c r="FL830" s="4"/>
      <c r="FM830" s="4"/>
      <c r="FN830" s="4"/>
      <c r="FO830" s="4"/>
      <c r="FP830" s="4"/>
      <c r="FQ830" s="4"/>
      <c r="FR830" s="4"/>
      <c r="FS830" s="4"/>
      <c r="FT830" s="4"/>
      <c r="FU830" s="4"/>
      <c r="FV830" s="4"/>
      <c r="FW830" s="4"/>
      <c r="FX830" s="4"/>
      <c r="FY830" s="4"/>
      <c r="FZ830" s="4"/>
      <c r="GA830" s="4">
        <v>180</v>
      </c>
      <c r="GB830" s="4"/>
      <c r="GC830" s="4"/>
      <c r="GD830" s="4"/>
      <c r="GE830" s="4"/>
      <c r="GF830" s="4"/>
    </row>
    <row r="831">
      <c r="A831" s="2" t="s">
        <v>5146</v>
      </c>
      <c r="B831" s="2" t="s">
        <v>461</v>
      </c>
      <c r="C831" s="2" t="s">
        <v>287</v>
      </c>
      <c r="D831" s="2" t="s">
        <v>882</v>
      </c>
      <c r="E831" s="2" t="s">
        <v>1196</v>
      </c>
      <c r="F831" s="2" t="s">
        <v>5147</v>
      </c>
      <c r="G831" s="2" t="s">
        <v>5148</v>
      </c>
      <c r="H831" s="2" t="s">
        <v>2956</v>
      </c>
      <c r="I831" s="2" t="s">
        <v>5149</v>
      </c>
      <c r="J831" s="2" t="s">
        <v>434</v>
      </c>
      <c r="K831" s="2" t="s">
        <v>2886</v>
      </c>
      <c r="L831" s="3">
        <v>207</v>
      </c>
      <c r="M831" s="3">
        <v>217.35</v>
      </c>
      <c r="N831" s="3">
        <v>439</v>
      </c>
      <c r="O831" s="2" t="s">
        <v>203</v>
      </c>
      <c r="P831" s="2" t="s">
        <v>204</v>
      </c>
      <c r="Q831" s="2" t="s">
        <v>205</v>
      </c>
      <c r="R831" s="2" t="s">
        <v>206</v>
      </c>
      <c r="S831" s="2" t="s">
        <v>206</v>
      </c>
      <c r="T831" s="2" t="s">
        <v>206</v>
      </c>
      <c r="U831" s="2" t="s">
        <v>206</v>
      </c>
      <c r="V831" s="2" t="s">
        <v>209</v>
      </c>
      <c r="W831" s="2" t="s">
        <v>539</v>
      </c>
      <c r="X831" s="2" t="s">
        <v>206</v>
      </c>
      <c r="Y831" s="2" t="s">
        <v>493</v>
      </c>
      <c r="Z831" s="4">
        <v>223</v>
      </c>
      <c r="AA831" s="4">
        <f>=ROUNDDOWN(27.875,0)</f>
      </c>
      <c r="AB831" s="5">
        <v>8</v>
      </c>
      <c r="AC831" s="2" t="s">
        <v>5150</v>
      </c>
      <c r="AD831" s="4">
        <v>13</v>
      </c>
      <c r="AE831" s="4">
        <v>157</v>
      </c>
      <c r="AF831" s="6">
        <v>74</v>
      </c>
      <c r="AG831" s="6"/>
      <c r="AH831" s="7">
        <v>1</v>
      </c>
      <c r="AI831" s="4"/>
      <c r="AJ831" s="4">
        <f>=ROUNDDOWN({0},0)</f>
      </c>
      <c r="AK831" s="5"/>
      <c r="AL831" s="2" t="s">
        <v>206</v>
      </c>
      <c r="AM831" s="4"/>
      <c r="AN831" s="4"/>
      <c r="AO831" s="7"/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/>
      <c r="BD831" s="8"/>
      <c r="BE831" s="4"/>
      <c r="BF831" s="8"/>
      <c r="BG831" s="7"/>
      <c r="BH831" s="7"/>
      <c r="BI831" s="7"/>
      <c r="BJ831" s="4">
        <v>58</v>
      </c>
      <c r="BK831" s="8">
        <v>11171.73</v>
      </c>
      <c r="BL831" s="2" t="s">
        <v>5151</v>
      </c>
      <c r="BM831" s="7"/>
      <c r="BN831" s="7"/>
      <c r="BO831" s="4"/>
      <c r="BP831" s="8"/>
      <c r="BQ831" s="4"/>
      <c r="BR831" s="8"/>
      <c r="BS831" s="7"/>
      <c r="BT831" s="7"/>
      <c r="BU831" s="2" t="s">
        <v>5152</v>
      </c>
      <c r="BV831" s="2" t="s">
        <v>206</v>
      </c>
      <c r="BW831" s="2" t="s">
        <v>206</v>
      </c>
      <c r="BX831" s="2" t="s">
        <v>3688</v>
      </c>
      <c r="BY831" s="2" t="s">
        <v>215</v>
      </c>
      <c r="BZ831" s="2" t="s">
        <v>203</v>
      </c>
      <c r="CA831" s="2" t="s">
        <v>2091</v>
      </c>
      <c r="CB831" s="2" t="s">
        <v>5153</v>
      </c>
      <c r="CC831" s="2" t="s">
        <v>218</v>
      </c>
      <c r="CD831" s="2" t="s">
        <v>206</v>
      </c>
      <c r="CE831" s="4"/>
      <c r="CF831" s="4">
        <v>223</v>
      </c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  <c r="DE831" s="4"/>
      <c r="DF831" s="4"/>
      <c r="DG831" s="4"/>
      <c r="DH831" s="4"/>
      <c r="DI831" s="4"/>
      <c r="DJ831" s="4"/>
      <c r="DK831" s="4"/>
      <c r="DL831" s="4"/>
      <c r="DM831" s="4"/>
      <c r="DN831" s="4"/>
      <c r="DO831" s="4"/>
      <c r="DP831" s="4"/>
      <c r="DQ831" s="4"/>
      <c r="DR831" s="4"/>
      <c r="DS831" s="4"/>
      <c r="DT831" s="4"/>
      <c r="DU831" s="4"/>
      <c r="DV831" s="4"/>
      <c r="DW831" s="4"/>
      <c r="DX831" s="4"/>
      <c r="DY831" s="4"/>
      <c r="DZ831" s="4"/>
      <c r="EA831" s="4"/>
      <c r="EB831" s="4"/>
      <c r="EC831" s="4"/>
      <c r="ED831" s="4"/>
      <c r="EE831" s="4"/>
      <c r="EF831" s="4"/>
      <c r="EG831" s="4"/>
      <c r="EH831" s="4"/>
      <c r="EI831" s="4"/>
      <c r="EJ831" s="4"/>
      <c r="EK831" s="4"/>
      <c r="EL831" s="4"/>
      <c r="EM831" s="4"/>
      <c r="EN831" s="4"/>
      <c r="EO831" s="4"/>
      <c r="EP831" s="4"/>
      <c r="EQ831" s="4"/>
      <c r="ER831" s="4"/>
      <c r="ES831" s="4">
        <v>13</v>
      </c>
      <c r="ET831" s="4"/>
      <c r="EU831" s="4"/>
      <c r="EV831" s="4"/>
      <c r="EW831" s="4"/>
      <c r="EX831" s="4"/>
      <c r="EY831" s="4"/>
      <c r="EZ831" s="4"/>
      <c r="FA831" s="4"/>
      <c r="FB831" s="4"/>
      <c r="FC831" s="4"/>
      <c r="FD831" s="4"/>
      <c r="FE831" s="4"/>
      <c r="FF831" s="4"/>
      <c r="FG831" s="4"/>
      <c r="FH831" s="4"/>
      <c r="FI831" s="4"/>
      <c r="FJ831" s="4"/>
      <c r="FK831" s="4"/>
      <c r="FL831" s="4"/>
      <c r="FM831" s="4"/>
      <c r="FN831" s="4"/>
      <c r="FO831" s="4"/>
      <c r="FP831" s="4"/>
      <c r="FQ831" s="4"/>
      <c r="FR831" s="4"/>
      <c r="FS831" s="4"/>
      <c r="FT831" s="4"/>
      <c r="FU831" s="4"/>
      <c r="FV831" s="4"/>
      <c r="FW831" s="4"/>
      <c r="FX831" s="4">
        <v>144</v>
      </c>
      <c r="FY831" s="4"/>
      <c r="FZ831" s="4"/>
      <c r="GA831" s="4"/>
      <c r="GB831" s="4"/>
      <c r="GC831" s="4"/>
      <c r="GD831" s="4"/>
      <c r="GE831" s="4"/>
      <c r="GF831" s="4"/>
    </row>
    <row r="832">
      <c r="A832" s="2" t="s">
        <v>5154</v>
      </c>
      <c r="B832" s="2" t="s">
        <v>800</v>
      </c>
      <c r="C832" s="2" t="s">
        <v>1145</v>
      </c>
      <c r="D832" s="2" t="s">
        <v>529</v>
      </c>
      <c r="E832" s="2" t="s">
        <v>1134</v>
      </c>
      <c r="F832" s="2" t="s">
        <v>5155</v>
      </c>
      <c r="G832" s="2" t="s">
        <v>5155</v>
      </c>
      <c r="H832" s="2" t="s">
        <v>5155</v>
      </c>
      <c r="I832" s="2" t="s">
        <v>5156</v>
      </c>
      <c r="J832" s="2" t="s">
        <v>201</v>
      </c>
      <c r="K832" s="2" t="s">
        <v>1390</v>
      </c>
      <c r="L832" s="3">
        <v>33.33</v>
      </c>
      <c r="M832" s="3">
        <v>35</v>
      </c>
      <c r="N832" s="3">
        <v>69.99</v>
      </c>
      <c r="O832" s="2" t="s">
        <v>203</v>
      </c>
      <c r="P832" s="2" t="s">
        <v>204</v>
      </c>
      <c r="Q832" s="2" t="s">
        <v>205</v>
      </c>
      <c r="R832" s="2" t="s">
        <v>206</v>
      </c>
      <c r="S832" s="2" t="s">
        <v>5157</v>
      </c>
      <c r="T832" s="2" t="s">
        <v>1721</v>
      </c>
      <c r="U832" s="2" t="s">
        <v>900</v>
      </c>
      <c r="V832" s="2" t="s">
        <v>209</v>
      </c>
      <c r="W832" s="2" t="s">
        <v>210</v>
      </c>
      <c r="X832" s="2" t="s">
        <v>206</v>
      </c>
      <c r="Y832" s="2" t="s">
        <v>1524</v>
      </c>
      <c r="Z832" s="4">
        <v>226</v>
      </c>
      <c r="AA832" s="4">
        <f>=ROUNDDOWN(75.3333333333333,0)</f>
      </c>
      <c r="AB832" s="5">
        <v>3</v>
      </c>
      <c r="AC832" s="2" t="s">
        <v>125</v>
      </c>
      <c r="AD832" s="4">
        <v>50</v>
      </c>
      <c r="AE832" s="4">
        <v>80</v>
      </c>
      <c r="AF832" s="6">
        <v>65</v>
      </c>
      <c r="AG832" s="6"/>
      <c r="AH832" s="7">
        <v>1</v>
      </c>
      <c r="AI832" s="4"/>
      <c r="AJ832" s="4">
        <f>=ROUNDDOWN({0},0)</f>
      </c>
      <c r="AK832" s="5"/>
      <c r="AL832" s="2" t="s">
        <v>206</v>
      </c>
      <c r="AM832" s="4"/>
      <c r="AN832" s="4"/>
      <c r="AO832" s="7"/>
      <c r="AP832" s="4"/>
      <c r="AQ832" s="8"/>
      <c r="AR832" s="4"/>
      <c r="AS832" s="8"/>
      <c r="AT832" s="7"/>
      <c r="AU832" s="7"/>
      <c r="AV832" s="4" t="s">
        <v>206</v>
      </c>
      <c r="AW832" s="8" t="s">
        <v>206</v>
      </c>
      <c r="AX832" s="4" t="s">
        <v>206</v>
      </c>
      <c r="AY832" s="8" t="s">
        <v>206</v>
      </c>
      <c r="AZ832" s="7" t="s">
        <v>206</v>
      </c>
      <c r="BA832" s="7" t="s">
        <v>206</v>
      </c>
      <c r="BB832" s="7"/>
      <c r="BC832" s="4" t="s">
        <v>206</v>
      </c>
      <c r="BD832" s="8" t="s">
        <v>206</v>
      </c>
      <c r="BE832" s="4" t="s">
        <v>206</v>
      </c>
      <c r="BF832" s="8" t="s">
        <v>206</v>
      </c>
      <c r="BG832" s="7" t="s">
        <v>206</v>
      </c>
      <c r="BH832" s="7" t="s">
        <v>206</v>
      </c>
      <c r="BI832" s="7"/>
      <c r="BJ832" s="4">
        <v>2</v>
      </c>
      <c r="BK832" s="8">
        <v>73.5</v>
      </c>
      <c r="BL832" s="2" t="s">
        <v>5158</v>
      </c>
      <c r="BM832" s="7"/>
      <c r="BN832" s="7"/>
      <c r="BO832" s="4"/>
      <c r="BP832" s="8"/>
      <c r="BQ832" s="4"/>
      <c r="BR832" s="8"/>
      <c r="BS832" s="7"/>
      <c r="BT832" s="7"/>
      <c r="BU832" s="2" t="s">
        <v>5159</v>
      </c>
      <c r="BV832" s="2" t="s">
        <v>206</v>
      </c>
      <c r="BW832" s="2" t="s">
        <v>206</v>
      </c>
      <c r="BX832" s="2" t="s">
        <v>214</v>
      </c>
      <c r="BY832" s="2" t="s">
        <v>215</v>
      </c>
      <c r="BZ832" s="2" t="s">
        <v>203</v>
      </c>
      <c r="CA832" s="2" t="s">
        <v>2721</v>
      </c>
      <c r="CB832" s="2" t="s">
        <v>206</v>
      </c>
      <c r="CC832" s="2" t="s">
        <v>218</v>
      </c>
      <c r="CD832" s="2" t="s">
        <v>206</v>
      </c>
      <c r="CE832" s="4">
        <v>226</v>
      </c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  <c r="DE832" s="4"/>
      <c r="DF832" s="4"/>
      <c r="DG832" s="4"/>
      <c r="DH832" s="4"/>
      <c r="DI832" s="4"/>
      <c r="DJ832" s="4"/>
      <c r="DK832" s="4"/>
      <c r="DL832" s="4"/>
      <c r="DM832" s="4">
        <v>50</v>
      </c>
      <c r="DN832" s="4"/>
      <c r="DO832" s="4"/>
      <c r="DP832" s="4"/>
      <c r="DQ832" s="4"/>
      <c r="DR832" s="4"/>
      <c r="DS832" s="4"/>
      <c r="DT832" s="4"/>
      <c r="DU832" s="4"/>
      <c r="DV832" s="4"/>
      <c r="DW832" s="4"/>
      <c r="DX832" s="4"/>
      <c r="DY832" s="4"/>
      <c r="DZ832" s="4"/>
      <c r="EA832" s="4"/>
      <c r="EB832" s="4"/>
      <c r="EC832" s="4"/>
      <c r="ED832" s="4"/>
      <c r="EE832" s="4"/>
      <c r="EF832" s="4"/>
      <c r="EG832" s="4"/>
      <c r="EH832" s="4"/>
      <c r="EI832" s="4"/>
      <c r="EJ832" s="4"/>
      <c r="EK832" s="4"/>
      <c r="EL832" s="4"/>
      <c r="EM832" s="4"/>
      <c r="EN832" s="4"/>
      <c r="EO832" s="4"/>
      <c r="EP832" s="4"/>
      <c r="EQ832" s="4"/>
      <c r="ER832" s="4"/>
      <c r="ES832" s="4"/>
      <c r="ET832" s="4"/>
      <c r="EU832" s="4"/>
      <c r="EV832" s="4"/>
      <c r="EW832" s="4"/>
      <c r="EX832" s="4"/>
      <c r="EY832" s="4"/>
      <c r="EZ832" s="4"/>
      <c r="FA832" s="4">
        <v>30</v>
      </c>
      <c r="FB832" s="4"/>
      <c r="FC832" s="4"/>
      <c r="FD832" s="4"/>
      <c r="FE832" s="4"/>
      <c r="FF832" s="4"/>
      <c r="FG832" s="4"/>
      <c r="FH832" s="4"/>
      <c r="FI832" s="4"/>
      <c r="FJ832" s="4"/>
      <c r="FK832" s="4"/>
      <c r="FL832" s="4"/>
      <c r="FM832" s="4"/>
      <c r="FN832" s="4"/>
      <c r="FO832" s="4"/>
      <c r="FP832" s="4"/>
      <c r="FQ832" s="4"/>
      <c r="FR832" s="4"/>
      <c r="FS832" s="4"/>
      <c r="FT832" s="4"/>
      <c r="FU832" s="4"/>
      <c r="FV832" s="4"/>
      <c r="FW832" s="4"/>
      <c r="FX832" s="4"/>
      <c r="FY832" s="4"/>
      <c r="FZ832" s="4"/>
      <c r="GA832" s="4"/>
      <c r="GB832" s="4"/>
      <c r="GC832" s="4"/>
      <c r="GD832" s="4"/>
      <c r="GE832" s="4"/>
      <c r="GF832" s="4"/>
    </row>
    <row r="833">
      <c r="A833" s="2" t="s">
        <v>5160</v>
      </c>
      <c r="B833" s="2" t="s">
        <v>800</v>
      </c>
      <c r="C833" s="2" t="s">
        <v>1145</v>
      </c>
      <c r="D833" s="2" t="s">
        <v>529</v>
      </c>
      <c r="E833" s="2" t="s">
        <v>1134</v>
      </c>
      <c r="F833" s="2" t="s">
        <v>5155</v>
      </c>
      <c r="G833" s="2" t="s">
        <v>5155</v>
      </c>
      <c r="H833" s="2" t="s">
        <v>5155</v>
      </c>
      <c r="I833" s="2" t="s">
        <v>5161</v>
      </c>
      <c r="J833" s="2" t="s">
        <v>593</v>
      </c>
      <c r="K833" s="2" t="s">
        <v>1390</v>
      </c>
      <c r="L833" s="3">
        <v>42.85</v>
      </c>
      <c r="M833" s="3">
        <v>44.99</v>
      </c>
      <c r="N833" s="3">
        <v>89.99</v>
      </c>
      <c r="O833" s="2" t="s">
        <v>203</v>
      </c>
      <c r="P833" s="2" t="s">
        <v>204</v>
      </c>
      <c r="Q833" s="2" t="s">
        <v>205</v>
      </c>
      <c r="R833" s="2" t="s">
        <v>206</v>
      </c>
      <c r="S833" s="2" t="s">
        <v>5157</v>
      </c>
      <c r="T833" s="2" t="s">
        <v>1721</v>
      </c>
      <c r="U833" s="2" t="s">
        <v>556</v>
      </c>
      <c r="V833" s="2" t="s">
        <v>209</v>
      </c>
      <c r="W833" s="2" t="s">
        <v>210</v>
      </c>
      <c r="X833" s="2" t="s">
        <v>206</v>
      </c>
      <c r="Y833" s="2" t="s">
        <v>1310</v>
      </c>
      <c r="Z833" s="4">
        <v>293</v>
      </c>
      <c r="AA833" s="4">
        <f>=ROUNDDOWN(48.8333333333333,0)</f>
      </c>
      <c r="AB833" s="5">
        <v>6</v>
      </c>
      <c r="AC833" s="2" t="s">
        <v>125</v>
      </c>
      <c r="AD833" s="4">
        <v>100</v>
      </c>
      <c r="AE833" s="4">
        <v>390</v>
      </c>
      <c r="AF833" s="6">
        <v>65</v>
      </c>
      <c r="AG833" s="6"/>
      <c r="AH833" s="7">
        <v>1</v>
      </c>
      <c r="AI833" s="4"/>
      <c r="AJ833" s="4">
        <f>=ROUNDDOWN({0},0)</f>
      </c>
      <c r="AK833" s="5"/>
      <c r="AL833" s="2" t="s">
        <v>206</v>
      </c>
      <c r="AM833" s="4"/>
      <c r="AN833" s="4"/>
      <c r="AO833" s="7"/>
      <c r="AP833" s="4"/>
      <c r="AQ833" s="8"/>
      <c r="AR833" s="4"/>
      <c r="AS833" s="8"/>
      <c r="AT833" s="7"/>
      <c r="AU833" s="7"/>
      <c r="AV833" s="4" t="s">
        <v>206</v>
      </c>
      <c r="AW833" s="8" t="s">
        <v>206</v>
      </c>
      <c r="AX833" s="4" t="s">
        <v>206</v>
      </c>
      <c r="AY833" s="8" t="s">
        <v>206</v>
      </c>
      <c r="AZ833" s="7" t="s">
        <v>206</v>
      </c>
      <c r="BA833" s="7" t="s">
        <v>206</v>
      </c>
      <c r="BB833" s="7"/>
      <c r="BC833" s="4" t="s">
        <v>206</v>
      </c>
      <c r="BD833" s="8" t="s">
        <v>206</v>
      </c>
      <c r="BE833" s="4" t="s">
        <v>206</v>
      </c>
      <c r="BF833" s="8" t="s">
        <v>206</v>
      </c>
      <c r="BG833" s="7" t="s">
        <v>206</v>
      </c>
      <c r="BH833" s="7" t="s">
        <v>206</v>
      </c>
      <c r="BI833" s="7"/>
      <c r="BJ833" s="4">
        <v>10</v>
      </c>
      <c r="BK833" s="8">
        <v>481.85</v>
      </c>
      <c r="BL833" s="2" t="s">
        <v>4457</v>
      </c>
      <c r="BM833" s="7"/>
      <c r="BN833" s="7"/>
      <c r="BO833" s="4"/>
      <c r="BP833" s="8"/>
      <c r="BQ833" s="4"/>
      <c r="BR833" s="8"/>
      <c r="BS833" s="7"/>
      <c r="BT833" s="7"/>
      <c r="BU833" s="2" t="s">
        <v>5162</v>
      </c>
      <c r="BV833" s="2" t="s">
        <v>206</v>
      </c>
      <c r="BW833" s="2" t="s">
        <v>206</v>
      </c>
      <c r="BX833" s="2" t="s">
        <v>214</v>
      </c>
      <c r="BY833" s="2" t="s">
        <v>215</v>
      </c>
      <c r="BZ833" s="2" t="s">
        <v>203</v>
      </c>
      <c r="CA833" s="2" t="s">
        <v>2721</v>
      </c>
      <c r="CB833" s="2" t="s">
        <v>1548</v>
      </c>
      <c r="CC833" s="2" t="s">
        <v>218</v>
      </c>
      <c r="CD833" s="2" t="s">
        <v>206</v>
      </c>
      <c r="CE833" s="4">
        <v>293</v>
      </c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  <c r="DE833" s="4"/>
      <c r="DF833" s="4"/>
      <c r="DG833" s="4"/>
      <c r="DH833" s="4"/>
      <c r="DI833" s="4"/>
      <c r="DJ833" s="4"/>
      <c r="DK833" s="4"/>
      <c r="DL833" s="4"/>
      <c r="DM833" s="4">
        <v>100</v>
      </c>
      <c r="DN833" s="4"/>
      <c r="DO833" s="4"/>
      <c r="DP833" s="4"/>
      <c r="DQ833" s="4"/>
      <c r="DR833" s="4">
        <v>150</v>
      </c>
      <c r="DS833" s="4"/>
      <c r="DT833" s="4"/>
      <c r="DU833" s="4"/>
      <c r="DV833" s="4"/>
      <c r="DW833" s="4"/>
      <c r="DX833" s="4"/>
      <c r="DY833" s="4"/>
      <c r="DZ833" s="4"/>
      <c r="EA833" s="4"/>
      <c r="EB833" s="4"/>
      <c r="EC833" s="4"/>
      <c r="ED833" s="4"/>
      <c r="EE833" s="4"/>
      <c r="EF833" s="4"/>
      <c r="EG833" s="4"/>
      <c r="EH833" s="4"/>
      <c r="EI833" s="4"/>
      <c r="EJ833" s="4"/>
      <c r="EK833" s="4"/>
      <c r="EL833" s="4"/>
      <c r="EM833" s="4"/>
      <c r="EN833" s="4"/>
      <c r="EO833" s="4"/>
      <c r="EP833" s="4"/>
      <c r="EQ833" s="4"/>
      <c r="ER833" s="4"/>
      <c r="ES833" s="4"/>
      <c r="ET833" s="4"/>
      <c r="EU833" s="4"/>
      <c r="EV833" s="4"/>
      <c r="EW833" s="4"/>
      <c r="EX833" s="4"/>
      <c r="EY833" s="4"/>
      <c r="EZ833" s="4"/>
      <c r="FA833" s="4">
        <v>140</v>
      </c>
      <c r="FB833" s="4"/>
      <c r="FC833" s="4"/>
      <c r="FD833" s="4"/>
      <c r="FE833" s="4"/>
      <c r="FF833" s="4"/>
      <c r="FG833" s="4"/>
      <c r="FH833" s="4"/>
      <c r="FI833" s="4"/>
      <c r="FJ833" s="4"/>
      <c r="FK833" s="4"/>
      <c r="FL833" s="4"/>
      <c r="FM833" s="4"/>
      <c r="FN833" s="4"/>
      <c r="FO833" s="4"/>
      <c r="FP833" s="4"/>
      <c r="FQ833" s="4"/>
      <c r="FR833" s="4"/>
      <c r="FS833" s="4"/>
      <c r="FT833" s="4"/>
      <c r="FU833" s="4"/>
      <c r="FV833" s="4"/>
      <c r="FW833" s="4"/>
      <c r="FX833" s="4"/>
      <c r="FY833" s="4"/>
      <c r="FZ833" s="4"/>
      <c r="GA833" s="4"/>
      <c r="GB833" s="4"/>
      <c r="GC833" s="4"/>
      <c r="GD833" s="4"/>
      <c r="GE833" s="4"/>
      <c r="GF833" s="4"/>
    </row>
    <row r="834">
      <c r="A834" s="2" t="s">
        <v>5163</v>
      </c>
      <c r="B834" s="2" t="s">
        <v>800</v>
      </c>
      <c r="C834" s="2" t="s">
        <v>1145</v>
      </c>
      <c r="D834" s="2" t="s">
        <v>529</v>
      </c>
      <c r="E834" s="2" t="s">
        <v>1134</v>
      </c>
      <c r="F834" s="2" t="s">
        <v>5155</v>
      </c>
      <c r="G834" s="2" t="s">
        <v>5155</v>
      </c>
      <c r="H834" s="2" t="s">
        <v>5155</v>
      </c>
      <c r="I834" s="2" t="s">
        <v>5161</v>
      </c>
      <c r="J834" s="2" t="s">
        <v>231</v>
      </c>
      <c r="K834" s="2" t="s">
        <v>1390</v>
      </c>
      <c r="L834" s="3">
        <v>47.61</v>
      </c>
      <c r="M834" s="3">
        <v>49.99</v>
      </c>
      <c r="N834" s="3">
        <v>99.99</v>
      </c>
      <c r="O834" s="2" t="s">
        <v>203</v>
      </c>
      <c r="P834" s="2" t="s">
        <v>204</v>
      </c>
      <c r="Q834" s="2" t="s">
        <v>205</v>
      </c>
      <c r="R834" s="2" t="s">
        <v>206</v>
      </c>
      <c r="S834" s="2" t="s">
        <v>5157</v>
      </c>
      <c r="T834" s="2" t="s">
        <v>1721</v>
      </c>
      <c r="U834" s="2" t="s">
        <v>556</v>
      </c>
      <c r="V834" s="2" t="s">
        <v>209</v>
      </c>
      <c r="W834" s="2" t="s">
        <v>210</v>
      </c>
      <c r="X834" s="2" t="s">
        <v>206</v>
      </c>
      <c r="Y834" s="2" t="s">
        <v>1524</v>
      </c>
      <c r="Z834" s="4">
        <v>142</v>
      </c>
      <c r="AA834" s="4">
        <f>=ROUNDDOWN(28.4,0)</f>
      </c>
      <c r="AB834" s="5">
        <v>5</v>
      </c>
      <c r="AC834" s="2" t="s">
        <v>125</v>
      </c>
      <c r="AD834" s="4">
        <v>70</v>
      </c>
      <c r="AE834" s="4">
        <v>288</v>
      </c>
      <c r="AF834" s="6">
        <v>65</v>
      </c>
      <c r="AG834" s="6"/>
      <c r="AH834" s="7">
        <v>1</v>
      </c>
      <c r="AI834" s="4"/>
      <c r="AJ834" s="4">
        <f>=ROUNDDOWN({0},0)</f>
      </c>
      <c r="AK834" s="5"/>
      <c r="AL834" s="2" t="s">
        <v>206</v>
      </c>
      <c r="AM834" s="4"/>
      <c r="AN834" s="4"/>
      <c r="AO834" s="7"/>
      <c r="AP834" s="4"/>
      <c r="AQ834" s="8"/>
      <c r="AR834" s="4"/>
      <c r="AS834" s="8"/>
      <c r="AT834" s="7"/>
      <c r="AU834" s="7"/>
      <c r="AV834" s="4" t="s">
        <v>206</v>
      </c>
      <c r="AW834" s="8" t="s">
        <v>206</v>
      </c>
      <c r="AX834" s="4" t="s">
        <v>206</v>
      </c>
      <c r="AY834" s="8" t="s">
        <v>206</v>
      </c>
      <c r="AZ834" s="7" t="s">
        <v>206</v>
      </c>
      <c r="BA834" s="7" t="s">
        <v>206</v>
      </c>
      <c r="BB834" s="7"/>
      <c r="BC834" s="4" t="s">
        <v>206</v>
      </c>
      <c r="BD834" s="8" t="s">
        <v>206</v>
      </c>
      <c r="BE834" s="4" t="s">
        <v>206</v>
      </c>
      <c r="BF834" s="8" t="s">
        <v>206</v>
      </c>
      <c r="BG834" s="7" t="s">
        <v>206</v>
      </c>
      <c r="BH834" s="7" t="s">
        <v>206</v>
      </c>
      <c r="BI834" s="7"/>
      <c r="BJ834" s="4">
        <v>3</v>
      </c>
      <c r="BK834" s="8">
        <v>161.99</v>
      </c>
      <c r="BL834" s="2" t="s">
        <v>5164</v>
      </c>
      <c r="BM834" s="7"/>
      <c r="BN834" s="7"/>
      <c r="BO834" s="4"/>
      <c r="BP834" s="8"/>
      <c r="BQ834" s="4"/>
      <c r="BR834" s="8"/>
      <c r="BS834" s="7"/>
      <c r="BT834" s="7"/>
      <c r="BU834" s="2" t="s">
        <v>5165</v>
      </c>
      <c r="BV834" s="2" t="s">
        <v>206</v>
      </c>
      <c r="BW834" s="2" t="s">
        <v>206</v>
      </c>
      <c r="BX834" s="2" t="s">
        <v>214</v>
      </c>
      <c r="BY834" s="2" t="s">
        <v>215</v>
      </c>
      <c r="BZ834" s="2" t="s">
        <v>203</v>
      </c>
      <c r="CA834" s="2" t="s">
        <v>2721</v>
      </c>
      <c r="CB834" s="2" t="s">
        <v>3631</v>
      </c>
      <c r="CC834" s="2" t="s">
        <v>218</v>
      </c>
      <c r="CD834" s="2" t="s">
        <v>206</v>
      </c>
      <c r="CE834" s="4">
        <v>142</v>
      </c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  <c r="DE834" s="4"/>
      <c r="DF834" s="4"/>
      <c r="DG834" s="4"/>
      <c r="DH834" s="4"/>
      <c r="DI834" s="4"/>
      <c r="DJ834" s="4"/>
      <c r="DK834" s="4"/>
      <c r="DL834" s="4"/>
      <c r="DM834" s="4">
        <v>70</v>
      </c>
      <c r="DN834" s="4"/>
      <c r="DO834" s="4"/>
      <c r="DP834" s="4"/>
      <c r="DQ834" s="4"/>
      <c r="DR834" s="4">
        <v>80</v>
      </c>
      <c r="DS834" s="4"/>
      <c r="DT834" s="4"/>
      <c r="DU834" s="4"/>
      <c r="DV834" s="4"/>
      <c r="DW834" s="4"/>
      <c r="DX834" s="4"/>
      <c r="DY834" s="4"/>
      <c r="DZ834" s="4"/>
      <c r="EA834" s="4"/>
      <c r="EB834" s="4"/>
      <c r="EC834" s="4"/>
      <c r="ED834" s="4"/>
      <c r="EE834" s="4"/>
      <c r="EF834" s="4"/>
      <c r="EG834" s="4"/>
      <c r="EH834" s="4"/>
      <c r="EI834" s="4"/>
      <c r="EJ834" s="4"/>
      <c r="EK834" s="4"/>
      <c r="EL834" s="4"/>
      <c r="EM834" s="4"/>
      <c r="EN834" s="4"/>
      <c r="EO834" s="4"/>
      <c r="EP834" s="4"/>
      <c r="EQ834" s="4"/>
      <c r="ER834" s="4"/>
      <c r="ES834" s="4"/>
      <c r="ET834" s="4"/>
      <c r="EU834" s="4"/>
      <c r="EV834" s="4"/>
      <c r="EW834" s="4"/>
      <c r="EX834" s="4"/>
      <c r="EY834" s="4"/>
      <c r="EZ834" s="4"/>
      <c r="FA834" s="4">
        <v>138</v>
      </c>
      <c r="FB834" s="4"/>
      <c r="FC834" s="4"/>
      <c r="FD834" s="4"/>
      <c r="FE834" s="4"/>
      <c r="FF834" s="4"/>
      <c r="FG834" s="4"/>
      <c r="FH834" s="4"/>
      <c r="FI834" s="4"/>
      <c r="FJ834" s="4"/>
      <c r="FK834" s="4"/>
      <c r="FL834" s="4"/>
      <c r="FM834" s="4"/>
      <c r="FN834" s="4"/>
      <c r="FO834" s="4"/>
      <c r="FP834" s="4"/>
      <c r="FQ834" s="4"/>
      <c r="FR834" s="4"/>
      <c r="FS834" s="4"/>
      <c r="FT834" s="4"/>
      <c r="FU834" s="4"/>
      <c r="FV834" s="4"/>
      <c r="FW834" s="4"/>
      <c r="FX834" s="4"/>
      <c r="FY834" s="4"/>
      <c r="FZ834" s="4"/>
      <c r="GA834" s="4"/>
      <c r="GB834" s="4"/>
      <c r="GC834" s="4"/>
      <c r="GD834" s="4"/>
      <c r="GE834" s="4"/>
      <c r="GF834" s="4"/>
    </row>
    <row r="835">
      <c r="A835" s="2" t="s">
        <v>5166</v>
      </c>
      <c r="B835" s="2" t="s">
        <v>800</v>
      </c>
      <c r="C835" s="2" t="s">
        <v>1145</v>
      </c>
      <c r="D835" s="2" t="s">
        <v>529</v>
      </c>
      <c r="E835" s="2" t="s">
        <v>1134</v>
      </c>
      <c r="F835" s="2" t="s">
        <v>5155</v>
      </c>
      <c r="G835" s="2" t="s">
        <v>5155</v>
      </c>
      <c r="H835" s="2" t="s">
        <v>5155</v>
      </c>
      <c r="I835" s="2" t="s">
        <v>5161</v>
      </c>
      <c r="J835" s="2" t="s">
        <v>593</v>
      </c>
      <c r="K835" s="2" t="s">
        <v>763</v>
      </c>
      <c r="L835" s="3">
        <v>42.85</v>
      </c>
      <c r="M835" s="3">
        <v>44.99</v>
      </c>
      <c r="N835" s="3">
        <v>89.99</v>
      </c>
      <c r="O835" s="2" t="s">
        <v>203</v>
      </c>
      <c r="P835" s="2" t="s">
        <v>204</v>
      </c>
      <c r="Q835" s="2" t="s">
        <v>205</v>
      </c>
      <c r="R835" s="2" t="s">
        <v>206</v>
      </c>
      <c r="S835" s="2" t="s">
        <v>5167</v>
      </c>
      <c r="T835" s="2" t="s">
        <v>1721</v>
      </c>
      <c r="U835" s="2" t="s">
        <v>556</v>
      </c>
      <c r="V835" s="2" t="s">
        <v>209</v>
      </c>
      <c r="W835" s="2" t="s">
        <v>210</v>
      </c>
      <c r="X835" s="2" t="s">
        <v>206</v>
      </c>
      <c r="Y835" s="2" t="s">
        <v>1310</v>
      </c>
      <c r="Z835" s="4">
        <v>284</v>
      </c>
      <c r="AA835" s="4">
        <f>=ROUNDDOWN(47.3333333333333,0)</f>
      </c>
      <c r="AB835" s="5">
        <v>6</v>
      </c>
      <c r="AC835" s="2" t="s">
        <v>125</v>
      </c>
      <c r="AD835" s="4">
        <v>100</v>
      </c>
      <c r="AE835" s="4">
        <v>350</v>
      </c>
      <c r="AF835" s="6">
        <v>65</v>
      </c>
      <c r="AG835" s="6"/>
      <c r="AH835" s="7">
        <v>1</v>
      </c>
      <c r="AI835" s="4"/>
      <c r="AJ835" s="4">
        <f>=ROUNDDOWN({0},0)</f>
      </c>
      <c r="AK835" s="5"/>
      <c r="AL835" s="2" t="s">
        <v>206</v>
      </c>
      <c r="AM835" s="4"/>
      <c r="AN835" s="4"/>
      <c r="AO835" s="7"/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 t="s">
        <v>206</v>
      </c>
      <c r="BD835" s="8" t="s">
        <v>206</v>
      </c>
      <c r="BE835" s="4" t="s">
        <v>206</v>
      </c>
      <c r="BF835" s="8" t="s">
        <v>206</v>
      </c>
      <c r="BG835" s="7" t="s">
        <v>206</v>
      </c>
      <c r="BH835" s="7" t="s">
        <v>206</v>
      </c>
      <c r="BI835" s="7"/>
      <c r="BJ835" s="4">
        <v>17</v>
      </c>
      <c r="BK835" s="8">
        <v>811.18</v>
      </c>
      <c r="BL835" s="2" t="s">
        <v>4457</v>
      </c>
      <c r="BM835" s="7"/>
      <c r="BN835" s="7"/>
      <c r="BO835" s="4"/>
      <c r="BP835" s="8"/>
      <c r="BQ835" s="4"/>
      <c r="BR835" s="8"/>
      <c r="BS835" s="7"/>
      <c r="BT835" s="7"/>
      <c r="BU835" s="2" t="s">
        <v>5168</v>
      </c>
      <c r="BV835" s="2" t="s">
        <v>206</v>
      </c>
      <c r="BW835" s="2" t="s">
        <v>206</v>
      </c>
      <c r="BX835" s="2" t="s">
        <v>214</v>
      </c>
      <c r="BY835" s="2" t="s">
        <v>215</v>
      </c>
      <c r="BZ835" s="2" t="s">
        <v>203</v>
      </c>
      <c r="CA835" s="2" t="s">
        <v>2721</v>
      </c>
      <c r="CB835" s="2" t="s">
        <v>3034</v>
      </c>
      <c r="CC835" s="2" t="s">
        <v>218</v>
      </c>
      <c r="CD835" s="2" t="s">
        <v>206</v>
      </c>
      <c r="CE835" s="4">
        <v>284</v>
      </c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  <c r="DE835" s="4"/>
      <c r="DF835" s="4"/>
      <c r="DG835" s="4"/>
      <c r="DH835" s="4"/>
      <c r="DI835" s="4"/>
      <c r="DJ835" s="4"/>
      <c r="DK835" s="4"/>
      <c r="DL835" s="4"/>
      <c r="DM835" s="4">
        <v>100</v>
      </c>
      <c r="DN835" s="4"/>
      <c r="DO835" s="4"/>
      <c r="DP835" s="4"/>
      <c r="DQ835" s="4"/>
      <c r="DR835" s="4">
        <v>170</v>
      </c>
      <c r="DS835" s="4"/>
      <c r="DT835" s="4"/>
      <c r="DU835" s="4"/>
      <c r="DV835" s="4"/>
      <c r="DW835" s="4"/>
      <c r="DX835" s="4"/>
      <c r="DY835" s="4"/>
      <c r="DZ835" s="4"/>
      <c r="EA835" s="4"/>
      <c r="EB835" s="4"/>
      <c r="EC835" s="4"/>
      <c r="ED835" s="4"/>
      <c r="EE835" s="4"/>
      <c r="EF835" s="4"/>
      <c r="EG835" s="4"/>
      <c r="EH835" s="4"/>
      <c r="EI835" s="4"/>
      <c r="EJ835" s="4"/>
      <c r="EK835" s="4"/>
      <c r="EL835" s="4"/>
      <c r="EM835" s="4"/>
      <c r="EN835" s="4"/>
      <c r="EO835" s="4"/>
      <c r="EP835" s="4"/>
      <c r="EQ835" s="4"/>
      <c r="ER835" s="4"/>
      <c r="ES835" s="4"/>
      <c r="ET835" s="4"/>
      <c r="EU835" s="4"/>
      <c r="EV835" s="4"/>
      <c r="EW835" s="4"/>
      <c r="EX835" s="4"/>
      <c r="EY835" s="4"/>
      <c r="EZ835" s="4"/>
      <c r="FA835" s="4">
        <v>80</v>
      </c>
      <c r="FB835" s="4"/>
      <c r="FC835" s="4"/>
      <c r="FD835" s="4"/>
      <c r="FE835" s="4"/>
      <c r="FF835" s="4"/>
      <c r="FG835" s="4"/>
      <c r="FH835" s="4"/>
      <c r="FI835" s="4"/>
      <c r="FJ835" s="4"/>
      <c r="FK835" s="4"/>
      <c r="FL835" s="4"/>
      <c r="FM835" s="4"/>
      <c r="FN835" s="4"/>
      <c r="FO835" s="4"/>
      <c r="FP835" s="4"/>
      <c r="FQ835" s="4"/>
      <c r="FR835" s="4"/>
      <c r="FS835" s="4"/>
      <c r="FT835" s="4"/>
      <c r="FU835" s="4"/>
      <c r="FV835" s="4"/>
      <c r="FW835" s="4"/>
      <c r="FX835" s="4"/>
      <c r="FY835" s="4"/>
      <c r="FZ835" s="4"/>
      <c r="GA835" s="4"/>
      <c r="GB835" s="4"/>
      <c r="GC835" s="4"/>
      <c r="GD835" s="4"/>
      <c r="GE835" s="4"/>
      <c r="GF835" s="4"/>
    </row>
    <row r="836">
      <c r="A836" s="2" t="s">
        <v>5169</v>
      </c>
      <c r="B836" s="2" t="s">
        <v>800</v>
      </c>
      <c r="C836" s="2" t="s">
        <v>1145</v>
      </c>
      <c r="D836" s="2" t="s">
        <v>529</v>
      </c>
      <c r="E836" s="2" t="s">
        <v>1134</v>
      </c>
      <c r="F836" s="2" t="s">
        <v>5155</v>
      </c>
      <c r="G836" s="2" t="s">
        <v>5155</v>
      </c>
      <c r="H836" s="2" t="s">
        <v>5155</v>
      </c>
      <c r="I836" s="2" t="s">
        <v>5156</v>
      </c>
      <c r="J836" s="2" t="s">
        <v>201</v>
      </c>
      <c r="K836" s="2" t="s">
        <v>499</v>
      </c>
      <c r="L836" s="3">
        <v>33.33</v>
      </c>
      <c r="M836" s="3">
        <v>35</v>
      </c>
      <c r="N836" s="3">
        <v>69.99</v>
      </c>
      <c r="O836" s="2" t="s">
        <v>203</v>
      </c>
      <c r="P836" s="2" t="s">
        <v>204</v>
      </c>
      <c r="Q836" s="2" t="s">
        <v>205</v>
      </c>
      <c r="R836" s="2" t="s">
        <v>206</v>
      </c>
      <c r="S836" s="2" t="s">
        <v>5170</v>
      </c>
      <c r="T836" s="2" t="s">
        <v>1721</v>
      </c>
      <c r="U836" s="2" t="s">
        <v>900</v>
      </c>
      <c r="V836" s="2" t="s">
        <v>209</v>
      </c>
      <c r="W836" s="2" t="s">
        <v>210</v>
      </c>
      <c r="X836" s="2" t="s">
        <v>206</v>
      </c>
      <c r="Y836" s="2" t="s">
        <v>1524</v>
      </c>
      <c r="Z836" s="4">
        <v>233</v>
      </c>
      <c r="AA836" s="4">
        <f>=ROUNDDOWN(77.6666666666667,0)</f>
      </c>
      <c r="AB836" s="5">
        <v>3</v>
      </c>
      <c r="AC836" s="2" t="s">
        <v>125</v>
      </c>
      <c r="AD836" s="4">
        <v>50</v>
      </c>
      <c r="AE836" s="4">
        <v>80</v>
      </c>
      <c r="AF836" s="6">
        <v>65</v>
      </c>
      <c r="AG836" s="6"/>
      <c r="AH836" s="7">
        <v>1</v>
      </c>
      <c r="AI836" s="4"/>
      <c r="AJ836" s="4">
        <f>=ROUNDDOWN({0},0)</f>
      </c>
      <c r="AK836" s="5"/>
      <c r="AL836" s="2" t="s">
        <v>206</v>
      </c>
      <c r="AM836" s="4"/>
      <c r="AN836" s="4"/>
      <c r="AO836" s="7"/>
      <c r="AP836" s="4"/>
      <c r="AQ836" s="8"/>
      <c r="AR836" s="4"/>
      <c r="AS836" s="8"/>
      <c r="AT836" s="7"/>
      <c r="AU836" s="7"/>
      <c r="AV836" s="4" t="s">
        <v>206</v>
      </c>
      <c r="AW836" s="8" t="s">
        <v>206</v>
      </c>
      <c r="AX836" s="4" t="s">
        <v>206</v>
      </c>
      <c r="AY836" s="8" t="s">
        <v>206</v>
      </c>
      <c r="AZ836" s="7" t="s">
        <v>206</v>
      </c>
      <c r="BA836" s="7" t="s">
        <v>206</v>
      </c>
      <c r="BB836" s="7"/>
      <c r="BC836" s="4" t="s">
        <v>206</v>
      </c>
      <c r="BD836" s="8" t="s">
        <v>206</v>
      </c>
      <c r="BE836" s="4" t="s">
        <v>206</v>
      </c>
      <c r="BF836" s="8" t="s">
        <v>206</v>
      </c>
      <c r="BG836" s="7" t="s">
        <v>206</v>
      </c>
      <c r="BH836" s="7" t="s">
        <v>206</v>
      </c>
      <c r="BI836" s="7"/>
      <c r="BJ836" s="4">
        <v>6</v>
      </c>
      <c r="BK836" s="8">
        <v>225.75</v>
      </c>
      <c r="BL836" s="2" t="s">
        <v>212</v>
      </c>
      <c r="BM836" s="7"/>
      <c r="BN836" s="7"/>
      <c r="BO836" s="4"/>
      <c r="BP836" s="8"/>
      <c r="BQ836" s="4"/>
      <c r="BR836" s="8"/>
      <c r="BS836" s="7"/>
      <c r="BT836" s="7"/>
      <c r="BU836" s="2" t="s">
        <v>5171</v>
      </c>
      <c r="BV836" s="2" t="s">
        <v>206</v>
      </c>
      <c r="BW836" s="2" t="s">
        <v>206</v>
      </c>
      <c r="BX836" s="2" t="s">
        <v>214</v>
      </c>
      <c r="BY836" s="2" t="s">
        <v>215</v>
      </c>
      <c r="BZ836" s="2" t="s">
        <v>203</v>
      </c>
      <c r="CA836" s="2" t="s">
        <v>2721</v>
      </c>
      <c r="CB836" s="2" t="s">
        <v>4792</v>
      </c>
      <c r="CC836" s="2" t="s">
        <v>218</v>
      </c>
      <c r="CD836" s="2" t="s">
        <v>206</v>
      </c>
      <c r="CE836" s="4">
        <v>233</v>
      </c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  <c r="DE836" s="4"/>
      <c r="DF836" s="4"/>
      <c r="DG836" s="4"/>
      <c r="DH836" s="4"/>
      <c r="DI836" s="4"/>
      <c r="DJ836" s="4"/>
      <c r="DK836" s="4"/>
      <c r="DL836" s="4"/>
      <c r="DM836" s="4">
        <v>50</v>
      </c>
      <c r="DN836" s="4"/>
      <c r="DO836" s="4"/>
      <c r="DP836" s="4"/>
      <c r="DQ836" s="4"/>
      <c r="DR836" s="4"/>
      <c r="DS836" s="4"/>
      <c r="DT836" s="4"/>
      <c r="DU836" s="4"/>
      <c r="DV836" s="4"/>
      <c r="DW836" s="4"/>
      <c r="DX836" s="4"/>
      <c r="DY836" s="4"/>
      <c r="DZ836" s="4"/>
      <c r="EA836" s="4"/>
      <c r="EB836" s="4"/>
      <c r="EC836" s="4"/>
      <c r="ED836" s="4"/>
      <c r="EE836" s="4"/>
      <c r="EF836" s="4"/>
      <c r="EG836" s="4"/>
      <c r="EH836" s="4"/>
      <c r="EI836" s="4"/>
      <c r="EJ836" s="4"/>
      <c r="EK836" s="4"/>
      <c r="EL836" s="4"/>
      <c r="EM836" s="4"/>
      <c r="EN836" s="4"/>
      <c r="EO836" s="4"/>
      <c r="EP836" s="4"/>
      <c r="EQ836" s="4"/>
      <c r="ER836" s="4"/>
      <c r="ES836" s="4"/>
      <c r="ET836" s="4"/>
      <c r="EU836" s="4"/>
      <c r="EV836" s="4"/>
      <c r="EW836" s="4"/>
      <c r="EX836" s="4"/>
      <c r="EY836" s="4"/>
      <c r="EZ836" s="4"/>
      <c r="FA836" s="4">
        <v>30</v>
      </c>
      <c r="FB836" s="4"/>
      <c r="FC836" s="4"/>
      <c r="FD836" s="4"/>
      <c r="FE836" s="4"/>
      <c r="FF836" s="4"/>
      <c r="FG836" s="4"/>
      <c r="FH836" s="4"/>
      <c r="FI836" s="4"/>
      <c r="FJ836" s="4"/>
      <c r="FK836" s="4"/>
      <c r="FL836" s="4"/>
      <c r="FM836" s="4"/>
      <c r="FN836" s="4"/>
      <c r="FO836" s="4"/>
      <c r="FP836" s="4"/>
      <c r="FQ836" s="4"/>
      <c r="FR836" s="4"/>
      <c r="FS836" s="4"/>
      <c r="FT836" s="4"/>
      <c r="FU836" s="4"/>
      <c r="FV836" s="4"/>
      <c r="FW836" s="4"/>
      <c r="FX836" s="4"/>
      <c r="FY836" s="4"/>
      <c r="FZ836" s="4"/>
      <c r="GA836" s="4"/>
      <c r="GB836" s="4"/>
      <c r="GC836" s="4"/>
      <c r="GD836" s="4"/>
      <c r="GE836" s="4"/>
      <c r="GF836" s="4"/>
    </row>
    <row r="837">
      <c r="A837" s="2" t="s">
        <v>5172</v>
      </c>
      <c r="B837" s="2" t="s">
        <v>800</v>
      </c>
      <c r="C837" s="2" t="s">
        <v>1145</v>
      </c>
      <c r="D837" s="2" t="s">
        <v>529</v>
      </c>
      <c r="E837" s="2" t="s">
        <v>1134</v>
      </c>
      <c r="F837" s="2" t="s">
        <v>5155</v>
      </c>
      <c r="G837" s="2" t="s">
        <v>5155</v>
      </c>
      <c r="H837" s="2" t="s">
        <v>5155</v>
      </c>
      <c r="I837" s="2" t="s">
        <v>5161</v>
      </c>
      <c r="J837" s="2" t="s">
        <v>593</v>
      </c>
      <c r="K837" s="2" t="s">
        <v>499</v>
      </c>
      <c r="L837" s="3">
        <v>42.85</v>
      </c>
      <c r="M837" s="3">
        <v>44.99</v>
      </c>
      <c r="N837" s="3">
        <v>89.99</v>
      </c>
      <c r="O837" s="2" t="s">
        <v>203</v>
      </c>
      <c r="P837" s="2" t="s">
        <v>204</v>
      </c>
      <c r="Q837" s="2" t="s">
        <v>205</v>
      </c>
      <c r="R837" s="2" t="s">
        <v>206</v>
      </c>
      <c r="S837" s="2" t="s">
        <v>5170</v>
      </c>
      <c r="T837" s="2" t="s">
        <v>1721</v>
      </c>
      <c r="U837" s="2" t="s">
        <v>556</v>
      </c>
      <c r="V837" s="2" t="s">
        <v>209</v>
      </c>
      <c r="W837" s="2" t="s">
        <v>210</v>
      </c>
      <c r="X837" s="2" t="s">
        <v>206</v>
      </c>
      <c r="Y837" s="2" t="s">
        <v>1524</v>
      </c>
      <c r="Z837" s="4">
        <v>309</v>
      </c>
      <c r="AA837" s="4">
        <f>=ROUNDDOWN(44.1428571428571,0)</f>
      </c>
      <c r="AB837" s="5">
        <v>7</v>
      </c>
      <c r="AC837" s="2" t="s">
        <v>125</v>
      </c>
      <c r="AD837" s="4">
        <v>120</v>
      </c>
      <c r="AE837" s="4">
        <v>420</v>
      </c>
      <c r="AF837" s="6">
        <v>65</v>
      </c>
      <c r="AG837" s="6"/>
      <c r="AH837" s="7">
        <v>1</v>
      </c>
      <c r="AI837" s="4"/>
      <c r="AJ837" s="4">
        <f>=ROUNDDOWN({0},0)</f>
      </c>
      <c r="AK837" s="5"/>
      <c r="AL837" s="2" t="s">
        <v>206</v>
      </c>
      <c r="AM837" s="4"/>
      <c r="AN837" s="4"/>
      <c r="AO837" s="7"/>
      <c r="AP837" s="4"/>
      <c r="AQ837" s="8"/>
      <c r="AR837" s="4"/>
      <c r="AS837" s="8"/>
      <c r="AT837" s="7"/>
      <c r="AU837" s="7"/>
      <c r="AV837" s="4" t="s">
        <v>206</v>
      </c>
      <c r="AW837" s="8" t="s">
        <v>206</v>
      </c>
      <c r="AX837" s="4" t="s">
        <v>206</v>
      </c>
      <c r="AY837" s="8" t="s">
        <v>206</v>
      </c>
      <c r="AZ837" s="7" t="s">
        <v>206</v>
      </c>
      <c r="BA837" s="7" t="s">
        <v>206</v>
      </c>
      <c r="BB837" s="7"/>
      <c r="BC837" s="4" t="s">
        <v>206</v>
      </c>
      <c r="BD837" s="8" t="s">
        <v>206</v>
      </c>
      <c r="BE837" s="4" t="s">
        <v>206</v>
      </c>
      <c r="BF837" s="8" t="s">
        <v>206</v>
      </c>
      <c r="BG837" s="7" t="s">
        <v>206</v>
      </c>
      <c r="BH837" s="7" t="s">
        <v>206</v>
      </c>
      <c r="BI837" s="7"/>
      <c r="BJ837" s="4">
        <v>8</v>
      </c>
      <c r="BK837" s="8">
        <v>381.97</v>
      </c>
      <c r="BL837" s="2" t="s">
        <v>5173</v>
      </c>
      <c r="BM837" s="7"/>
      <c r="BN837" s="7"/>
      <c r="BO837" s="4"/>
      <c r="BP837" s="8"/>
      <c r="BQ837" s="4"/>
      <c r="BR837" s="8"/>
      <c r="BS837" s="7"/>
      <c r="BT837" s="7"/>
      <c r="BU837" s="2" t="s">
        <v>5174</v>
      </c>
      <c r="BV837" s="2" t="s">
        <v>206</v>
      </c>
      <c r="BW837" s="2" t="s">
        <v>206</v>
      </c>
      <c r="BX837" s="2" t="s">
        <v>214</v>
      </c>
      <c r="BY837" s="2" t="s">
        <v>215</v>
      </c>
      <c r="BZ837" s="2" t="s">
        <v>203</v>
      </c>
      <c r="CA837" s="2" t="s">
        <v>2721</v>
      </c>
      <c r="CB837" s="2" t="s">
        <v>206</v>
      </c>
      <c r="CC837" s="2" t="s">
        <v>218</v>
      </c>
      <c r="CD837" s="2" t="s">
        <v>206</v>
      </c>
      <c r="CE837" s="4">
        <v>309</v>
      </c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  <c r="DE837" s="4"/>
      <c r="DF837" s="4"/>
      <c r="DG837" s="4"/>
      <c r="DH837" s="4"/>
      <c r="DI837" s="4"/>
      <c r="DJ837" s="4"/>
      <c r="DK837" s="4"/>
      <c r="DL837" s="4"/>
      <c r="DM837" s="4">
        <v>120</v>
      </c>
      <c r="DN837" s="4"/>
      <c r="DO837" s="4"/>
      <c r="DP837" s="4"/>
      <c r="DQ837" s="4"/>
      <c r="DR837" s="4">
        <v>230</v>
      </c>
      <c r="DS837" s="4"/>
      <c r="DT837" s="4"/>
      <c r="DU837" s="4"/>
      <c r="DV837" s="4"/>
      <c r="DW837" s="4"/>
      <c r="DX837" s="4"/>
      <c r="DY837" s="4"/>
      <c r="DZ837" s="4"/>
      <c r="EA837" s="4"/>
      <c r="EB837" s="4"/>
      <c r="EC837" s="4"/>
      <c r="ED837" s="4"/>
      <c r="EE837" s="4"/>
      <c r="EF837" s="4"/>
      <c r="EG837" s="4"/>
      <c r="EH837" s="4"/>
      <c r="EI837" s="4"/>
      <c r="EJ837" s="4"/>
      <c r="EK837" s="4"/>
      <c r="EL837" s="4"/>
      <c r="EM837" s="4"/>
      <c r="EN837" s="4"/>
      <c r="EO837" s="4"/>
      <c r="EP837" s="4"/>
      <c r="EQ837" s="4"/>
      <c r="ER837" s="4"/>
      <c r="ES837" s="4"/>
      <c r="ET837" s="4"/>
      <c r="EU837" s="4"/>
      <c r="EV837" s="4"/>
      <c r="EW837" s="4"/>
      <c r="EX837" s="4"/>
      <c r="EY837" s="4"/>
      <c r="EZ837" s="4"/>
      <c r="FA837" s="4">
        <v>70</v>
      </c>
      <c r="FB837" s="4"/>
      <c r="FC837" s="4"/>
      <c r="FD837" s="4"/>
      <c r="FE837" s="4"/>
      <c r="FF837" s="4"/>
      <c r="FG837" s="4"/>
      <c r="FH837" s="4"/>
      <c r="FI837" s="4"/>
      <c r="FJ837" s="4"/>
      <c r="FK837" s="4"/>
      <c r="FL837" s="4"/>
      <c r="FM837" s="4"/>
      <c r="FN837" s="4"/>
      <c r="FO837" s="4"/>
      <c r="FP837" s="4"/>
      <c r="FQ837" s="4"/>
      <c r="FR837" s="4"/>
      <c r="FS837" s="4"/>
      <c r="FT837" s="4"/>
      <c r="FU837" s="4"/>
      <c r="FV837" s="4"/>
      <c r="FW837" s="4"/>
      <c r="FX837" s="4"/>
      <c r="FY837" s="4"/>
      <c r="FZ837" s="4"/>
      <c r="GA837" s="4"/>
      <c r="GB837" s="4"/>
      <c r="GC837" s="4"/>
      <c r="GD837" s="4"/>
      <c r="GE837" s="4"/>
      <c r="GF837" s="4"/>
    </row>
    <row r="838">
      <c r="A838" s="2" t="s">
        <v>5175</v>
      </c>
      <c r="B838" s="2" t="s">
        <v>528</v>
      </c>
      <c r="C838" s="2" t="s">
        <v>1708</v>
      </c>
      <c r="D838" s="2" t="s">
        <v>1612</v>
      </c>
      <c r="E838" s="2" t="s">
        <v>3231</v>
      </c>
      <c r="F838" s="2" t="s">
        <v>5176</v>
      </c>
      <c r="G838" s="2" t="s">
        <v>5176</v>
      </c>
      <c r="H838" s="2" t="s">
        <v>206</v>
      </c>
      <c r="I838" s="2" t="s">
        <v>5177</v>
      </c>
      <c r="J838" s="2" t="s">
        <v>282</v>
      </c>
      <c r="K838" s="2" t="s">
        <v>5178</v>
      </c>
      <c r="L838" s="3">
        <v>73.15</v>
      </c>
      <c r="M838" s="3">
        <v>76.81</v>
      </c>
      <c r="N838" s="3">
        <v>209</v>
      </c>
      <c r="O838" s="2" t="s">
        <v>2219</v>
      </c>
      <c r="P838" s="2" t="s">
        <v>204</v>
      </c>
      <c r="Q838" s="2" t="s">
        <v>205</v>
      </c>
      <c r="R838" s="2" t="s">
        <v>206</v>
      </c>
      <c r="S838" s="2" t="s">
        <v>5179</v>
      </c>
      <c r="T838" s="2" t="s">
        <v>206</v>
      </c>
      <c r="U838" s="2" t="s">
        <v>556</v>
      </c>
      <c r="V838" s="2" t="s">
        <v>209</v>
      </c>
      <c r="W838" s="2" t="s">
        <v>539</v>
      </c>
      <c r="X838" s="2" t="s">
        <v>587</v>
      </c>
      <c r="Y838" s="2" t="s">
        <v>211</v>
      </c>
      <c r="Z838" s="4">
        <v>93</v>
      </c>
      <c r="AA838" s="4">
        <f>=ROUNDDOWN(46.5,0)</f>
      </c>
      <c r="AB838" s="5">
        <v>2</v>
      </c>
      <c r="AC838" s="2" t="s">
        <v>206</v>
      </c>
      <c r="AD838" s="4"/>
      <c r="AE838" s="4"/>
      <c r="AF838" s="6">
        <v>67</v>
      </c>
      <c r="AG838" s="6"/>
      <c r="AH838" s="7">
        <v>1</v>
      </c>
      <c r="AI838" s="4"/>
      <c r="AJ838" s="4">
        <f>=ROUNDDOWN({0},0)</f>
      </c>
      <c r="AK838" s="5"/>
      <c r="AL838" s="2" t="s">
        <v>206</v>
      </c>
      <c r="AM838" s="4"/>
      <c r="AN838" s="4"/>
      <c r="AO838" s="7"/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>
        <v>1</v>
      </c>
      <c r="BK838" s="8">
        <v>52.76</v>
      </c>
      <c r="BL838" s="2" t="s">
        <v>3005</v>
      </c>
      <c r="BM838" s="7"/>
      <c r="BN838" s="7"/>
      <c r="BO838" s="4"/>
      <c r="BP838" s="8"/>
      <c r="BQ838" s="4"/>
      <c r="BR838" s="8"/>
      <c r="BS838" s="7"/>
      <c r="BT838" s="7"/>
      <c r="BU838" s="2" t="s">
        <v>5180</v>
      </c>
      <c r="BV838" s="2" t="s">
        <v>206</v>
      </c>
      <c r="BW838" s="2" t="s">
        <v>206</v>
      </c>
      <c r="BX838" s="2" t="s">
        <v>214</v>
      </c>
      <c r="BY838" s="2" t="s">
        <v>215</v>
      </c>
      <c r="BZ838" s="2" t="s">
        <v>203</v>
      </c>
      <c r="CA838" s="2" t="s">
        <v>216</v>
      </c>
      <c r="CB838" s="2" t="s">
        <v>5181</v>
      </c>
      <c r="CC838" s="2" t="s">
        <v>218</v>
      </c>
      <c r="CD838" s="2" t="s">
        <v>206</v>
      </c>
      <c r="CE838" s="4">
        <v>93</v>
      </c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  <c r="DE838" s="4"/>
      <c r="DF838" s="4"/>
      <c r="DG838" s="4"/>
      <c r="DH838" s="4"/>
      <c r="DI838" s="4"/>
      <c r="DJ838" s="4"/>
      <c r="DK838" s="4"/>
      <c r="DL838" s="4"/>
      <c r="DM838" s="4"/>
      <c r="DN838" s="4"/>
      <c r="DO838" s="4"/>
      <c r="DP838" s="4"/>
      <c r="DQ838" s="4"/>
      <c r="DR838" s="4"/>
      <c r="DS838" s="4"/>
      <c r="DT838" s="4"/>
      <c r="DU838" s="4"/>
      <c r="DV838" s="4"/>
      <c r="DW838" s="4"/>
      <c r="DX838" s="4"/>
      <c r="DY838" s="4"/>
      <c r="DZ838" s="4"/>
      <c r="EA838" s="4"/>
      <c r="EB838" s="4"/>
      <c r="EC838" s="4"/>
      <c r="ED838" s="4"/>
      <c r="EE838" s="4"/>
      <c r="EF838" s="4"/>
      <c r="EG838" s="4"/>
      <c r="EH838" s="4"/>
      <c r="EI838" s="4"/>
      <c r="EJ838" s="4"/>
      <c r="EK838" s="4"/>
      <c r="EL838" s="4"/>
      <c r="EM838" s="4"/>
      <c r="EN838" s="4"/>
      <c r="EO838" s="4"/>
      <c r="EP838" s="4"/>
      <c r="EQ838" s="4"/>
      <c r="ER838" s="4"/>
      <c r="ES838" s="4"/>
      <c r="ET838" s="4"/>
      <c r="EU838" s="4"/>
      <c r="EV838" s="4"/>
      <c r="EW838" s="4"/>
      <c r="EX838" s="4"/>
      <c r="EY838" s="4"/>
      <c r="EZ838" s="4"/>
      <c r="FA838" s="4"/>
      <c r="FB838" s="4"/>
      <c r="FC838" s="4"/>
      <c r="FD838" s="4"/>
      <c r="FE838" s="4"/>
      <c r="FF838" s="4"/>
      <c r="FG838" s="4"/>
      <c r="FH838" s="4"/>
      <c r="FI838" s="4"/>
      <c r="FJ838" s="4"/>
      <c r="FK838" s="4"/>
      <c r="FL838" s="4"/>
      <c r="FM838" s="4"/>
      <c r="FN838" s="4"/>
      <c r="FO838" s="4"/>
      <c r="FP838" s="4"/>
      <c r="FQ838" s="4"/>
      <c r="FR838" s="4"/>
      <c r="FS838" s="4"/>
      <c r="FT838" s="4"/>
      <c r="FU838" s="4"/>
      <c r="FV838" s="4"/>
      <c r="FW838" s="4"/>
      <c r="FX838" s="4"/>
      <c r="FY838" s="4"/>
      <c r="FZ838" s="4"/>
      <c r="GA838" s="4"/>
      <c r="GB838" s="4"/>
      <c r="GC838" s="4"/>
      <c r="GD838" s="4"/>
      <c r="GE838" s="4"/>
      <c r="GF838" s="4"/>
    </row>
    <row r="839">
      <c r="A839" s="2" t="s">
        <v>5182</v>
      </c>
      <c r="B839" s="2" t="s">
        <v>800</v>
      </c>
      <c r="C839" s="2" t="s">
        <v>287</v>
      </c>
      <c r="D839" s="2" t="s">
        <v>801</v>
      </c>
      <c r="E839" s="2" t="s">
        <v>1262</v>
      </c>
      <c r="F839" s="2" t="s">
        <v>5183</v>
      </c>
      <c r="G839" s="2" t="s">
        <v>5184</v>
      </c>
      <c r="H839" s="2" t="s">
        <v>5184</v>
      </c>
      <c r="I839" s="2" t="s">
        <v>5185</v>
      </c>
      <c r="J839" s="2" t="s">
        <v>806</v>
      </c>
      <c r="K839" s="2" t="s">
        <v>353</v>
      </c>
      <c r="L839" s="3">
        <v>20.57</v>
      </c>
      <c r="M839" s="3">
        <v>21.6</v>
      </c>
      <c r="N839" s="3">
        <v>44.99</v>
      </c>
      <c r="O839" s="2" t="s">
        <v>203</v>
      </c>
      <c r="P839" s="2" t="s">
        <v>204</v>
      </c>
      <c r="Q839" s="2" t="s">
        <v>205</v>
      </c>
      <c r="R839" s="2" t="s">
        <v>206</v>
      </c>
      <c r="S839" s="2" t="s">
        <v>5186</v>
      </c>
      <c r="T839" s="2" t="s">
        <v>808</v>
      </c>
      <c r="U839" s="2" t="s">
        <v>437</v>
      </c>
      <c r="V839" s="2" t="s">
        <v>209</v>
      </c>
      <c r="W839" s="2" t="s">
        <v>914</v>
      </c>
      <c r="X839" s="2" t="s">
        <v>206</v>
      </c>
      <c r="Y839" s="2" t="s">
        <v>5187</v>
      </c>
      <c r="Z839" s="4">
        <v>380</v>
      </c>
      <c r="AA839" s="4">
        <f>=ROUNDDOWN(19,0)</f>
      </c>
      <c r="AB839" s="5">
        <v>20</v>
      </c>
      <c r="AC839" s="2" t="s">
        <v>121</v>
      </c>
      <c r="AD839" s="4">
        <v>70</v>
      </c>
      <c r="AE839" s="4">
        <v>700</v>
      </c>
      <c r="AF839" s="6">
        <v>64</v>
      </c>
      <c r="AG839" s="6"/>
      <c r="AH839" s="7">
        <v>1</v>
      </c>
      <c r="AI839" s="4"/>
      <c r="AJ839" s="4">
        <f>=ROUNDDOWN({0},0)</f>
      </c>
      <c r="AK839" s="5"/>
      <c r="AL839" s="2" t="s">
        <v>206</v>
      </c>
      <c r="AM839" s="4"/>
      <c r="AN839" s="4"/>
      <c r="AO839" s="7"/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/>
      <c r="BD839" s="8"/>
      <c r="BE839" s="4"/>
      <c r="BF839" s="8"/>
      <c r="BG839" s="7"/>
      <c r="BH839" s="7"/>
      <c r="BI839" s="7"/>
      <c r="BJ839" s="4">
        <v>153</v>
      </c>
      <c r="BK839" s="8">
        <v>3563.08</v>
      </c>
      <c r="BL839" s="2" t="s">
        <v>5188</v>
      </c>
      <c r="BM839" s="7"/>
      <c r="BN839" s="7"/>
      <c r="BO839" s="4"/>
      <c r="BP839" s="8"/>
      <c r="BQ839" s="4"/>
      <c r="BR839" s="8"/>
      <c r="BS839" s="7"/>
      <c r="BT839" s="7"/>
      <c r="BU839" s="2" t="s">
        <v>5189</v>
      </c>
      <c r="BV839" s="2" t="s">
        <v>206</v>
      </c>
      <c r="BW839" s="2" t="s">
        <v>206</v>
      </c>
      <c r="BX839" s="2" t="s">
        <v>214</v>
      </c>
      <c r="BY839" s="2" t="s">
        <v>215</v>
      </c>
      <c r="BZ839" s="2" t="s">
        <v>203</v>
      </c>
      <c r="CA839" s="2" t="s">
        <v>1527</v>
      </c>
      <c r="CB839" s="2" t="s">
        <v>5190</v>
      </c>
      <c r="CC839" s="2" t="s">
        <v>218</v>
      </c>
      <c r="CD839" s="2" t="s">
        <v>206</v>
      </c>
      <c r="CE839" s="4">
        <v>380</v>
      </c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  <c r="DE839" s="4"/>
      <c r="DF839" s="4"/>
      <c r="DG839" s="4"/>
      <c r="DH839" s="4"/>
      <c r="DI839" s="4">
        <v>70</v>
      </c>
      <c r="DJ839" s="4"/>
      <c r="DK839" s="4"/>
      <c r="DL839" s="4"/>
      <c r="DM839" s="4"/>
      <c r="DN839" s="4"/>
      <c r="DO839" s="4"/>
      <c r="DP839" s="4"/>
      <c r="DQ839" s="4"/>
      <c r="DR839" s="4"/>
      <c r="DS839" s="4"/>
      <c r="DT839" s="4"/>
      <c r="DU839" s="4"/>
      <c r="DV839" s="4"/>
      <c r="DW839" s="4"/>
      <c r="DX839" s="4">
        <v>280</v>
      </c>
      <c r="DY839" s="4"/>
      <c r="DZ839" s="4"/>
      <c r="EA839" s="4">
        <v>350</v>
      </c>
      <c r="EB839" s="4"/>
      <c r="EC839" s="4"/>
      <c r="ED839" s="4"/>
      <c r="EE839" s="4"/>
      <c r="EF839" s="4"/>
      <c r="EG839" s="4"/>
      <c r="EH839" s="4"/>
      <c r="EI839" s="4"/>
      <c r="EJ839" s="4"/>
      <c r="EK839" s="4"/>
      <c r="EL839" s="4"/>
      <c r="EM839" s="4"/>
      <c r="EN839" s="4"/>
      <c r="EO839" s="4"/>
      <c r="EP839" s="4"/>
      <c r="EQ839" s="4"/>
      <c r="ER839" s="4"/>
      <c r="ES839" s="4"/>
      <c r="ET839" s="4"/>
      <c r="EU839" s="4"/>
      <c r="EV839" s="4"/>
      <c r="EW839" s="4"/>
      <c r="EX839" s="4"/>
      <c r="EY839" s="4"/>
      <c r="EZ839" s="4"/>
      <c r="FA839" s="4"/>
      <c r="FB839" s="4"/>
      <c r="FC839" s="4"/>
      <c r="FD839" s="4"/>
      <c r="FE839" s="4"/>
      <c r="FF839" s="4"/>
      <c r="FG839" s="4"/>
      <c r="FH839" s="4"/>
      <c r="FI839" s="4"/>
      <c r="FJ839" s="4"/>
      <c r="FK839" s="4"/>
      <c r="FL839" s="4"/>
      <c r="FM839" s="4"/>
      <c r="FN839" s="4"/>
      <c r="FO839" s="4"/>
      <c r="FP839" s="4"/>
      <c r="FQ839" s="4"/>
      <c r="FR839" s="4"/>
      <c r="FS839" s="4"/>
      <c r="FT839" s="4"/>
      <c r="FU839" s="4"/>
      <c r="FV839" s="4"/>
      <c r="FW839" s="4"/>
      <c r="FX839" s="4"/>
      <c r="FY839" s="4"/>
      <c r="FZ839" s="4"/>
      <c r="GA839" s="4"/>
      <c r="GB839" s="4"/>
      <c r="GC839" s="4"/>
      <c r="GD839" s="4"/>
      <c r="GE839" s="4"/>
      <c r="GF839" s="4"/>
    </row>
    <row r="840">
      <c r="A840" s="2" t="s">
        <v>5191</v>
      </c>
      <c r="B840" s="2" t="s">
        <v>546</v>
      </c>
      <c r="C840" s="2" t="s">
        <v>1145</v>
      </c>
      <c r="D840" s="2" t="s">
        <v>529</v>
      </c>
      <c r="E840" s="2" t="s">
        <v>816</v>
      </c>
      <c r="F840" s="2" t="s">
        <v>5192</v>
      </c>
      <c r="G840" s="2" t="s">
        <v>5193</v>
      </c>
      <c r="H840" s="2" t="s">
        <v>5194</v>
      </c>
      <c r="I840" s="2" t="s">
        <v>5195</v>
      </c>
      <c r="J840" s="2" t="s">
        <v>593</v>
      </c>
      <c r="K840" s="2" t="s">
        <v>315</v>
      </c>
      <c r="L840" s="3">
        <v>39.74</v>
      </c>
      <c r="M840" s="3">
        <v>41.73</v>
      </c>
      <c r="N840" s="3">
        <v>89.99</v>
      </c>
      <c r="O840" s="2" t="s">
        <v>203</v>
      </c>
      <c r="P840" s="2" t="s">
        <v>204</v>
      </c>
      <c r="Q840" s="2" t="s">
        <v>205</v>
      </c>
      <c r="R840" s="2" t="s">
        <v>206</v>
      </c>
      <c r="S840" s="2" t="s">
        <v>5196</v>
      </c>
      <c r="T840" s="2" t="s">
        <v>292</v>
      </c>
      <c r="U840" s="2" t="s">
        <v>1177</v>
      </c>
      <c r="V840" s="2" t="s">
        <v>209</v>
      </c>
      <c r="W840" s="2" t="s">
        <v>210</v>
      </c>
      <c r="X840" s="2" t="s">
        <v>5197</v>
      </c>
      <c r="Y840" s="2" t="s">
        <v>1324</v>
      </c>
      <c r="Z840" s="4">
        <v>568</v>
      </c>
      <c r="AA840" s="4">
        <f>=ROUNDDOWN(75.7333333333333,0)</f>
      </c>
      <c r="AB840" s="5">
        <v>7.5</v>
      </c>
      <c r="AC840" s="2" t="s">
        <v>206</v>
      </c>
      <c r="AD840" s="4"/>
      <c r="AE840" s="4"/>
      <c r="AF840" s="6">
        <v>64</v>
      </c>
      <c r="AG840" s="6">
        <v>47</v>
      </c>
      <c r="AH840" s="7">
        <v>1</v>
      </c>
      <c r="AI840" s="4"/>
      <c r="AJ840" s="4">
        <f>=ROUNDDOWN({0},0)</f>
      </c>
      <c r="AK840" s="5"/>
      <c r="AL840" s="2" t="s">
        <v>206</v>
      </c>
      <c r="AM840" s="4"/>
      <c r="AN840" s="4"/>
      <c r="AO840" s="7"/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/>
      <c r="BD840" s="8"/>
      <c r="BE840" s="4"/>
      <c r="BF840" s="8"/>
      <c r="BG840" s="7"/>
      <c r="BH840" s="7"/>
      <c r="BI840" s="7"/>
      <c r="BJ840" s="4">
        <v>24</v>
      </c>
      <c r="BK840" s="8">
        <v>1016.53</v>
      </c>
      <c r="BL840" s="2" t="s">
        <v>3619</v>
      </c>
      <c r="BM840" s="7"/>
      <c r="BN840" s="7"/>
      <c r="BO840" s="4"/>
      <c r="BP840" s="8"/>
      <c r="BQ840" s="4"/>
      <c r="BR840" s="8"/>
      <c r="BS840" s="7"/>
      <c r="BT840" s="7"/>
      <c r="BU840" s="2" t="s">
        <v>5198</v>
      </c>
      <c r="BV840" s="2" t="s">
        <v>206</v>
      </c>
      <c r="BW840" s="2" t="s">
        <v>206</v>
      </c>
      <c r="BX840" s="2" t="s">
        <v>426</v>
      </c>
      <c r="BY840" s="2" t="s">
        <v>215</v>
      </c>
      <c r="BZ840" s="2" t="s">
        <v>203</v>
      </c>
      <c r="CA840" s="2" t="s">
        <v>1660</v>
      </c>
      <c r="CB840" s="2" t="s">
        <v>1172</v>
      </c>
      <c r="CC840" s="2" t="s">
        <v>218</v>
      </c>
      <c r="CD840" s="2" t="s">
        <v>206</v>
      </c>
      <c r="CE840" s="4">
        <v>264</v>
      </c>
      <c r="CF840" s="4"/>
      <c r="CG840" s="4"/>
      <c r="CH840" s="4">
        <v>304</v>
      </c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  <c r="DE840" s="4"/>
      <c r="DF840" s="4"/>
      <c r="DG840" s="4"/>
      <c r="DH840" s="4"/>
      <c r="DI840" s="4"/>
      <c r="DJ840" s="4"/>
      <c r="DK840" s="4"/>
      <c r="DL840" s="4"/>
      <c r="DM840" s="4"/>
      <c r="DN840" s="4"/>
      <c r="DO840" s="4"/>
      <c r="DP840" s="4"/>
      <c r="DQ840" s="4"/>
      <c r="DR840" s="4"/>
      <c r="DS840" s="4"/>
      <c r="DT840" s="4"/>
      <c r="DU840" s="4"/>
      <c r="DV840" s="4"/>
      <c r="DW840" s="4"/>
      <c r="DX840" s="4"/>
      <c r="DY840" s="4"/>
      <c r="DZ840" s="4"/>
      <c r="EA840" s="4"/>
      <c r="EB840" s="4"/>
      <c r="EC840" s="4"/>
      <c r="ED840" s="4"/>
      <c r="EE840" s="4"/>
      <c r="EF840" s="4"/>
      <c r="EG840" s="4"/>
      <c r="EH840" s="4"/>
      <c r="EI840" s="4"/>
      <c r="EJ840" s="4"/>
      <c r="EK840" s="4"/>
      <c r="EL840" s="4"/>
      <c r="EM840" s="4"/>
      <c r="EN840" s="4"/>
      <c r="EO840" s="4"/>
      <c r="EP840" s="4"/>
      <c r="EQ840" s="4"/>
      <c r="ER840" s="4"/>
      <c r="ES840" s="4"/>
      <c r="ET840" s="4"/>
      <c r="EU840" s="4"/>
      <c r="EV840" s="4"/>
      <c r="EW840" s="4"/>
      <c r="EX840" s="4"/>
      <c r="EY840" s="4"/>
      <c r="EZ840" s="4"/>
      <c r="FA840" s="4"/>
      <c r="FB840" s="4"/>
      <c r="FC840" s="4"/>
      <c r="FD840" s="4"/>
      <c r="FE840" s="4"/>
      <c r="FF840" s="4"/>
      <c r="FG840" s="4"/>
      <c r="FH840" s="4"/>
      <c r="FI840" s="4"/>
      <c r="FJ840" s="4"/>
      <c r="FK840" s="4"/>
      <c r="FL840" s="4"/>
      <c r="FM840" s="4"/>
      <c r="FN840" s="4"/>
      <c r="FO840" s="4"/>
      <c r="FP840" s="4"/>
      <c r="FQ840" s="4"/>
      <c r="FR840" s="4"/>
      <c r="FS840" s="4"/>
      <c r="FT840" s="4"/>
      <c r="FU840" s="4"/>
      <c r="FV840" s="4"/>
      <c r="FW840" s="4"/>
      <c r="FX840" s="4"/>
      <c r="FY840" s="4"/>
      <c r="FZ840" s="4"/>
      <c r="GA840" s="4"/>
      <c r="GB840" s="4"/>
      <c r="GC840" s="4"/>
      <c r="GD840" s="4"/>
      <c r="GE840" s="4"/>
      <c r="GF840" s="4"/>
    </row>
    <row r="841">
      <c r="A841" s="2" t="s">
        <v>5199</v>
      </c>
      <c r="B841" s="2" t="s">
        <v>461</v>
      </c>
      <c r="C841" s="2" t="s">
        <v>287</v>
      </c>
      <c r="D841" s="2" t="s">
        <v>1032</v>
      </c>
      <c r="E841" s="2" t="s">
        <v>1033</v>
      </c>
      <c r="F841" s="2" t="s">
        <v>5200</v>
      </c>
      <c r="G841" s="2" t="s">
        <v>5201</v>
      </c>
      <c r="H841" s="2" t="s">
        <v>5202</v>
      </c>
      <c r="I841" s="2" t="s">
        <v>5203</v>
      </c>
      <c r="J841" s="2" t="s">
        <v>434</v>
      </c>
      <c r="K841" s="2" t="s">
        <v>1497</v>
      </c>
      <c r="L841" s="3">
        <v>256.5</v>
      </c>
      <c r="M841" s="3">
        <v>269.32</v>
      </c>
      <c r="N841" s="3">
        <v>549</v>
      </c>
      <c r="O841" s="2" t="s">
        <v>203</v>
      </c>
      <c r="P841" s="2" t="s">
        <v>204</v>
      </c>
      <c r="Q841" s="2" t="s">
        <v>205</v>
      </c>
      <c r="R841" s="2" t="s">
        <v>206</v>
      </c>
      <c r="S841" s="2" t="s">
        <v>5204</v>
      </c>
      <c r="T841" s="2" t="s">
        <v>206</v>
      </c>
      <c r="U841" s="2" t="s">
        <v>206</v>
      </c>
      <c r="V841" s="2" t="s">
        <v>209</v>
      </c>
      <c r="W841" s="2" t="s">
        <v>1210</v>
      </c>
      <c r="X841" s="2" t="s">
        <v>206</v>
      </c>
      <c r="Y841" s="2" t="s">
        <v>5205</v>
      </c>
      <c r="Z841" s="4">
        <v>137</v>
      </c>
      <c r="AA841" s="4">
        <f>=ROUNDDOWN({0},0)</f>
      </c>
      <c r="AB841" s="5">
        <v>3</v>
      </c>
      <c r="AC841" s="2" t="s">
        <v>206</v>
      </c>
      <c r="AD841" s="4"/>
      <c r="AE841" s="4"/>
      <c r="AF841" s="6">
        <v>66</v>
      </c>
      <c r="AG841" s="6">
        <v>49</v>
      </c>
      <c r="AH841" s="7">
        <v>1</v>
      </c>
      <c r="AI841" s="4"/>
      <c r="AJ841" s="4">
        <f>=ROUNDDOWN({0},0)</f>
      </c>
      <c r="AK841" s="5"/>
      <c r="AL841" s="2" t="s">
        <v>206</v>
      </c>
      <c r="AM841" s="4"/>
      <c r="AN841" s="4"/>
      <c r="AO841" s="7"/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>
        <v>11</v>
      </c>
      <c r="BK841" s="8">
        <v>2785.95</v>
      </c>
      <c r="BL841" s="2" t="s">
        <v>5206</v>
      </c>
      <c r="BM841" s="7"/>
      <c r="BN841" s="7"/>
      <c r="BO841" s="4"/>
      <c r="BP841" s="8"/>
      <c r="BQ841" s="4"/>
      <c r="BR841" s="8"/>
      <c r="BS841" s="7"/>
      <c r="BT841" s="7"/>
      <c r="BU841" s="2" t="s">
        <v>5207</v>
      </c>
      <c r="BV841" s="2" t="s">
        <v>206</v>
      </c>
      <c r="BW841" s="2" t="s">
        <v>206</v>
      </c>
      <c r="BX841" s="2" t="s">
        <v>214</v>
      </c>
      <c r="BY841" s="2" t="s">
        <v>215</v>
      </c>
      <c r="BZ841" s="2" t="s">
        <v>203</v>
      </c>
      <c r="CA841" s="2" t="s">
        <v>2854</v>
      </c>
      <c r="CB841" s="2" t="s">
        <v>5208</v>
      </c>
      <c r="CC841" s="2" t="s">
        <v>218</v>
      </c>
      <c r="CD841" s="2" t="s">
        <v>206</v>
      </c>
      <c r="CE841" s="4"/>
      <c r="CF841" s="4">
        <v>137</v>
      </c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  <c r="DE841" s="4"/>
      <c r="DF841" s="4"/>
      <c r="DG841" s="4"/>
      <c r="DH841" s="4"/>
      <c r="DI841" s="4"/>
      <c r="DJ841" s="4"/>
      <c r="DK841" s="4"/>
      <c r="DL841" s="4"/>
      <c r="DM841" s="4"/>
      <c r="DN841" s="4"/>
      <c r="DO841" s="4"/>
      <c r="DP841" s="4"/>
      <c r="DQ841" s="4"/>
      <c r="DR841" s="4"/>
      <c r="DS841" s="4"/>
      <c r="DT841" s="4"/>
      <c r="DU841" s="4"/>
      <c r="DV841" s="4"/>
      <c r="DW841" s="4"/>
      <c r="DX841" s="4"/>
      <c r="DY841" s="4"/>
      <c r="DZ841" s="4"/>
      <c r="EA841" s="4"/>
      <c r="EB841" s="4"/>
      <c r="EC841" s="4"/>
      <c r="ED841" s="4"/>
      <c r="EE841" s="4"/>
      <c r="EF841" s="4"/>
      <c r="EG841" s="4"/>
      <c r="EH841" s="4"/>
      <c r="EI841" s="4"/>
      <c r="EJ841" s="4"/>
      <c r="EK841" s="4"/>
      <c r="EL841" s="4"/>
      <c r="EM841" s="4"/>
      <c r="EN841" s="4"/>
      <c r="EO841" s="4"/>
      <c r="EP841" s="4"/>
      <c r="EQ841" s="4"/>
      <c r="ER841" s="4"/>
      <c r="ES841" s="4"/>
      <c r="ET841" s="4"/>
      <c r="EU841" s="4"/>
      <c r="EV841" s="4"/>
      <c r="EW841" s="4"/>
      <c r="EX841" s="4"/>
      <c r="EY841" s="4"/>
      <c r="EZ841" s="4"/>
      <c r="FA841" s="4"/>
      <c r="FB841" s="4"/>
      <c r="FC841" s="4"/>
      <c r="FD841" s="4"/>
      <c r="FE841" s="4"/>
      <c r="FF841" s="4"/>
      <c r="FG841" s="4"/>
      <c r="FH841" s="4"/>
      <c r="FI841" s="4"/>
      <c r="FJ841" s="4"/>
      <c r="FK841" s="4"/>
      <c r="FL841" s="4"/>
      <c r="FM841" s="4"/>
      <c r="FN841" s="4"/>
      <c r="FO841" s="4"/>
      <c r="FP841" s="4"/>
      <c r="FQ841" s="4"/>
      <c r="FR841" s="4"/>
      <c r="FS841" s="4"/>
      <c r="FT841" s="4"/>
      <c r="FU841" s="4"/>
      <c r="FV841" s="4"/>
      <c r="FW841" s="4"/>
      <c r="FX841" s="4"/>
      <c r="FY841" s="4"/>
      <c r="FZ841" s="4"/>
      <c r="GA841" s="4"/>
      <c r="GB841" s="4"/>
      <c r="GC841" s="4"/>
      <c r="GD841" s="4"/>
      <c r="GE841" s="4"/>
      <c r="GF841" s="4"/>
    </row>
    <row r="842">
      <c r="A842" s="2" t="s">
        <v>5209</v>
      </c>
      <c r="B842" s="2" t="s">
        <v>528</v>
      </c>
      <c r="C842" s="2" t="s">
        <v>287</v>
      </c>
      <c r="D842" s="2" t="s">
        <v>1612</v>
      </c>
      <c r="E842" s="2" t="s">
        <v>1613</v>
      </c>
      <c r="F842" s="2" t="s">
        <v>5210</v>
      </c>
      <c r="G842" s="2" t="s">
        <v>5211</v>
      </c>
      <c r="H842" s="2" t="s">
        <v>5212</v>
      </c>
      <c r="I842" s="2" t="s">
        <v>5213</v>
      </c>
      <c r="J842" s="2" t="s">
        <v>593</v>
      </c>
      <c r="K842" s="2" t="s">
        <v>709</v>
      </c>
      <c r="L842" s="3">
        <v>58.12</v>
      </c>
      <c r="M842" s="3">
        <v>61.03</v>
      </c>
      <c r="N842" s="3">
        <v>119.99</v>
      </c>
      <c r="O842" s="2" t="s">
        <v>203</v>
      </c>
      <c r="P842" s="2" t="s">
        <v>204</v>
      </c>
      <c r="Q842" s="2" t="s">
        <v>205</v>
      </c>
      <c r="R842" s="2" t="s">
        <v>206</v>
      </c>
      <c r="S842" s="2" t="s">
        <v>5214</v>
      </c>
      <c r="T842" s="2" t="s">
        <v>234</v>
      </c>
      <c r="U842" s="2" t="s">
        <v>485</v>
      </c>
      <c r="V842" s="2" t="s">
        <v>538</v>
      </c>
      <c r="W842" s="2" t="s">
        <v>786</v>
      </c>
      <c r="X842" s="2" t="s">
        <v>5215</v>
      </c>
      <c r="Y842" s="2" t="s">
        <v>211</v>
      </c>
      <c r="Z842" s="4">
        <v>472</v>
      </c>
      <c r="AA842" s="4">
        <f>=ROUNDDOWN(22.4761904761905,0)</f>
      </c>
      <c r="AB842" s="5">
        <v>21</v>
      </c>
      <c r="AC842" s="2" t="s">
        <v>114</v>
      </c>
      <c r="AD842" s="4">
        <v>550</v>
      </c>
      <c r="AE842" s="4">
        <v>550</v>
      </c>
      <c r="AF842" s="6">
        <v>65</v>
      </c>
      <c r="AG842" s="6"/>
      <c r="AH842" s="7">
        <v>1</v>
      </c>
      <c r="AI842" s="4"/>
      <c r="AJ842" s="4">
        <f>=ROUNDDOWN({0},0)</f>
      </c>
      <c r="AK842" s="5"/>
      <c r="AL842" s="2" t="s">
        <v>206</v>
      </c>
      <c r="AM842" s="4"/>
      <c r="AN842" s="4"/>
      <c r="AO842" s="7"/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>
        <v>57</v>
      </c>
      <c r="BK842" s="8">
        <v>3366.59</v>
      </c>
      <c r="BL842" s="2" t="s">
        <v>5216</v>
      </c>
      <c r="BM842" s="7"/>
      <c r="BN842" s="7"/>
      <c r="BO842" s="4"/>
      <c r="BP842" s="8"/>
      <c r="BQ842" s="4"/>
      <c r="BR842" s="8"/>
      <c r="BS842" s="7"/>
      <c r="BT842" s="7"/>
      <c r="BU842" s="2" t="s">
        <v>5217</v>
      </c>
      <c r="BV842" s="2" t="s">
        <v>206</v>
      </c>
      <c r="BW842" s="2" t="s">
        <v>206</v>
      </c>
      <c r="BX842" s="2" t="s">
        <v>214</v>
      </c>
      <c r="BY842" s="2" t="s">
        <v>215</v>
      </c>
      <c r="BZ842" s="2" t="s">
        <v>203</v>
      </c>
      <c r="CA842" s="2" t="s">
        <v>5218</v>
      </c>
      <c r="CB842" s="2" t="s">
        <v>5219</v>
      </c>
      <c r="CC842" s="2" t="s">
        <v>218</v>
      </c>
      <c r="CD842" s="2" t="s">
        <v>206</v>
      </c>
      <c r="CE842" s="4">
        <v>405</v>
      </c>
      <c r="CF842" s="4"/>
      <c r="CG842" s="4"/>
      <c r="CH842" s="4">
        <v>67</v>
      </c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>
        <v>550</v>
      </c>
      <c r="DC842" s="4"/>
      <c r="DD842" s="4"/>
      <c r="DE842" s="4"/>
      <c r="DF842" s="4"/>
      <c r="DG842" s="4"/>
      <c r="DH842" s="4"/>
      <c r="DI842" s="4"/>
      <c r="DJ842" s="4"/>
      <c r="DK842" s="4"/>
      <c r="DL842" s="4"/>
      <c r="DM842" s="4"/>
      <c r="DN842" s="4"/>
      <c r="DO842" s="4"/>
      <c r="DP842" s="4"/>
      <c r="DQ842" s="4"/>
      <c r="DR842" s="4"/>
      <c r="DS842" s="4"/>
      <c r="DT842" s="4"/>
      <c r="DU842" s="4"/>
      <c r="DV842" s="4"/>
      <c r="DW842" s="4"/>
      <c r="DX842" s="4"/>
      <c r="DY842" s="4"/>
      <c r="DZ842" s="4"/>
      <c r="EA842" s="4"/>
      <c r="EB842" s="4"/>
      <c r="EC842" s="4"/>
      <c r="ED842" s="4"/>
      <c r="EE842" s="4"/>
      <c r="EF842" s="4"/>
      <c r="EG842" s="4"/>
      <c r="EH842" s="4"/>
      <c r="EI842" s="4"/>
      <c r="EJ842" s="4"/>
      <c r="EK842" s="4"/>
      <c r="EL842" s="4"/>
      <c r="EM842" s="4"/>
      <c r="EN842" s="4"/>
      <c r="EO842" s="4"/>
      <c r="EP842" s="4"/>
      <c r="EQ842" s="4"/>
      <c r="ER842" s="4"/>
      <c r="ES842" s="4"/>
      <c r="ET842" s="4"/>
      <c r="EU842" s="4"/>
      <c r="EV842" s="4"/>
      <c r="EW842" s="4"/>
      <c r="EX842" s="4"/>
      <c r="EY842" s="4"/>
      <c r="EZ842" s="4"/>
      <c r="FA842" s="4"/>
      <c r="FB842" s="4"/>
      <c r="FC842" s="4"/>
      <c r="FD842" s="4"/>
      <c r="FE842" s="4"/>
      <c r="FF842" s="4"/>
      <c r="FG842" s="4"/>
      <c r="FH842" s="4"/>
      <c r="FI842" s="4"/>
      <c r="FJ842" s="4"/>
      <c r="FK842" s="4"/>
      <c r="FL842" s="4"/>
      <c r="FM842" s="4"/>
      <c r="FN842" s="4"/>
      <c r="FO842" s="4"/>
      <c r="FP842" s="4"/>
      <c r="FQ842" s="4"/>
      <c r="FR842" s="4"/>
      <c r="FS842" s="4"/>
      <c r="FT842" s="4"/>
      <c r="FU842" s="4"/>
      <c r="FV842" s="4"/>
      <c r="FW842" s="4"/>
      <c r="FX842" s="4"/>
      <c r="FY842" s="4"/>
      <c r="FZ842" s="4"/>
      <c r="GA842" s="4"/>
      <c r="GB842" s="4"/>
      <c r="GC842" s="4"/>
      <c r="GD842" s="4"/>
      <c r="GE842" s="4"/>
      <c r="GF842" s="4"/>
    </row>
    <row r="843">
      <c r="A843" s="2" t="s">
        <v>5220</v>
      </c>
      <c r="B843" s="2" t="s">
        <v>429</v>
      </c>
      <c r="C843" s="2" t="s">
        <v>462</v>
      </c>
      <c r="D843" s="2" t="s">
        <v>909</v>
      </c>
      <c r="E843" s="2" t="s">
        <v>910</v>
      </c>
      <c r="F843" s="2" t="s">
        <v>5221</v>
      </c>
      <c r="G843" s="2" t="s">
        <v>5221</v>
      </c>
      <c r="H843" s="2" t="s">
        <v>5221</v>
      </c>
      <c r="I843" s="2" t="s">
        <v>5222</v>
      </c>
      <c r="J843" s="2" t="s">
        <v>434</v>
      </c>
      <c r="K843" s="2" t="s">
        <v>696</v>
      </c>
      <c r="L843" s="3">
        <v>27.85</v>
      </c>
      <c r="M843" s="3">
        <v>29.24</v>
      </c>
      <c r="N843" s="3">
        <v>64.99</v>
      </c>
      <c r="O843" s="2" t="s">
        <v>203</v>
      </c>
      <c r="P843" s="2" t="s">
        <v>467</v>
      </c>
      <c r="Q843" s="2" t="s">
        <v>205</v>
      </c>
      <c r="R843" s="2" t="s">
        <v>206</v>
      </c>
      <c r="S843" s="2" t="s">
        <v>206</v>
      </c>
      <c r="T843" s="2" t="s">
        <v>206</v>
      </c>
      <c r="U843" s="2" t="s">
        <v>437</v>
      </c>
      <c r="V843" s="2" t="s">
        <v>468</v>
      </c>
      <c r="W843" s="2" t="s">
        <v>786</v>
      </c>
      <c r="X843" s="2" t="s">
        <v>1152</v>
      </c>
      <c r="Y843" s="2" t="s">
        <v>4096</v>
      </c>
      <c r="Z843" s="4">
        <v>50</v>
      </c>
      <c r="AA843" s="4">
        <f>=ROUNDDOWN(50,0)</f>
      </c>
      <c r="AB843" s="5">
        <v>1</v>
      </c>
      <c r="AC843" s="2" t="s">
        <v>206</v>
      </c>
      <c r="AD843" s="4"/>
      <c r="AE843" s="4"/>
      <c r="AF843" s="6">
        <v>63</v>
      </c>
      <c r="AG843" s="6"/>
      <c r="AH843" s="7">
        <v>1</v>
      </c>
      <c r="AI843" s="4"/>
      <c r="AJ843" s="4">
        <f>=ROUNDDOWN({0},0)</f>
      </c>
      <c r="AK843" s="5"/>
      <c r="AL843" s="2" t="s">
        <v>206</v>
      </c>
      <c r="AM843" s="4"/>
      <c r="AN843" s="4"/>
      <c r="AO843" s="7"/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/>
      <c r="BD843" s="8"/>
      <c r="BE843" s="4"/>
      <c r="BF843" s="8"/>
      <c r="BG843" s="7"/>
      <c r="BH843" s="7"/>
      <c r="BI843" s="7"/>
      <c r="BJ843" s="4">
        <v>8</v>
      </c>
      <c r="BK843" s="8">
        <v>252.93</v>
      </c>
      <c r="BL843" s="2" t="s">
        <v>5223</v>
      </c>
      <c r="BM843" s="7"/>
      <c r="BN843" s="7"/>
      <c r="BO843" s="4"/>
      <c r="BP843" s="8"/>
      <c r="BQ843" s="4"/>
      <c r="BR843" s="8"/>
      <c r="BS843" s="7"/>
      <c r="BT843" s="7"/>
      <c r="BU843" s="2" t="s">
        <v>5224</v>
      </c>
      <c r="BV843" s="2" t="s">
        <v>206</v>
      </c>
      <c r="BW843" s="2" t="s">
        <v>206</v>
      </c>
      <c r="BX843" s="2" t="s">
        <v>214</v>
      </c>
      <c r="BY843" s="2" t="s">
        <v>215</v>
      </c>
      <c r="BZ843" s="2" t="s">
        <v>203</v>
      </c>
      <c r="CA843" s="2" t="s">
        <v>714</v>
      </c>
      <c r="CB843" s="2" t="s">
        <v>206</v>
      </c>
      <c r="CC843" s="2" t="s">
        <v>218</v>
      </c>
      <c r="CD843" s="2" t="s">
        <v>206</v>
      </c>
      <c r="CE843" s="4"/>
      <c r="CF843" s="4">
        <v>50</v>
      </c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  <c r="DE843" s="4"/>
      <c r="DF843" s="4"/>
      <c r="DG843" s="4"/>
      <c r="DH843" s="4"/>
      <c r="DI843" s="4"/>
      <c r="DJ843" s="4"/>
      <c r="DK843" s="4"/>
      <c r="DL843" s="4"/>
      <c r="DM843" s="4"/>
      <c r="DN843" s="4"/>
      <c r="DO843" s="4"/>
      <c r="DP843" s="4"/>
      <c r="DQ843" s="4"/>
      <c r="DR843" s="4"/>
      <c r="DS843" s="4"/>
      <c r="DT843" s="4"/>
      <c r="DU843" s="4"/>
      <c r="DV843" s="4"/>
      <c r="DW843" s="4"/>
      <c r="DX843" s="4"/>
      <c r="DY843" s="4"/>
      <c r="DZ843" s="4"/>
      <c r="EA843" s="4"/>
      <c r="EB843" s="4"/>
      <c r="EC843" s="4"/>
      <c r="ED843" s="4"/>
      <c r="EE843" s="4"/>
      <c r="EF843" s="4"/>
      <c r="EG843" s="4"/>
      <c r="EH843" s="4"/>
      <c r="EI843" s="4"/>
      <c r="EJ843" s="4"/>
      <c r="EK843" s="4"/>
      <c r="EL843" s="4"/>
      <c r="EM843" s="4"/>
      <c r="EN843" s="4"/>
      <c r="EO843" s="4"/>
      <c r="EP843" s="4"/>
      <c r="EQ843" s="4"/>
      <c r="ER843" s="4"/>
      <c r="ES843" s="4"/>
      <c r="ET843" s="4"/>
      <c r="EU843" s="4"/>
      <c r="EV843" s="4"/>
      <c r="EW843" s="4"/>
      <c r="EX843" s="4"/>
      <c r="EY843" s="4"/>
      <c r="EZ843" s="4"/>
      <c r="FA843" s="4"/>
      <c r="FB843" s="4"/>
      <c r="FC843" s="4"/>
      <c r="FD843" s="4"/>
      <c r="FE843" s="4"/>
      <c r="FF843" s="4"/>
      <c r="FG843" s="4"/>
      <c r="FH843" s="4"/>
      <c r="FI843" s="4"/>
      <c r="FJ843" s="4"/>
      <c r="FK843" s="4"/>
      <c r="FL843" s="4"/>
      <c r="FM843" s="4"/>
      <c r="FN843" s="4"/>
      <c r="FO843" s="4"/>
      <c r="FP843" s="4"/>
      <c r="FQ843" s="4"/>
      <c r="FR843" s="4"/>
      <c r="FS843" s="4"/>
      <c r="FT843" s="4"/>
      <c r="FU843" s="4"/>
      <c r="FV843" s="4"/>
      <c r="FW843" s="4"/>
      <c r="FX843" s="4"/>
      <c r="FY843" s="4"/>
      <c r="FZ843" s="4"/>
      <c r="GA843" s="4"/>
      <c r="GB843" s="4"/>
      <c r="GC843" s="4"/>
      <c r="GD843" s="4"/>
      <c r="GE843" s="4"/>
      <c r="GF843" s="4"/>
    </row>
    <row r="844">
      <c r="A844" s="2" t="s">
        <v>5225</v>
      </c>
      <c r="B844" s="2" t="s">
        <v>507</v>
      </c>
      <c r="C844" s="2" t="s">
        <v>828</v>
      </c>
      <c r="D844" s="2" t="s">
        <v>508</v>
      </c>
      <c r="E844" s="2" t="s">
        <v>509</v>
      </c>
      <c r="F844" s="2" t="s">
        <v>5226</v>
      </c>
      <c r="G844" s="2" t="s">
        <v>5226</v>
      </c>
      <c r="H844" s="2" t="s">
        <v>5226</v>
      </c>
      <c r="I844" s="2" t="s">
        <v>5227</v>
      </c>
      <c r="J844" s="2" t="s">
        <v>434</v>
      </c>
      <c r="K844" s="2" t="s">
        <v>262</v>
      </c>
      <c r="L844" s="3">
        <v>53</v>
      </c>
      <c r="M844" s="3">
        <v>55.65</v>
      </c>
      <c r="N844" s="3">
        <v>109.99</v>
      </c>
      <c r="O844" s="2" t="s">
        <v>203</v>
      </c>
      <c r="P844" s="2" t="s">
        <v>204</v>
      </c>
      <c r="Q844" s="2" t="s">
        <v>205</v>
      </c>
      <c r="R844" s="2" t="s">
        <v>206</v>
      </c>
      <c r="S844" s="2" t="s">
        <v>206</v>
      </c>
      <c r="T844" s="2" t="s">
        <v>206</v>
      </c>
      <c r="U844" s="2" t="s">
        <v>437</v>
      </c>
      <c r="V844" s="2" t="s">
        <v>468</v>
      </c>
      <c r="W844" s="2" t="s">
        <v>539</v>
      </c>
      <c r="X844" s="2" t="s">
        <v>914</v>
      </c>
      <c r="Y844" s="2" t="s">
        <v>513</v>
      </c>
      <c r="Z844" s="4">
        <v>28</v>
      </c>
      <c r="AA844" s="4">
        <f>=ROUNDDOWN(14,0)</f>
      </c>
      <c r="AB844" s="5">
        <v>2</v>
      </c>
      <c r="AC844" s="2" t="s">
        <v>146</v>
      </c>
      <c r="AD844" s="4">
        <v>78</v>
      </c>
      <c r="AE844" s="4">
        <v>78</v>
      </c>
      <c r="AF844" s="6">
        <v>65</v>
      </c>
      <c r="AG844" s="6"/>
      <c r="AH844" s="7">
        <v>1</v>
      </c>
      <c r="AI844" s="4"/>
      <c r="AJ844" s="4">
        <f>=ROUNDDOWN({0},0)</f>
      </c>
      <c r="AK844" s="5"/>
      <c r="AL844" s="2" t="s">
        <v>206</v>
      </c>
      <c r="AM844" s="4"/>
      <c r="AN844" s="4"/>
      <c r="AO844" s="7"/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>
        <v>6</v>
      </c>
      <c r="BK844" s="8">
        <v>390.6</v>
      </c>
      <c r="BL844" s="2" t="s">
        <v>3227</v>
      </c>
      <c r="BM844" s="7"/>
      <c r="BN844" s="7"/>
      <c r="BO844" s="4"/>
      <c r="BP844" s="8"/>
      <c r="BQ844" s="4"/>
      <c r="BR844" s="8"/>
      <c r="BS844" s="7"/>
      <c r="BT844" s="7"/>
      <c r="BU844" s="2" t="s">
        <v>5228</v>
      </c>
      <c r="BV844" s="2" t="s">
        <v>206</v>
      </c>
      <c r="BW844" s="2" t="s">
        <v>206</v>
      </c>
      <c r="BX844" s="2" t="s">
        <v>214</v>
      </c>
      <c r="BY844" s="2" t="s">
        <v>215</v>
      </c>
      <c r="BZ844" s="2" t="s">
        <v>203</v>
      </c>
      <c r="CA844" s="2" t="s">
        <v>3631</v>
      </c>
      <c r="CB844" s="2" t="s">
        <v>206</v>
      </c>
      <c r="CC844" s="2" t="s">
        <v>218</v>
      </c>
      <c r="CD844" s="2" t="s">
        <v>206</v>
      </c>
      <c r="CE844" s="4"/>
      <c r="CF844" s="4">
        <v>28</v>
      </c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  <c r="DE844" s="4"/>
      <c r="DF844" s="4"/>
      <c r="DG844" s="4"/>
      <c r="DH844" s="4"/>
      <c r="DI844" s="4"/>
      <c r="DJ844" s="4"/>
      <c r="DK844" s="4"/>
      <c r="DL844" s="4"/>
      <c r="DM844" s="4"/>
      <c r="DN844" s="4"/>
      <c r="DO844" s="4"/>
      <c r="DP844" s="4"/>
      <c r="DQ844" s="4"/>
      <c r="DR844" s="4"/>
      <c r="DS844" s="4"/>
      <c r="DT844" s="4"/>
      <c r="DU844" s="4"/>
      <c r="DV844" s="4"/>
      <c r="DW844" s="4"/>
      <c r="DX844" s="4"/>
      <c r="DY844" s="4"/>
      <c r="DZ844" s="4"/>
      <c r="EA844" s="4"/>
      <c r="EB844" s="4"/>
      <c r="EC844" s="4"/>
      <c r="ED844" s="4"/>
      <c r="EE844" s="4"/>
      <c r="EF844" s="4"/>
      <c r="EG844" s="4"/>
      <c r="EH844" s="4">
        <v>78</v>
      </c>
      <c r="EI844" s="4"/>
      <c r="EJ844" s="4"/>
      <c r="EK844" s="4"/>
      <c r="EL844" s="4"/>
      <c r="EM844" s="4"/>
      <c r="EN844" s="4"/>
      <c r="EO844" s="4"/>
      <c r="EP844" s="4"/>
      <c r="EQ844" s="4"/>
      <c r="ER844" s="4"/>
      <c r="ES844" s="4"/>
      <c r="ET844" s="4"/>
      <c r="EU844" s="4"/>
      <c r="EV844" s="4"/>
      <c r="EW844" s="4"/>
      <c r="EX844" s="4"/>
      <c r="EY844" s="4"/>
      <c r="EZ844" s="4"/>
      <c r="FA844" s="4"/>
      <c r="FB844" s="4"/>
      <c r="FC844" s="4"/>
      <c r="FD844" s="4"/>
      <c r="FE844" s="4"/>
      <c r="FF844" s="4"/>
      <c r="FG844" s="4"/>
      <c r="FH844" s="4"/>
      <c r="FI844" s="4"/>
      <c r="FJ844" s="4"/>
      <c r="FK844" s="4"/>
      <c r="FL844" s="4"/>
      <c r="FM844" s="4"/>
      <c r="FN844" s="4"/>
      <c r="FO844" s="4"/>
      <c r="FP844" s="4"/>
      <c r="FQ844" s="4"/>
      <c r="FR844" s="4"/>
      <c r="FS844" s="4"/>
      <c r="FT844" s="4"/>
      <c r="FU844" s="4"/>
      <c r="FV844" s="4"/>
      <c r="FW844" s="4"/>
      <c r="FX844" s="4"/>
      <c r="FY844" s="4"/>
      <c r="FZ844" s="4"/>
      <c r="GA844" s="4"/>
      <c r="GB844" s="4"/>
      <c r="GC844" s="4"/>
      <c r="GD844" s="4"/>
      <c r="GE844" s="4"/>
      <c r="GF844" s="4"/>
    </row>
    <row r="845">
      <c r="A845" s="2" t="s">
        <v>5229</v>
      </c>
      <c r="B845" s="2" t="s">
        <v>507</v>
      </c>
      <c r="C845" s="2" t="s">
        <v>828</v>
      </c>
      <c r="D845" s="2" t="s">
        <v>508</v>
      </c>
      <c r="E845" s="2" t="s">
        <v>509</v>
      </c>
      <c r="F845" s="2" t="s">
        <v>5230</v>
      </c>
      <c r="G845" s="2" t="s">
        <v>5230</v>
      </c>
      <c r="H845" s="2" t="s">
        <v>5230</v>
      </c>
      <c r="I845" s="2" t="s">
        <v>5231</v>
      </c>
      <c r="J845" s="2" t="s">
        <v>434</v>
      </c>
      <c r="K845" s="2" t="s">
        <v>262</v>
      </c>
      <c r="L845" s="3">
        <v>52</v>
      </c>
      <c r="M845" s="3">
        <v>54.6</v>
      </c>
      <c r="N845" s="3">
        <v>109.99</v>
      </c>
      <c r="O845" s="2" t="s">
        <v>203</v>
      </c>
      <c r="P845" s="2" t="s">
        <v>204</v>
      </c>
      <c r="Q845" s="2" t="s">
        <v>205</v>
      </c>
      <c r="R845" s="2" t="s">
        <v>206</v>
      </c>
      <c r="S845" s="2" t="s">
        <v>206</v>
      </c>
      <c r="T845" s="2" t="s">
        <v>206</v>
      </c>
      <c r="U845" s="2" t="s">
        <v>437</v>
      </c>
      <c r="V845" s="2" t="s">
        <v>468</v>
      </c>
      <c r="W845" s="2" t="s">
        <v>914</v>
      </c>
      <c r="X845" s="2" t="s">
        <v>539</v>
      </c>
      <c r="Y845" s="2" t="s">
        <v>513</v>
      </c>
      <c r="Z845" s="4">
        <v>44</v>
      </c>
      <c r="AA845" s="4">
        <f>=ROUNDDOWN(22,0)</f>
      </c>
      <c r="AB845" s="5">
        <v>2</v>
      </c>
      <c r="AC845" s="2" t="s">
        <v>5232</v>
      </c>
      <c r="AD845" s="4">
        <v>100</v>
      </c>
      <c r="AE845" s="4">
        <v>100</v>
      </c>
      <c r="AF845" s="6">
        <v>65</v>
      </c>
      <c r="AG845" s="6"/>
      <c r="AH845" s="7">
        <v>1</v>
      </c>
      <c r="AI845" s="4"/>
      <c r="AJ845" s="4">
        <f>=ROUNDDOWN({0},0)</f>
      </c>
      <c r="AK845" s="5"/>
      <c r="AL845" s="2" t="s">
        <v>206</v>
      </c>
      <c r="AM845" s="4"/>
      <c r="AN845" s="4"/>
      <c r="AO845" s="7"/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 t="s">
        <v>206</v>
      </c>
      <c r="BD845" s="8" t="s">
        <v>206</v>
      </c>
      <c r="BE845" s="4" t="s">
        <v>206</v>
      </c>
      <c r="BF845" s="8" t="s">
        <v>206</v>
      </c>
      <c r="BG845" s="7" t="s">
        <v>206</v>
      </c>
      <c r="BH845" s="7" t="s">
        <v>206</v>
      </c>
      <c r="BI845" s="7"/>
      <c r="BJ845" s="4">
        <v>10</v>
      </c>
      <c r="BK845" s="8">
        <v>590.94</v>
      </c>
      <c r="BL845" s="2" t="s">
        <v>5233</v>
      </c>
      <c r="BM845" s="7"/>
      <c r="BN845" s="7"/>
      <c r="BO845" s="4"/>
      <c r="BP845" s="8"/>
      <c r="BQ845" s="4"/>
      <c r="BR845" s="8"/>
      <c r="BS845" s="7"/>
      <c r="BT845" s="7"/>
      <c r="BU845" s="2" t="s">
        <v>5234</v>
      </c>
      <c r="BV845" s="2" t="s">
        <v>206</v>
      </c>
      <c r="BW845" s="2" t="s">
        <v>206</v>
      </c>
      <c r="BX845" s="2" t="s">
        <v>214</v>
      </c>
      <c r="BY845" s="2" t="s">
        <v>215</v>
      </c>
      <c r="BZ845" s="2" t="s">
        <v>203</v>
      </c>
      <c r="CA845" s="2" t="s">
        <v>3631</v>
      </c>
      <c r="CB845" s="2" t="s">
        <v>5235</v>
      </c>
      <c r="CC845" s="2" t="s">
        <v>218</v>
      </c>
      <c r="CD845" s="2" t="s">
        <v>206</v>
      </c>
      <c r="CE845" s="4"/>
      <c r="CF845" s="4">
        <v>44</v>
      </c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  <c r="DE845" s="4"/>
      <c r="DF845" s="4"/>
      <c r="DG845" s="4"/>
      <c r="DH845" s="4"/>
      <c r="DI845" s="4"/>
      <c r="DJ845" s="4"/>
      <c r="DK845" s="4"/>
      <c r="DL845" s="4"/>
      <c r="DM845" s="4"/>
      <c r="DN845" s="4"/>
      <c r="DO845" s="4"/>
      <c r="DP845" s="4"/>
      <c r="DQ845" s="4"/>
      <c r="DR845" s="4"/>
      <c r="DS845" s="4"/>
      <c r="DT845" s="4"/>
      <c r="DU845" s="4"/>
      <c r="DV845" s="4"/>
      <c r="DW845" s="4"/>
      <c r="DX845" s="4"/>
      <c r="DY845" s="4"/>
      <c r="DZ845" s="4"/>
      <c r="EA845" s="4"/>
      <c r="EB845" s="4"/>
      <c r="EC845" s="4"/>
      <c r="ED845" s="4"/>
      <c r="EE845" s="4"/>
      <c r="EF845" s="4"/>
      <c r="EG845" s="4"/>
      <c r="EH845" s="4"/>
      <c r="EI845" s="4"/>
      <c r="EJ845" s="4"/>
      <c r="EK845" s="4"/>
      <c r="EL845" s="4"/>
      <c r="EM845" s="4"/>
      <c r="EN845" s="4">
        <v>100</v>
      </c>
      <c r="EO845" s="4"/>
      <c r="EP845" s="4"/>
      <c r="EQ845" s="4"/>
      <c r="ER845" s="4"/>
      <c r="ES845" s="4"/>
      <c r="ET845" s="4"/>
      <c r="EU845" s="4"/>
      <c r="EV845" s="4"/>
      <c r="EW845" s="4"/>
      <c r="EX845" s="4"/>
      <c r="EY845" s="4"/>
      <c r="EZ845" s="4"/>
      <c r="FA845" s="4"/>
      <c r="FB845" s="4"/>
      <c r="FC845" s="4"/>
      <c r="FD845" s="4"/>
      <c r="FE845" s="4"/>
      <c r="FF845" s="4"/>
      <c r="FG845" s="4"/>
      <c r="FH845" s="4"/>
      <c r="FI845" s="4"/>
      <c r="FJ845" s="4"/>
      <c r="FK845" s="4"/>
      <c r="FL845" s="4"/>
      <c r="FM845" s="4"/>
      <c r="FN845" s="4"/>
      <c r="FO845" s="4"/>
      <c r="FP845" s="4"/>
      <c r="FQ845" s="4"/>
      <c r="FR845" s="4"/>
      <c r="FS845" s="4"/>
      <c r="FT845" s="4"/>
      <c r="FU845" s="4"/>
      <c r="FV845" s="4"/>
      <c r="FW845" s="4"/>
      <c r="FX845" s="4"/>
      <c r="FY845" s="4"/>
      <c r="FZ845" s="4"/>
      <c r="GA845" s="4"/>
      <c r="GB845" s="4"/>
      <c r="GC845" s="4"/>
      <c r="GD845" s="4"/>
      <c r="GE845" s="4"/>
      <c r="GF845" s="4"/>
    </row>
    <row r="846">
      <c r="A846" s="2" t="s">
        <v>5236</v>
      </c>
      <c r="B846" s="2" t="s">
        <v>507</v>
      </c>
      <c r="C846" s="2" t="s">
        <v>828</v>
      </c>
      <c r="D846" s="2" t="s">
        <v>508</v>
      </c>
      <c r="E846" s="2" t="s">
        <v>509</v>
      </c>
      <c r="F846" s="2" t="s">
        <v>5230</v>
      </c>
      <c r="G846" s="2" t="s">
        <v>5230</v>
      </c>
      <c r="H846" s="2" t="s">
        <v>5230</v>
      </c>
      <c r="I846" s="2" t="s">
        <v>5237</v>
      </c>
      <c r="J846" s="2" t="s">
        <v>434</v>
      </c>
      <c r="K846" s="2" t="s">
        <v>709</v>
      </c>
      <c r="L846" s="3">
        <v>52</v>
      </c>
      <c r="M846" s="3">
        <v>54.6</v>
      </c>
      <c r="N846" s="3">
        <v>109.99</v>
      </c>
      <c r="O846" s="2" t="s">
        <v>203</v>
      </c>
      <c r="P846" s="2" t="s">
        <v>204</v>
      </c>
      <c r="Q846" s="2" t="s">
        <v>205</v>
      </c>
      <c r="R846" s="2" t="s">
        <v>206</v>
      </c>
      <c r="S846" s="2" t="s">
        <v>206</v>
      </c>
      <c r="T846" s="2" t="s">
        <v>206</v>
      </c>
      <c r="U846" s="2" t="s">
        <v>437</v>
      </c>
      <c r="V846" s="2" t="s">
        <v>468</v>
      </c>
      <c r="W846" s="2" t="s">
        <v>914</v>
      </c>
      <c r="X846" s="2" t="s">
        <v>539</v>
      </c>
      <c r="Y846" s="2" t="s">
        <v>513</v>
      </c>
      <c r="Z846" s="4">
        <v>80</v>
      </c>
      <c r="AA846" s="4">
        <f>=ROUNDDOWN(20,0)</f>
      </c>
      <c r="AB846" s="5">
        <v>4</v>
      </c>
      <c r="AC846" s="2" t="s">
        <v>206</v>
      </c>
      <c r="AD846" s="4"/>
      <c r="AE846" s="4"/>
      <c r="AF846" s="6">
        <v>65</v>
      </c>
      <c r="AG846" s="6"/>
      <c r="AH846" s="7">
        <v>0.5161</v>
      </c>
      <c r="AI846" s="4"/>
      <c r="AJ846" s="4">
        <f>=ROUNDDOWN({0},0)</f>
      </c>
      <c r="AK846" s="5"/>
      <c r="AL846" s="2" t="s">
        <v>206</v>
      </c>
      <c r="AM846" s="4"/>
      <c r="AN846" s="4"/>
      <c r="AO846" s="7"/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 t="s">
        <v>206</v>
      </c>
      <c r="BD846" s="8" t="s">
        <v>206</v>
      </c>
      <c r="BE846" s="4" t="s">
        <v>206</v>
      </c>
      <c r="BF846" s="8" t="s">
        <v>206</v>
      </c>
      <c r="BG846" s="7" t="s">
        <v>206</v>
      </c>
      <c r="BH846" s="7" t="s">
        <v>206</v>
      </c>
      <c r="BI846" s="7"/>
      <c r="BJ846" s="4">
        <v>18</v>
      </c>
      <c r="BK846" s="8">
        <v>984.98</v>
      </c>
      <c r="BL846" s="2" t="s">
        <v>5238</v>
      </c>
      <c r="BM846" s="7"/>
      <c r="BN846" s="7"/>
      <c r="BO846" s="4"/>
      <c r="BP846" s="8"/>
      <c r="BQ846" s="4"/>
      <c r="BR846" s="8"/>
      <c r="BS846" s="7"/>
      <c r="BT846" s="7"/>
      <c r="BU846" s="2" t="s">
        <v>5239</v>
      </c>
      <c r="BV846" s="2" t="s">
        <v>206</v>
      </c>
      <c r="BW846" s="2" t="s">
        <v>206</v>
      </c>
      <c r="BX846" s="2" t="s">
        <v>214</v>
      </c>
      <c r="BY846" s="2" t="s">
        <v>215</v>
      </c>
      <c r="BZ846" s="2" t="s">
        <v>203</v>
      </c>
      <c r="CA846" s="2" t="s">
        <v>3631</v>
      </c>
      <c r="CB846" s="2" t="s">
        <v>1548</v>
      </c>
      <c r="CC846" s="2" t="s">
        <v>218</v>
      </c>
      <c r="CD846" s="2" t="s">
        <v>206</v>
      </c>
      <c r="CE846" s="4"/>
      <c r="CF846" s="4">
        <v>80</v>
      </c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  <c r="DE846" s="4"/>
      <c r="DF846" s="4"/>
      <c r="DG846" s="4"/>
      <c r="DH846" s="4"/>
      <c r="DI846" s="4"/>
      <c r="DJ846" s="4"/>
      <c r="DK846" s="4"/>
      <c r="DL846" s="4"/>
      <c r="DM846" s="4"/>
      <c r="DN846" s="4"/>
      <c r="DO846" s="4"/>
      <c r="DP846" s="4"/>
      <c r="DQ846" s="4"/>
      <c r="DR846" s="4"/>
      <c r="DS846" s="4"/>
      <c r="DT846" s="4"/>
      <c r="DU846" s="4"/>
      <c r="DV846" s="4"/>
      <c r="DW846" s="4"/>
      <c r="DX846" s="4"/>
      <c r="DY846" s="4"/>
      <c r="DZ846" s="4"/>
      <c r="EA846" s="4"/>
      <c r="EB846" s="4"/>
      <c r="EC846" s="4"/>
      <c r="ED846" s="4"/>
      <c r="EE846" s="4"/>
      <c r="EF846" s="4"/>
      <c r="EG846" s="4"/>
      <c r="EH846" s="4"/>
      <c r="EI846" s="4"/>
      <c r="EJ846" s="4"/>
      <c r="EK846" s="4"/>
      <c r="EL846" s="4"/>
      <c r="EM846" s="4"/>
      <c r="EN846" s="4"/>
      <c r="EO846" s="4"/>
      <c r="EP846" s="4"/>
      <c r="EQ846" s="4"/>
      <c r="ER846" s="4"/>
      <c r="ES846" s="4"/>
      <c r="ET846" s="4"/>
      <c r="EU846" s="4"/>
      <c r="EV846" s="4"/>
      <c r="EW846" s="4"/>
      <c r="EX846" s="4"/>
      <c r="EY846" s="4"/>
      <c r="EZ846" s="4"/>
      <c r="FA846" s="4"/>
      <c r="FB846" s="4"/>
      <c r="FC846" s="4"/>
      <c r="FD846" s="4"/>
      <c r="FE846" s="4"/>
      <c r="FF846" s="4"/>
      <c r="FG846" s="4"/>
      <c r="FH846" s="4"/>
      <c r="FI846" s="4"/>
      <c r="FJ846" s="4"/>
      <c r="FK846" s="4"/>
      <c r="FL846" s="4"/>
      <c r="FM846" s="4"/>
      <c r="FN846" s="4"/>
      <c r="FO846" s="4"/>
      <c r="FP846" s="4"/>
      <c r="FQ846" s="4"/>
      <c r="FR846" s="4"/>
      <c r="FS846" s="4"/>
      <c r="FT846" s="4"/>
      <c r="FU846" s="4"/>
      <c r="FV846" s="4"/>
      <c r="FW846" s="4"/>
      <c r="FX846" s="4"/>
      <c r="FY846" s="4"/>
      <c r="FZ846" s="4"/>
      <c r="GA846" s="4"/>
      <c r="GB846" s="4"/>
      <c r="GC846" s="4"/>
      <c r="GD846" s="4"/>
      <c r="GE846" s="4"/>
      <c r="GF846" s="4"/>
    </row>
    <row r="847">
      <c r="A847" s="2" t="s">
        <v>5240</v>
      </c>
      <c r="B847" s="2" t="s">
        <v>800</v>
      </c>
      <c r="C847" s="2" t="s">
        <v>287</v>
      </c>
      <c r="D847" s="2" t="s">
        <v>801</v>
      </c>
      <c r="E847" s="2" t="s">
        <v>1262</v>
      </c>
      <c r="F847" s="2" t="s">
        <v>5241</v>
      </c>
      <c r="G847" s="2" t="s">
        <v>5242</v>
      </c>
      <c r="H847" s="2" t="s">
        <v>5242</v>
      </c>
      <c r="I847" s="2" t="s">
        <v>5243</v>
      </c>
      <c r="J847" s="2" t="s">
        <v>4292</v>
      </c>
      <c r="K847" s="2" t="s">
        <v>315</v>
      </c>
      <c r="L847" s="3">
        <v>15.91</v>
      </c>
      <c r="M847" s="3">
        <v>16.71</v>
      </c>
      <c r="N847" s="3">
        <v>36.99</v>
      </c>
      <c r="O847" s="2" t="s">
        <v>203</v>
      </c>
      <c r="P847" s="2" t="s">
        <v>204</v>
      </c>
      <c r="Q847" s="2" t="s">
        <v>205</v>
      </c>
      <c r="R847" s="2" t="s">
        <v>206</v>
      </c>
      <c r="S847" s="2" t="s">
        <v>5244</v>
      </c>
      <c r="T847" s="2" t="s">
        <v>808</v>
      </c>
      <c r="U847" s="2" t="s">
        <v>437</v>
      </c>
      <c r="V847" s="2" t="s">
        <v>1002</v>
      </c>
      <c r="W847" s="2" t="s">
        <v>914</v>
      </c>
      <c r="X847" s="2" t="s">
        <v>206</v>
      </c>
      <c r="Y847" s="2" t="s">
        <v>5245</v>
      </c>
      <c r="Z847" s="4">
        <v>953</v>
      </c>
      <c r="AA847" s="4">
        <f>=ROUNDDOWN(35.2962962962963,0)</f>
      </c>
      <c r="AB847" s="5">
        <v>27</v>
      </c>
      <c r="AC847" s="2" t="s">
        <v>121</v>
      </c>
      <c r="AD847" s="4">
        <v>500</v>
      </c>
      <c r="AE847" s="4">
        <v>2400</v>
      </c>
      <c r="AF847" s="6">
        <v>64</v>
      </c>
      <c r="AG847" s="6"/>
      <c r="AH847" s="7">
        <v>1</v>
      </c>
      <c r="AI847" s="4"/>
      <c r="AJ847" s="4">
        <f>=ROUNDDOWN({0},0)</f>
      </c>
      <c r="AK847" s="5"/>
      <c r="AL847" s="2" t="s">
        <v>206</v>
      </c>
      <c r="AM847" s="4"/>
      <c r="AN847" s="4"/>
      <c r="AO847" s="7"/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 t="s">
        <v>206</v>
      </c>
      <c r="BD847" s="8" t="s">
        <v>206</v>
      </c>
      <c r="BE847" s="4" t="s">
        <v>206</v>
      </c>
      <c r="BF847" s="8" t="s">
        <v>206</v>
      </c>
      <c r="BG847" s="7" t="s">
        <v>206</v>
      </c>
      <c r="BH847" s="7" t="s">
        <v>206</v>
      </c>
      <c r="BI847" s="7"/>
      <c r="BJ847" s="4">
        <v>318</v>
      </c>
      <c r="BK847" s="8">
        <v>4841.8</v>
      </c>
      <c r="BL847" s="2" t="s">
        <v>5246</v>
      </c>
      <c r="BM847" s="7"/>
      <c r="BN847" s="7"/>
      <c r="BO847" s="4"/>
      <c r="BP847" s="8"/>
      <c r="BQ847" s="4"/>
      <c r="BR847" s="8"/>
      <c r="BS847" s="7"/>
      <c r="BT847" s="7"/>
      <c r="BU847" s="2" t="s">
        <v>5247</v>
      </c>
      <c r="BV847" s="2" t="s">
        <v>206</v>
      </c>
      <c r="BW847" s="2" t="s">
        <v>206</v>
      </c>
      <c r="BX847" s="2" t="s">
        <v>214</v>
      </c>
      <c r="BY847" s="2" t="s">
        <v>215</v>
      </c>
      <c r="BZ847" s="2" t="s">
        <v>203</v>
      </c>
      <c r="CA847" s="2" t="s">
        <v>5248</v>
      </c>
      <c r="CB847" s="2" t="s">
        <v>2705</v>
      </c>
      <c r="CC847" s="2" t="s">
        <v>218</v>
      </c>
      <c r="CD847" s="2" t="s">
        <v>206</v>
      </c>
      <c r="CE847" s="4">
        <v>191</v>
      </c>
      <c r="CF847" s="4">
        <v>762</v>
      </c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  <c r="DE847" s="4"/>
      <c r="DF847" s="4"/>
      <c r="DG847" s="4"/>
      <c r="DH847" s="4"/>
      <c r="DI847" s="4">
        <v>500</v>
      </c>
      <c r="DJ847" s="4"/>
      <c r="DK847" s="4">
        <v>800</v>
      </c>
      <c r="DL847" s="4"/>
      <c r="DM847" s="4"/>
      <c r="DN847" s="4"/>
      <c r="DO847" s="4"/>
      <c r="DP847" s="4"/>
      <c r="DQ847" s="4"/>
      <c r="DR847" s="4"/>
      <c r="DS847" s="4"/>
      <c r="DT847" s="4"/>
      <c r="DU847" s="4"/>
      <c r="DV847" s="4"/>
      <c r="DW847" s="4"/>
      <c r="DX847" s="4">
        <v>300</v>
      </c>
      <c r="DY847" s="4"/>
      <c r="DZ847" s="4"/>
      <c r="EA847" s="4">
        <v>400</v>
      </c>
      <c r="EB847" s="4"/>
      <c r="EC847" s="4"/>
      <c r="ED847" s="4"/>
      <c r="EE847" s="4"/>
      <c r="EF847" s="4"/>
      <c r="EG847" s="4"/>
      <c r="EH847" s="4"/>
      <c r="EI847" s="4"/>
      <c r="EJ847" s="4"/>
      <c r="EK847" s="4"/>
      <c r="EL847" s="4"/>
      <c r="EM847" s="4"/>
      <c r="EN847" s="4"/>
      <c r="EO847" s="4"/>
      <c r="EP847" s="4"/>
      <c r="EQ847" s="4"/>
      <c r="ER847" s="4"/>
      <c r="ES847" s="4"/>
      <c r="ET847" s="4"/>
      <c r="EU847" s="4"/>
      <c r="EV847" s="4"/>
      <c r="EW847" s="4"/>
      <c r="EX847" s="4"/>
      <c r="EY847" s="4"/>
      <c r="EZ847" s="4"/>
      <c r="FA847" s="4"/>
      <c r="FB847" s="4"/>
      <c r="FC847" s="4"/>
      <c r="FD847" s="4"/>
      <c r="FE847" s="4"/>
      <c r="FF847" s="4"/>
      <c r="FG847" s="4"/>
      <c r="FH847" s="4"/>
      <c r="FI847" s="4">
        <v>400</v>
      </c>
      <c r="FJ847" s="4"/>
      <c r="FK847" s="4"/>
      <c r="FL847" s="4"/>
      <c r="FM847" s="4"/>
      <c r="FN847" s="4"/>
      <c r="FO847" s="4"/>
      <c r="FP847" s="4"/>
      <c r="FQ847" s="4"/>
      <c r="FR847" s="4"/>
      <c r="FS847" s="4"/>
      <c r="FT847" s="4"/>
      <c r="FU847" s="4"/>
      <c r="FV847" s="4"/>
      <c r="FW847" s="4"/>
      <c r="FX847" s="4"/>
      <c r="FY847" s="4"/>
      <c r="FZ847" s="4"/>
      <c r="GA847" s="4"/>
      <c r="GB847" s="4"/>
      <c r="GC847" s="4"/>
      <c r="GD847" s="4"/>
      <c r="GE847" s="4"/>
      <c r="GF847" s="4"/>
    </row>
    <row r="848">
      <c r="A848" s="2" t="s">
        <v>5249</v>
      </c>
      <c r="B848" s="2" t="s">
        <v>800</v>
      </c>
      <c r="C848" s="2" t="s">
        <v>287</v>
      </c>
      <c r="D848" s="2" t="s">
        <v>1121</v>
      </c>
      <c r="E848" s="2" t="s">
        <v>2266</v>
      </c>
      <c r="F848" s="2" t="s">
        <v>5241</v>
      </c>
      <c r="G848" s="2" t="s">
        <v>5242</v>
      </c>
      <c r="H848" s="2" t="s">
        <v>5242</v>
      </c>
      <c r="I848" s="2" t="s">
        <v>2269</v>
      </c>
      <c r="J848" s="2" t="s">
        <v>1257</v>
      </c>
      <c r="K848" s="2" t="s">
        <v>5250</v>
      </c>
      <c r="L848" s="3">
        <v>14.83</v>
      </c>
      <c r="M848" s="3">
        <v>15.57</v>
      </c>
      <c r="N848" s="3">
        <v>31.99</v>
      </c>
      <c r="O848" s="2" t="s">
        <v>203</v>
      </c>
      <c r="P848" s="2" t="s">
        <v>204</v>
      </c>
      <c r="Q848" s="2" t="s">
        <v>205</v>
      </c>
      <c r="R848" s="2" t="s">
        <v>206</v>
      </c>
      <c r="S848" s="2" t="s">
        <v>5251</v>
      </c>
      <c r="T848" s="2" t="s">
        <v>808</v>
      </c>
      <c r="U848" s="2" t="s">
        <v>437</v>
      </c>
      <c r="V848" s="2" t="s">
        <v>1002</v>
      </c>
      <c r="W848" s="2" t="s">
        <v>914</v>
      </c>
      <c r="X848" s="2" t="s">
        <v>206</v>
      </c>
      <c r="Y848" s="2" t="s">
        <v>2394</v>
      </c>
      <c r="Z848" s="4">
        <v>368</v>
      </c>
      <c r="AA848" s="4">
        <f>=ROUNDDOWN(33.4545454545455,0)</f>
      </c>
      <c r="AB848" s="5">
        <v>11</v>
      </c>
      <c r="AC848" s="2" t="s">
        <v>123</v>
      </c>
      <c r="AD848" s="4">
        <v>100</v>
      </c>
      <c r="AE848" s="4">
        <v>350</v>
      </c>
      <c r="AF848" s="6">
        <v>64</v>
      </c>
      <c r="AG848" s="6"/>
      <c r="AH848" s="7">
        <v>1</v>
      </c>
      <c r="AI848" s="4"/>
      <c r="AJ848" s="4">
        <f>=ROUNDDOWN({0},0)</f>
      </c>
      <c r="AK848" s="5"/>
      <c r="AL848" s="2" t="s">
        <v>206</v>
      </c>
      <c r="AM848" s="4"/>
      <c r="AN848" s="4"/>
      <c r="AO848" s="7"/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 t="s">
        <v>206</v>
      </c>
      <c r="BD848" s="8" t="s">
        <v>206</v>
      </c>
      <c r="BE848" s="4" t="s">
        <v>206</v>
      </c>
      <c r="BF848" s="8" t="s">
        <v>206</v>
      </c>
      <c r="BG848" s="7" t="s">
        <v>206</v>
      </c>
      <c r="BH848" s="7" t="s">
        <v>206</v>
      </c>
      <c r="BI848" s="7"/>
      <c r="BJ848" s="4">
        <v>82</v>
      </c>
      <c r="BK848" s="8">
        <v>1197.01</v>
      </c>
      <c r="BL848" s="2" t="s">
        <v>5252</v>
      </c>
      <c r="BM848" s="7"/>
      <c r="BN848" s="7"/>
      <c r="BO848" s="4"/>
      <c r="BP848" s="8"/>
      <c r="BQ848" s="4"/>
      <c r="BR848" s="8"/>
      <c r="BS848" s="7"/>
      <c r="BT848" s="7"/>
      <c r="BU848" s="2" t="s">
        <v>5253</v>
      </c>
      <c r="BV848" s="2" t="s">
        <v>206</v>
      </c>
      <c r="BW848" s="2" t="s">
        <v>206</v>
      </c>
      <c r="BX848" s="2" t="s">
        <v>214</v>
      </c>
      <c r="BY848" s="2" t="s">
        <v>215</v>
      </c>
      <c r="BZ848" s="2" t="s">
        <v>203</v>
      </c>
      <c r="CA848" s="2" t="s">
        <v>2526</v>
      </c>
      <c r="CB848" s="2" t="s">
        <v>2540</v>
      </c>
      <c r="CC848" s="2" t="s">
        <v>218</v>
      </c>
      <c r="CD848" s="2" t="s">
        <v>206</v>
      </c>
      <c r="CE848" s="4">
        <v>368</v>
      </c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  <c r="DE848" s="4"/>
      <c r="DF848" s="4"/>
      <c r="DG848" s="4"/>
      <c r="DH848" s="4"/>
      <c r="DI848" s="4"/>
      <c r="DJ848" s="4"/>
      <c r="DK848" s="4">
        <v>100</v>
      </c>
      <c r="DL848" s="4"/>
      <c r="DM848" s="4"/>
      <c r="DN848" s="4"/>
      <c r="DO848" s="4"/>
      <c r="DP848" s="4"/>
      <c r="DQ848" s="4"/>
      <c r="DR848" s="4"/>
      <c r="DS848" s="4"/>
      <c r="DT848" s="4"/>
      <c r="DU848" s="4"/>
      <c r="DV848" s="4"/>
      <c r="DW848" s="4"/>
      <c r="DX848" s="4">
        <v>150</v>
      </c>
      <c r="DY848" s="4"/>
      <c r="DZ848" s="4"/>
      <c r="EA848" s="4"/>
      <c r="EB848" s="4"/>
      <c r="EC848" s="4"/>
      <c r="ED848" s="4"/>
      <c r="EE848" s="4"/>
      <c r="EF848" s="4"/>
      <c r="EG848" s="4"/>
      <c r="EH848" s="4"/>
      <c r="EI848" s="4"/>
      <c r="EJ848" s="4"/>
      <c r="EK848" s="4"/>
      <c r="EL848" s="4"/>
      <c r="EM848" s="4"/>
      <c r="EN848" s="4"/>
      <c r="EO848" s="4"/>
      <c r="EP848" s="4"/>
      <c r="EQ848" s="4"/>
      <c r="ER848" s="4"/>
      <c r="ES848" s="4"/>
      <c r="ET848" s="4"/>
      <c r="EU848" s="4"/>
      <c r="EV848" s="4"/>
      <c r="EW848" s="4"/>
      <c r="EX848" s="4"/>
      <c r="EY848" s="4"/>
      <c r="EZ848" s="4"/>
      <c r="FA848" s="4"/>
      <c r="FB848" s="4"/>
      <c r="FC848" s="4"/>
      <c r="FD848" s="4"/>
      <c r="FE848" s="4"/>
      <c r="FF848" s="4"/>
      <c r="FG848" s="4"/>
      <c r="FH848" s="4">
        <v>100</v>
      </c>
      <c r="FI848" s="4"/>
      <c r="FJ848" s="4"/>
      <c r="FK848" s="4"/>
      <c r="FL848" s="4"/>
      <c r="FM848" s="4"/>
      <c r="FN848" s="4"/>
      <c r="FO848" s="4"/>
      <c r="FP848" s="4"/>
      <c r="FQ848" s="4"/>
      <c r="FR848" s="4"/>
      <c r="FS848" s="4"/>
      <c r="FT848" s="4"/>
      <c r="FU848" s="4"/>
      <c r="FV848" s="4"/>
      <c r="FW848" s="4"/>
      <c r="FX848" s="4"/>
      <c r="FY848" s="4"/>
      <c r="FZ848" s="4"/>
      <c r="GA848" s="4"/>
      <c r="GB848" s="4"/>
      <c r="GC848" s="4"/>
      <c r="GD848" s="4"/>
      <c r="GE848" s="4"/>
      <c r="GF848" s="4"/>
    </row>
    <row r="849">
      <c r="A849" s="2" t="s">
        <v>5254</v>
      </c>
      <c r="B849" s="2" t="s">
        <v>800</v>
      </c>
      <c r="C849" s="2" t="s">
        <v>287</v>
      </c>
      <c r="D849" s="2" t="s">
        <v>801</v>
      </c>
      <c r="E849" s="2" t="s">
        <v>1262</v>
      </c>
      <c r="F849" s="2" t="s">
        <v>5241</v>
      </c>
      <c r="G849" s="2" t="s">
        <v>5242</v>
      </c>
      <c r="H849" s="2" t="s">
        <v>5242</v>
      </c>
      <c r="I849" s="2" t="s">
        <v>5243</v>
      </c>
      <c r="J849" s="2" t="s">
        <v>4292</v>
      </c>
      <c r="K849" s="2" t="s">
        <v>3247</v>
      </c>
      <c r="L849" s="3">
        <v>15.91</v>
      </c>
      <c r="M849" s="3">
        <v>16.71</v>
      </c>
      <c r="N849" s="3">
        <v>36.99</v>
      </c>
      <c r="O849" s="2" t="s">
        <v>203</v>
      </c>
      <c r="P849" s="2" t="s">
        <v>204</v>
      </c>
      <c r="Q849" s="2" t="s">
        <v>205</v>
      </c>
      <c r="R849" s="2" t="s">
        <v>206</v>
      </c>
      <c r="S849" s="2" t="s">
        <v>5255</v>
      </c>
      <c r="T849" s="2" t="s">
        <v>808</v>
      </c>
      <c r="U849" s="2" t="s">
        <v>206</v>
      </c>
      <c r="V849" s="2" t="s">
        <v>1002</v>
      </c>
      <c r="W849" s="2" t="s">
        <v>914</v>
      </c>
      <c r="X849" s="2" t="s">
        <v>206</v>
      </c>
      <c r="Y849" s="2" t="s">
        <v>5256</v>
      </c>
      <c r="Z849" s="4">
        <v>2182</v>
      </c>
      <c r="AA849" s="4">
        <f>=ROUNDDOWN(116.68449197861,0)</f>
      </c>
      <c r="AB849" s="5">
        <v>18.7</v>
      </c>
      <c r="AC849" s="2" t="s">
        <v>121</v>
      </c>
      <c r="AD849" s="4">
        <v>600</v>
      </c>
      <c r="AE849" s="4">
        <v>800</v>
      </c>
      <c r="AF849" s="6">
        <v>64</v>
      </c>
      <c r="AG849" s="6"/>
      <c r="AH849" s="7">
        <v>1</v>
      </c>
      <c r="AI849" s="4"/>
      <c r="AJ849" s="4">
        <f>=ROUNDDOWN({0},0)</f>
      </c>
      <c r="AK849" s="5"/>
      <c r="AL849" s="2" t="s">
        <v>206</v>
      </c>
      <c r="AM849" s="4"/>
      <c r="AN849" s="4"/>
      <c r="AO849" s="7"/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 t="s">
        <v>206</v>
      </c>
      <c r="BD849" s="8" t="s">
        <v>206</v>
      </c>
      <c r="BE849" s="4" t="s">
        <v>206</v>
      </c>
      <c r="BF849" s="8" t="s">
        <v>206</v>
      </c>
      <c r="BG849" s="7" t="s">
        <v>206</v>
      </c>
      <c r="BH849" s="7" t="s">
        <v>206</v>
      </c>
      <c r="BI849" s="7"/>
      <c r="BJ849" s="4">
        <v>214</v>
      </c>
      <c r="BK849" s="8">
        <v>3487.94</v>
      </c>
      <c r="BL849" s="2" t="s">
        <v>5257</v>
      </c>
      <c r="BM849" s="7"/>
      <c r="BN849" s="7"/>
      <c r="BO849" s="4"/>
      <c r="BP849" s="8"/>
      <c r="BQ849" s="4"/>
      <c r="BR849" s="8"/>
      <c r="BS849" s="7"/>
      <c r="BT849" s="7"/>
      <c r="BU849" s="2" t="s">
        <v>5258</v>
      </c>
      <c r="BV849" s="2" t="s">
        <v>206</v>
      </c>
      <c r="BW849" s="2" t="s">
        <v>206</v>
      </c>
      <c r="BX849" s="2" t="s">
        <v>214</v>
      </c>
      <c r="BY849" s="2" t="s">
        <v>215</v>
      </c>
      <c r="BZ849" s="2" t="s">
        <v>203</v>
      </c>
      <c r="CA849" s="2" t="s">
        <v>865</v>
      </c>
      <c r="CB849" s="2" t="s">
        <v>5259</v>
      </c>
      <c r="CC849" s="2" t="s">
        <v>218</v>
      </c>
      <c r="CD849" s="2" t="s">
        <v>206</v>
      </c>
      <c r="CE849" s="4">
        <v>2182</v>
      </c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  <c r="DE849" s="4"/>
      <c r="DF849" s="4"/>
      <c r="DG849" s="4"/>
      <c r="DH849" s="4"/>
      <c r="DI849" s="4">
        <v>600</v>
      </c>
      <c r="DJ849" s="4"/>
      <c r="DK849" s="4"/>
      <c r="DL849" s="4"/>
      <c r="DM849" s="4"/>
      <c r="DN849" s="4"/>
      <c r="DO849" s="4"/>
      <c r="DP849" s="4"/>
      <c r="DQ849" s="4"/>
      <c r="DR849" s="4"/>
      <c r="DS849" s="4"/>
      <c r="DT849" s="4"/>
      <c r="DU849" s="4"/>
      <c r="DV849" s="4"/>
      <c r="DW849" s="4"/>
      <c r="DX849" s="4">
        <v>200</v>
      </c>
      <c r="DY849" s="4"/>
      <c r="DZ849" s="4"/>
      <c r="EA849" s="4"/>
      <c r="EB849" s="4"/>
      <c r="EC849" s="4"/>
      <c r="ED849" s="4"/>
      <c r="EE849" s="4"/>
      <c r="EF849" s="4"/>
      <c r="EG849" s="4"/>
      <c r="EH849" s="4"/>
      <c r="EI849" s="4"/>
      <c r="EJ849" s="4"/>
      <c r="EK849" s="4"/>
      <c r="EL849" s="4"/>
      <c r="EM849" s="4"/>
      <c r="EN849" s="4"/>
      <c r="EO849" s="4"/>
      <c r="EP849" s="4"/>
      <c r="EQ849" s="4"/>
      <c r="ER849" s="4"/>
      <c r="ES849" s="4"/>
      <c r="ET849" s="4"/>
      <c r="EU849" s="4"/>
      <c r="EV849" s="4"/>
      <c r="EW849" s="4"/>
      <c r="EX849" s="4"/>
      <c r="EY849" s="4"/>
      <c r="EZ849" s="4"/>
      <c r="FA849" s="4"/>
      <c r="FB849" s="4"/>
      <c r="FC849" s="4"/>
      <c r="FD849" s="4"/>
      <c r="FE849" s="4"/>
      <c r="FF849" s="4"/>
      <c r="FG849" s="4"/>
      <c r="FH849" s="4"/>
      <c r="FI849" s="4"/>
      <c r="FJ849" s="4"/>
      <c r="FK849" s="4"/>
      <c r="FL849" s="4"/>
      <c r="FM849" s="4"/>
      <c r="FN849" s="4"/>
      <c r="FO849" s="4"/>
      <c r="FP849" s="4"/>
      <c r="FQ849" s="4"/>
      <c r="FR849" s="4"/>
      <c r="FS849" s="4"/>
      <c r="FT849" s="4"/>
      <c r="FU849" s="4"/>
      <c r="FV849" s="4"/>
      <c r="FW849" s="4"/>
      <c r="FX849" s="4"/>
      <c r="FY849" s="4"/>
      <c r="FZ849" s="4"/>
      <c r="GA849" s="4"/>
      <c r="GB849" s="4"/>
      <c r="GC849" s="4"/>
      <c r="GD849" s="4"/>
      <c r="GE849" s="4"/>
      <c r="GF849" s="4"/>
    </row>
    <row r="850">
      <c r="A850" s="16" t="s">
        <v>5260</v>
      </c>
      <c r="B850" s="9" t="s">
        <v>206</v>
      </c>
      <c r="C850" s="9" t="s">
        <v>206</v>
      </c>
      <c r="D850" s="9" t="s">
        <v>206</v>
      </c>
      <c r="E850" s="9" t="s">
        <v>206</v>
      </c>
      <c r="F850" s="9" t="s">
        <v>206</v>
      </c>
      <c r="G850" s="9" t="s">
        <v>206</v>
      </c>
      <c r="H850" s="9" t="s">
        <v>206</v>
      </c>
      <c r="I850" s="9" t="s">
        <v>206</v>
      </c>
      <c r="J850" s="9" t="s">
        <v>206</v>
      </c>
      <c r="K850" s="9" t="s">
        <v>206</v>
      </c>
      <c r="L850" s="10"/>
      <c r="M850" s="10"/>
      <c r="N850" s="10"/>
      <c r="O850" s="9" t="s">
        <v>206</v>
      </c>
      <c r="P850" s="9" t="s">
        <v>206</v>
      </c>
      <c r="Q850" s="9" t="s">
        <v>206</v>
      </c>
      <c r="R850" s="9" t="s">
        <v>206</v>
      </c>
      <c r="S850" s="9" t="s">
        <v>206</v>
      </c>
      <c r="T850" s="9" t="s">
        <v>206</v>
      </c>
      <c r="U850" s="9" t="s">
        <v>206</v>
      </c>
      <c r="V850" s="9" t="s">
        <v>206</v>
      </c>
      <c r="W850" s="9" t="s">
        <v>206</v>
      </c>
      <c r="X850" s="9" t="s">
        <v>206</v>
      </c>
      <c r="Y850" s="9" t="s">
        <v>206</v>
      </c>
      <c r="Z850" s="11">
        <v>246693</v>
      </c>
      <c r="AA850" s="11">
        <f>=ROUNDDOWN({0},0)</f>
      </c>
      <c r="AB850" s="12">
        <v>8374.6</v>
      </c>
      <c r="AC850" s="9" t="s">
        <v>206</v>
      </c>
      <c r="AD850" s="11"/>
      <c r="AE850" s="11">
        <v>184022</v>
      </c>
      <c r="AF850" s="13"/>
      <c r="AG850" s="13"/>
      <c r="AH850" s="14"/>
      <c r="AI850" s="11"/>
      <c r="AJ850" s="11">
        <f>=ROUNDDOWN({0},0)</f>
      </c>
      <c r="AK850" s="12">
        <v>60.3</v>
      </c>
      <c r="AL850" s="9" t="s">
        <v>206</v>
      </c>
      <c r="AM850" s="11"/>
      <c r="AN850" s="11">
        <v>524</v>
      </c>
      <c r="AO850" s="14"/>
      <c r="AP850" s="11"/>
      <c r="AQ850" s="15"/>
      <c r="AR850" s="11"/>
      <c r="AS850" s="15"/>
      <c r="AT850" s="14"/>
      <c r="AU850" s="14"/>
      <c r="AV850" s="11"/>
      <c r="AW850" s="15"/>
      <c r="AX850" s="11"/>
      <c r="AY850" s="15"/>
      <c r="AZ850" s="14"/>
      <c r="BA850" s="14"/>
      <c r="BB850" s="14"/>
      <c r="BC850" s="11"/>
      <c r="BD850" s="15"/>
      <c r="BE850" s="11"/>
      <c r="BF850" s="15"/>
      <c r="BG850" s="14"/>
      <c r="BH850" s="14"/>
      <c r="BI850" s="14"/>
      <c r="BJ850" s="11"/>
      <c r="BK850" s="15"/>
      <c r="BL850" s="9" t="s">
        <v>206</v>
      </c>
      <c r="BM850" s="14"/>
      <c r="BN850" s="14"/>
      <c r="BO850" s="11"/>
      <c r="BP850" s="15"/>
      <c r="BQ850" s="11"/>
      <c r="BR850" s="15"/>
      <c r="BS850" s="14"/>
      <c r="BT850" s="14"/>
      <c r="BU850" s="9" t="s">
        <v>206</v>
      </c>
      <c r="BV850" s="9" t="s">
        <v>206</v>
      </c>
      <c r="BW850" s="9" t="s">
        <v>206</v>
      </c>
      <c r="BX850" s="9" t="s">
        <v>206</v>
      </c>
      <c r="BY850" s="9" t="s">
        <v>206</v>
      </c>
      <c r="BZ850" s="9" t="s">
        <v>206</v>
      </c>
      <c r="CA850" s="9" t="s">
        <v>206</v>
      </c>
      <c r="CB850" s="9" t="s">
        <v>206</v>
      </c>
      <c r="CC850" s="9" t="s">
        <v>206</v>
      </c>
      <c r="CD850" s="9" t="s">
        <v>206</v>
      </c>
      <c r="CE850" s="11">
        <v>176198</v>
      </c>
      <c r="CF850" s="11">
        <v>38005</v>
      </c>
      <c r="CG850" s="11"/>
      <c r="CH850" s="11">
        <v>28744</v>
      </c>
      <c r="CI850" s="11"/>
      <c r="CJ850" s="11"/>
      <c r="CK850" s="11">
        <v>749</v>
      </c>
      <c r="CL850" s="11">
        <v>1069</v>
      </c>
      <c r="CM850" s="11"/>
      <c r="CN850" s="11"/>
      <c r="CO850" s="11">
        <v>1926</v>
      </c>
      <c r="CP850" s="11">
        <v>2</v>
      </c>
      <c r="CQ850" s="11"/>
      <c r="CR850" s="11"/>
      <c r="CS850" s="11">
        <v>14639</v>
      </c>
      <c r="CT850" s="11">
        <v>1508</v>
      </c>
      <c r="CU850" s="11">
        <v>4103</v>
      </c>
      <c r="CV850" s="11">
        <v>6350</v>
      </c>
      <c r="CW850" s="11">
        <v>2322</v>
      </c>
      <c r="CX850" s="11">
        <v>8570</v>
      </c>
      <c r="CY850" s="11">
        <v>156</v>
      </c>
      <c r="CZ850" s="11">
        <v>1069</v>
      </c>
      <c r="DA850" s="11">
        <v>5047</v>
      </c>
      <c r="DB850" s="11">
        <v>12760</v>
      </c>
      <c r="DC850" s="11">
        <v>4915</v>
      </c>
      <c r="DD850" s="11">
        <v>380</v>
      </c>
      <c r="DE850" s="11">
        <v>381</v>
      </c>
      <c r="DF850" s="11">
        <v>200</v>
      </c>
      <c r="DG850" s="11">
        <v>8087</v>
      </c>
      <c r="DH850" s="11">
        <v>996</v>
      </c>
      <c r="DI850" s="11">
        <v>2732</v>
      </c>
      <c r="DJ850" s="11">
        <v>352</v>
      </c>
      <c r="DK850" s="11">
        <v>2046</v>
      </c>
      <c r="DL850" s="11">
        <v>3081</v>
      </c>
      <c r="DM850" s="11">
        <v>638</v>
      </c>
      <c r="DN850" s="11">
        <v>2559</v>
      </c>
      <c r="DO850" s="11">
        <v>7596</v>
      </c>
      <c r="DP850" s="11">
        <v>4163</v>
      </c>
      <c r="DQ850" s="11">
        <v>815</v>
      </c>
      <c r="DR850" s="11">
        <v>3718</v>
      </c>
      <c r="DS850" s="11">
        <v>2183</v>
      </c>
      <c r="DT850" s="11">
        <v>40</v>
      </c>
      <c r="DU850" s="11">
        <v>1904</v>
      </c>
      <c r="DV850" s="11">
        <v>649</v>
      </c>
      <c r="DW850" s="11">
        <v>290</v>
      </c>
      <c r="DX850" s="11">
        <v>12452</v>
      </c>
      <c r="DY850" s="11">
        <v>60</v>
      </c>
      <c r="DZ850" s="11">
        <v>670</v>
      </c>
      <c r="EA850" s="11">
        <v>4574</v>
      </c>
      <c r="EB850" s="11">
        <v>246</v>
      </c>
      <c r="EC850" s="11">
        <v>276</v>
      </c>
      <c r="ED850" s="11">
        <v>535</v>
      </c>
      <c r="EE850" s="11">
        <v>1230</v>
      </c>
      <c r="EF850" s="11">
        <v>1496</v>
      </c>
      <c r="EG850" s="11">
        <v>128</v>
      </c>
      <c r="EH850" s="11">
        <v>2773</v>
      </c>
      <c r="EI850" s="11">
        <v>1504</v>
      </c>
      <c r="EJ850" s="11">
        <v>210</v>
      </c>
      <c r="EK850" s="11">
        <v>390</v>
      </c>
      <c r="EL850" s="11">
        <v>1657</v>
      </c>
      <c r="EM850" s="11">
        <v>1669</v>
      </c>
      <c r="EN850" s="11">
        <v>470</v>
      </c>
      <c r="EO850" s="11">
        <v>100</v>
      </c>
      <c r="EP850" s="11">
        <v>868</v>
      </c>
      <c r="EQ850" s="11">
        <v>1570</v>
      </c>
      <c r="ER850" s="11">
        <v>740</v>
      </c>
      <c r="ES850" s="11">
        <v>13</v>
      </c>
      <c r="ET850" s="11">
        <v>200</v>
      </c>
      <c r="EU850" s="11">
        <v>4996</v>
      </c>
      <c r="EV850" s="11">
        <v>1610</v>
      </c>
      <c r="EW850" s="11">
        <v>200</v>
      </c>
      <c r="EX850" s="11">
        <v>50</v>
      </c>
      <c r="EY850" s="11">
        <v>100</v>
      </c>
      <c r="EZ850" s="11">
        <v>1050</v>
      </c>
      <c r="FA850" s="11">
        <v>5832</v>
      </c>
      <c r="FB850" s="11">
        <v>75</v>
      </c>
      <c r="FC850" s="11">
        <v>160</v>
      </c>
      <c r="FD850" s="11">
        <v>90</v>
      </c>
      <c r="FE850" s="11">
        <v>3106</v>
      </c>
      <c r="FF850" s="11">
        <v>160</v>
      </c>
      <c r="FG850" s="11">
        <v>760</v>
      </c>
      <c r="FH850" s="11">
        <v>3470</v>
      </c>
      <c r="FI850" s="11">
        <v>2503</v>
      </c>
      <c r="FJ850" s="11">
        <v>160</v>
      </c>
      <c r="FK850" s="11">
        <v>100</v>
      </c>
      <c r="FL850" s="11">
        <v>100</v>
      </c>
      <c r="FM850" s="11">
        <v>5977</v>
      </c>
      <c r="FN850" s="11">
        <v>50</v>
      </c>
      <c r="FO850" s="11">
        <v>47</v>
      </c>
      <c r="FP850" s="11">
        <v>236</v>
      </c>
      <c r="FQ850" s="11">
        <v>720</v>
      </c>
      <c r="FR850" s="11">
        <v>1446</v>
      </c>
      <c r="FS850" s="11">
        <v>20</v>
      </c>
      <c r="FT850" s="11">
        <v>245</v>
      </c>
      <c r="FU850" s="11">
        <v>3062</v>
      </c>
      <c r="FV850" s="11">
        <v>30</v>
      </c>
      <c r="FW850" s="11">
        <v>180</v>
      </c>
      <c r="FX850" s="11">
        <v>144</v>
      </c>
      <c r="FY850" s="11">
        <v>896</v>
      </c>
      <c r="FZ850" s="11">
        <v>50</v>
      </c>
      <c r="GA850" s="11">
        <v>8317</v>
      </c>
      <c r="GB850" s="11">
        <v>63</v>
      </c>
      <c r="GC850" s="11">
        <v>50</v>
      </c>
      <c r="GD850" s="11">
        <v>197</v>
      </c>
      <c r="GE850" s="11">
        <v>134</v>
      </c>
      <c r="GF850" s="11">
        <v>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D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4:CB5"/>
    <mergeCell ref="CC4:CC5"/>
    <mergeCell ref="CD4:CD5"/>
    <mergeCell ref="CE3:CR4"/>
    <mergeCell ref="CS3:GA4"/>
    <mergeCell ref="GB3:GF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44"/>
    <mergeCell ref="BD16:BD44"/>
    <mergeCell ref="BE16:BE44"/>
    <mergeCell ref="BF16:BF44"/>
    <mergeCell ref="BG16:BG44"/>
    <mergeCell ref="BH16:BH44"/>
    <mergeCell ref="BC49:BC51"/>
    <mergeCell ref="BD49:BD51"/>
    <mergeCell ref="BE49:BE51"/>
    <mergeCell ref="BF49:BF51"/>
    <mergeCell ref="BG49:BG51"/>
    <mergeCell ref="BH49:BH51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1:BC70"/>
    <mergeCell ref="BD61:BD70"/>
    <mergeCell ref="BE61:BE70"/>
    <mergeCell ref="BF61:BF70"/>
    <mergeCell ref="BG61:BG70"/>
    <mergeCell ref="BH61:BH70"/>
    <mergeCell ref="BC71:BC75"/>
    <mergeCell ref="BD71:BD75"/>
    <mergeCell ref="BE71:BE75"/>
    <mergeCell ref="BF71:BF75"/>
    <mergeCell ref="BG71:BG75"/>
    <mergeCell ref="BH71:BH75"/>
    <mergeCell ref="BC76:BC85"/>
    <mergeCell ref="BD76:BD85"/>
    <mergeCell ref="BE76:BE85"/>
    <mergeCell ref="BF76:BF85"/>
    <mergeCell ref="BG76:BG85"/>
    <mergeCell ref="BH76:BH85"/>
    <mergeCell ref="BC91:BC95"/>
    <mergeCell ref="BD91:BD95"/>
    <mergeCell ref="BE91:BE95"/>
    <mergeCell ref="BF91:BF95"/>
    <mergeCell ref="BG91:BG95"/>
    <mergeCell ref="BH91:BH95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12:BC115"/>
    <mergeCell ref="BD112:BD115"/>
    <mergeCell ref="BE112:BE115"/>
    <mergeCell ref="BF112:BF115"/>
    <mergeCell ref="BG112:BG115"/>
    <mergeCell ref="BH112:BH115"/>
    <mergeCell ref="BC116:BC117"/>
    <mergeCell ref="BD116:BD117"/>
    <mergeCell ref="BE116:BE117"/>
    <mergeCell ref="BF116:BF117"/>
    <mergeCell ref="BG116:BG117"/>
    <mergeCell ref="BH116:BH117"/>
    <mergeCell ref="BC118:BC121"/>
    <mergeCell ref="BD118:BD121"/>
    <mergeCell ref="BE118:BE121"/>
    <mergeCell ref="BF118:BF121"/>
    <mergeCell ref="BG118:BG121"/>
    <mergeCell ref="BH118:BH121"/>
    <mergeCell ref="BC125:BC126"/>
    <mergeCell ref="BD125:BD126"/>
    <mergeCell ref="BE125:BE126"/>
    <mergeCell ref="BF125:BF126"/>
    <mergeCell ref="BG125:BG126"/>
    <mergeCell ref="BH125:BH126"/>
    <mergeCell ref="BC130:BC131"/>
    <mergeCell ref="BD130:BD131"/>
    <mergeCell ref="BE130:BE131"/>
    <mergeCell ref="BF130:BF131"/>
    <mergeCell ref="BG130:BG131"/>
    <mergeCell ref="BH130:BH131"/>
    <mergeCell ref="BC134:BC145"/>
    <mergeCell ref="BD134:BD145"/>
    <mergeCell ref="BE134:BE145"/>
    <mergeCell ref="BF134:BF145"/>
    <mergeCell ref="BG134:BG145"/>
    <mergeCell ref="BH134:BH145"/>
    <mergeCell ref="BC146:BC167"/>
    <mergeCell ref="BD146:BD167"/>
    <mergeCell ref="BE146:BE167"/>
    <mergeCell ref="BF146:BF167"/>
    <mergeCell ref="BG146:BG167"/>
    <mergeCell ref="BH146:BH167"/>
    <mergeCell ref="BC168:BC175"/>
    <mergeCell ref="BD168:BD175"/>
    <mergeCell ref="BE168:BE175"/>
    <mergeCell ref="BF168:BF175"/>
    <mergeCell ref="BG168:BG175"/>
    <mergeCell ref="BH168:BH175"/>
    <mergeCell ref="BC179:BC180"/>
    <mergeCell ref="BD179:BD180"/>
    <mergeCell ref="BE179:BE180"/>
    <mergeCell ref="BF179:BF180"/>
    <mergeCell ref="BG179:BG180"/>
    <mergeCell ref="BH179:BH180"/>
    <mergeCell ref="BC181:BC189"/>
    <mergeCell ref="BD181:BD189"/>
    <mergeCell ref="BE181:BE189"/>
    <mergeCell ref="BF181:BF189"/>
    <mergeCell ref="BG181:BG189"/>
    <mergeCell ref="BH181:BH189"/>
    <mergeCell ref="BC190:BC195"/>
    <mergeCell ref="BD190:BD195"/>
    <mergeCell ref="BE190:BE195"/>
    <mergeCell ref="BF190:BF195"/>
    <mergeCell ref="BG190:BG195"/>
    <mergeCell ref="BH190:BH195"/>
    <mergeCell ref="BC196:BC197"/>
    <mergeCell ref="BD196:BD197"/>
    <mergeCell ref="BE196:BE197"/>
    <mergeCell ref="BF196:BF197"/>
    <mergeCell ref="BG196:BG197"/>
    <mergeCell ref="BH196:BH197"/>
    <mergeCell ref="BC200:BC201"/>
    <mergeCell ref="BD200:BD201"/>
    <mergeCell ref="BE200:BE201"/>
    <mergeCell ref="BF200:BF201"/>
    <mergeCell ref="BG200:BG201"/>
    <mergeCell ref="BH200:BH201"/>
    <mergeCell ref="BC203:BC205"/>
    <mergeCell ref="BD203:BD205"/>
    <mergeCell ref="BE203:BE205"/>
    <mergeCell ref="BF203:BF205"/>
    <mergeCell ref="BG203:BG205"/>
    <mergeCell ref="BH203:BH205"/>
    <mergeCell ref="BC210:BC213"/>
    <mergeCell ref="BD210:BD213"/>
    <mergeCell ref="BE210:BE213"/>
    <mergeCell ref="BF210:BF213"/>
    <mergeCell ref="BG210:BG213"/>
    <mergeCell ref="BH210:BH213"/>
    <mergeCell ref="BC214:BC216"/>
    <mergeCell ref="BD214:BD216"/>
    <mergeCell ref="BE214:BE216"/>
    <mergeCell ref="BF214:BF216"/>
    <mergeCell ref="BG214:BG216"/>
    <mergeCell ref="BH214:BH216"/>
    <mergeCell ref="BC217:BC220"/>
    <mergeCell ref="BD217:BD220"/>
    <mergeCell ref="BE217:BE220"/>
    <mergeCell ref="BF217:BF220"/>
    <mergeCell ref="BG217:BG220"/>
    <mergeCell ref="BH217:BH220"/>
    <mergeCell ref="BC221:BC233"/>
    <mergeCell ref="BD221:BD233"/>
    <mergeCell ref="BE221:BE233"/>
    <mergeCell ref="BF221:BF233"/>
    <mergeCell ref="BG221:BG233"/>
    <mergeCell ref="BH221:BH233"/>
    <mergeCell ref="BC235:BC241"/>
    <mergeCell ref="BD235:BD241"/>
    <mergeCell ref="BE235:BE241"/>
    <mergeCell ref="BF235:BF241"/>
    <mergeCell ref="BG235:BG241"/>
    <mergeCell ref="BH235:BH241"/>
    <mergeCell ref="BC243:BC247"/>
    <mergeCell ref="BD243:BD247"/>
    <mergeCell ref="BE243:BE247"/>
    <mergeCell ref="BF243:BF247"/>
    <mergeCell ref="BG243:BG247"/>
    <mergeCell ref="BH243:BH247"/>
    <mergeCell ref="BC250:BC278"/>
    <mergeCell ref="BD250:BD278"/>
    <mergeCell ref="BE250:BE278"/>
    <mergeCell ref="BF250:BF278"/>
    <mergeCell ref="BG250:BG278"/>
    <mergeCell ref="BH250:BH278"/>
    <mergeCell ref="BC279:BC282"/>
    <mergeCell ref="BD279:BD282"/>
    <mergeCell ref="BE279:BE282"/>
    <mergeCell ref="BF279:BF282"/>
    <mergeCell ref="BG279:BG282"/>
    <mergeCell ref="BH279:BH282"/>
    <mergeCell ref="BC283:BC285"/>
    <mergeCell ref="BD283:BD285"/>
    <mergeCell ref="BE283:BE285"/>
    <mergeCell ref="BF283:BF285"/>
    <mergeCell ref="BG283:BG285"/>
    <mergeCell ref="BH283:BH285"/>
    <mergeCell ref="BC292:BC294"/>
    <mergeCell ref="BD292:BD294"/>
    <mergeCell ref="BE292:BE294"/>
    <mergeCell ref="BF292:BF294"/>
    <mergeCell ref="BG292:BG294"/>
    <mergeCell ref="BH292:BH294"/>
    <mergeCell ref="BC295:BC298"/>
    <mergeCell ref="BD295:BD298"/>
    <mergeCell ref="BE295:BE298"/>
    <mergeCell ref="BF295:BF298"/>
    <mergeCell ref="BG295:BG298"/>
    <mergeCell ref="BH295:BH298"/>
    <mergeCell ref="BC300:BC305"/>
    <mergeCell ref="BD300:BD305"/>
    <mergeCell ref="BE300:BE305"/>
    <mergeCell ref="BF300:BF305"/>
    <mergeCell ref="BG300:BG305"/>
    <mergeCell ref="BH300:BH305"/>
    <mergeCell ref="BC308:BC339"/>
    <mergeCell ref="BD308:BD339"/>
    <mergeCell ref="BE308:BE339"/>
    <mergeCell ref="BF308:BF339"/>
    <mergeCell ref="BG308:BG339"/>
    <mergeCell ref="BH308:BH339"/>
    <mergeCell ref="BC342:BC343"/>
    <mergeCell ref="BD342:BD343"/>
    <mergeCell ref="BE342:BE343"/>
    <mergeCell ref="BF342:BF343"/>
    <mergeCell ref="BG342:BG343"/>
    <mergeCell ref="BH342:BH343"/>
    <mergeCell ref="BC344:BC353"/>
    <mergeCell ref="BD344:BD353"/>
    <mergeCell ref="BE344:BE353"/>
    <mergeCell ref="BF344:BF353"/>
    <mergeCell ref="BG344:BG353"/>
    <mergeCell ref="BH344:BH353"/>
    <mergeCell ref="BC360:BC365"/>
    <mergeCell ref="BD360:BD365"/>
    <mergeCell ref="BE360:BE365"/>
    <mergeCell ref="BF360:BF365"/>
    <mergeCell ref="BG360:BG365"/>
    <mergeCell ref="BH360:BH365"/>
    <mergeCell ref="BC366:BC383"/>
    <mergeCell ref="BD366:BD383"/>
    <mergeCell ref="BE366:BE383"/>
    <mergeCell ref="BF366:BF383"/>
    <mergeCell ref="BG366:BG383"/>
    <mergeCell ref="BH366:BH383"/>
    <mergeCell ref="BC384:BC385"/>
    <mergeCell ref="BD384:BD385"/>
    <mergeCell ref="BE384:BE385"/>
    <mergeCell ref="BF384:BF385"/>
    <mergeCell ref="BG384:BG385"/>
    <mergeCell ref="BH384:BH385"/>
    <mergeCell ref="BC386:BC387"/>
    <mergeCell ref="BD386:BD387"/>
    <mergeCell ref="BE386:BE387"/>
    <mergeCell ref="BF386:BF387"/>
    <mergeCell ref="BG386:BG387"/>
    <mergeCell ref="BH386:BH387"/>
    <mergeCell ref="BC392:BC393"/>
    <mergeCell ref="BD392:BD393"/>
    <mergeCell ref="BE392:BE393"/>
    <mergeCell ref="BF392:BF393"/>
    <mergeCell ref="BG392:BG393"/>
    <mergeCell ref="BH392:BH393"/>
    <mergeCell ref="BC395:BC396"/>
    <mergeCell ref="BD395:BD396"/>
    <mergeCell ref="BE395:BE396"/>
    <mergeCell ref="BF395:BF396"/>
    <mergeCell ref="BG395:BG396"/>
    <mergeCell ref="BH395:BH396"/>
    <mergeCell ref="BC398:BC399"/>
    <mergeCell ref="BD398:BD399"/>
    <mergeCell ref="BE398:BE399"/>
    <mergeCell ref="BF398:BF399"/>
    <mergeCell ref="BG398:BG399"/>
    <mergeCell ref="BH398:BH399"/>
    <mergeCell ref="BC402:BC406"/>
    <mergeCell ref="BD402:BD406"/>
    <mergeCell ref="BE402:BE406"/>
    <mergeCell ref="BF402:BF406"/>
    <mergeCell ref="BG402:BG406"/>
    <mergeCell ref="BH402:BH406"/>
    <mergeCell ref="BC408:BC409"/>
    <mergeCell ref="BD408:BD409"/>
    <mergeCell ref="BE408:BE409"/>
    <mergeCell ref="BF408:BF409"/>
    <mergeCell ref="BG408:BG409"/>
    <mergeCell ref="BH408:BH409"/>
    <mergeCell ref="BC411:BC415"/>
    <mergeCell ref="BD411:BD415"/>
    <mergeCell ref="BE411:BE415"/>
    <mergeCell ref="BF411:BF415"/>
    <mergeCell ref="BG411:BG415"/>
    <mergeCell ref="BH411:BH415"/>
    <mergeCell ref="BC421:BC423"/>
    <mergeCell ref="BD421:BD423"/>
    <mergeCell ref="BE421:BE423"/>
    <mergeCell ref="BF421:BF423"/>
    <mergeCell ref="BG421:BG423"/>
    <mergeCell ref="BH421:BH423"/>
    <mergeCell ref="BC424:BC429"/>
    <mergeCell ref="BD424:BD429"/>
    <mergeCell ref="BE424:BE429"/>
    <mergeCell ref="BF424:BF429"/>
    <mergeCell ref="BG424:BG429"/>
    <mergeCell ref="BH424:BH429"/>
    <mergeCell ref="BC430:BC433"/>
    <mergeCell ref="BD430:BD433"/>
    <mergeCell ref="BE430:BE433"/>
    <mergeCell ref="BF430:BF433"/>
    <mergeCell ref="BG430:BG433"/>
    <mergeCell ref="BH430:BH433"/>
    <mergeCell ref="BC434:BC445"/>
    <mergeCell ref="BD434:BD445"/>
    <mergeCell ref="BE434:BE445"/>
    <mergeCell ref="BF434:BF445"/>
    <mergeCell ref="BG434:BG445"/>
    <mergeCell ref="BH434:BH445"/>
    <mergeCell ref="BC446:BC463"/>
    <mergeCell ref="BD446:BD463"/>
    <mergeCell ref="BE446:BE463"/>
    <mergeCell ref="BF446:BF463"/>
    <mergeCell ref="BG446:BG463"/>
    <mergeCell ref="BH446:BH463"/>
    <mergeCell ref="BC464:BC473"/>
    <mergeCell ref="BD464:BD473"/>
    <mergeCell ref="BE464:BE473"/>
    <mergeCell ref="BF464:BF473"/>
    <mergeCell ref="BG464:BG473"/>
    <mergeCell ref="BH464:BH473"/>
    <mergeCell ref="BC474:BC475"/>
    <mergeCell ref="BD474:BD475"/>
    <mergeCell ref="BE474:BE475"/>
    <mergeCell ref="BF474:BF475"/>
    <mergeCell ref="BG474:BG475"/>
    <mergeCell ref="BH474:BH475"/>
    <mergeCell ref="BC476:BC477"/>
    <mergeCell ref="BD476:BD477"/>
    <mergeCell ref="BE476:BE477"/>
    <mergeCell ref="BF476:BF477"/>
    <mergeCell ref="BG476:BG477"/>
    <mergeCell ref="BH476:BH477"/>
    <mergeCell ref="BC478:BC479"/>
    <mergeCell ref="BD478:BD479"/>
    <mergeCell ref="BE478:BE479"/>
    <mergeCell ref="BF478:BF479"/>
    <mergeCell ref="BG478:BG479"/>
    <mergeCell ref="BH478:BH479"/>
    <mergeCell ref="BC489:BC493"/>
    <mergeCell ref="BD489:BD493"/>
    <mergeCell ref="BE489:BE493"/>
    <mergeCell ref="BF489:BF493"/>
    <mergeCell ref="BG489:BG493"/>
    <mergeCell ref="BH489:BH493"/>
    <mergeCell ref="BC496:BC500"/>
    <mergeCell ref="BD496:BD500"/>
    <mergeCell ref="BE496:BE500"/>
    <mergeCell ref="BF496:BF500"/>
    <mergeCell ref="BG496:BG500"/>
    <mergeCell ref="BH496:BH500"/>
    <mergeCell ref="BC501:BC503"/>
    <mergeCell ref="BD501:BD503"/>
    <mergeCell ref="BE501:BE503"/>
    <mergeCell ref="BF501:BF503"/>
    <mergeCell ref="BG501:BG503"/>
    <mergeCell ref="BH501:BH503"/>
    <mergeCell ref="BC509:BC511"/>
    <mergeCell ref="BD509:BD511"/>
    <mergeCell ref="BE509:BE511"/>
    <mergeCell ref="BF509:BF511"/>
    <mergeCell ref="BG509:BG511"/>
    <mergeCell ref="BH509:BH511"/>
    <mergeCell ref="BC512:BC515"/>
    <mergeCell ref="BD512:BD515"/>
    <mergeCell ref="BE512:BE515"/>
    <mergeCell ref="BF512:BF515"/>
    <mergeCell ref="BG512:BG515"/>
    <mergeCell ref="BH512:BH515"/>
    <mergeCell ref="BC516:BC518"/>
    <mergeCell ref="BD516:BD518"/>
    <mergeCell ref="BE516:BE518"/>
    <mergeCell ref="BF516:BF518"/>
    <mergeCell ref="BG516:BG518"/>
    <mergeCell ref="BH516:BH518"/>
    <mergeCell ref="BC519:BC520"/>
    <mergeCell ref="BD519:BD520"/>
    <mergeCell ref="BE519:BE520"/>
    <mergeCell ref="BF519:BF520"/>
    <mergeCell ref="BG519:BG520"/>
    <mergeCell ref="BH519:BH520"/>
    <mergeCell ref="BC521:BC530"/>
    <mergeCell ref="BD521:BD530"/>
    <mergeCell ref="BE521:BE530"/>
    <mergeCell ref="BF521:BF530"/>
    <mergeCell ref="BG521:BG530"/>
    <mergeCell ref="BH521:BH530"/>
    <mergeCell ref="BC532:BC533"/>
    <mergeCell ref="BD532:BD533"/>
    <mergeCell ref="BE532:BE533"/>
    <mergeCell ref="BF532:BF533"/>
    <mergeCell ref="BG532:BG533"/>
    <mergeCell ref="BH532:BH533"/>
    <mergeCell ref="BC536:BC541"/>
    <mergeCell ref="BD536:BD541"/>
    <mergeCell ref="BE536:BE541"/>
    <mergeCell ref="BF536:BF541"/>
    <mergeCell ref="BG536:BG541"/>
    <mergeCell ref="BH536:BH541"/>
    <mergeCell ref="BC544:BC545"/>
    <mergeCell ref="BD544:BD545"/>
    <mergeCell ref="BE544:BE545"/>
    <mergeCell ref="BF544:BF545"/>
    <mergeCell ref="BG544:BG545"/>
    <mergeCell ref="BH544:BH545"/>
    <mergeCell ref="BC546:BC547"/>
    <mergeCell ref="BD546:BD547"/>
    <mergeCell ref="BE546:BE547"/>
    <mergeCell ref="BF546:BF547"/>
    <mergeCell ref="BG546:BG547"/>
    <mergeCell ref="BH546:BH547"/>
    <mergeCell ref="BC548:BC549"/>
    <mergeCell ref="BD548:BD549"/>
    <mergeCell ref="BE548:BE549"/>
    <mergeCell ref="BF548:BF549"/>
    <mergeCell ref="BG548:BG549"/>
    <mergeCell ref="BH548:BH549"/>
    <mergeCell ref="BC552:BC555"/>
    <mergeCell ref="BD552:BD555"/>
    <mergeCell ref="BE552:BE555"/>
    <mergeCell ref="BF552:BF555"/>
    <mergeCell ref="BG552:BG555"/>
    <mergeCell ref="BH552:BH555"/>
    <mergeCell ref="BC556:BC557"/>
    <mergeCell ref="BD556:BD557"/>
    <mergeCell ref="BE556:BE557"/>
    <mergeCell ref="BF556:BF557"/>
    <mergeCell ref="BG556:BG557"/>
    <mergeCell ref="BH556:BH557"/>
    <mergeCell ref="BC558:BC560"/>
    <mergeCell ref="BD558:BD560"/>
    <mergeCell ref="BE558:BE560"/>
    <mergeCell ref="BF558:BF560"/>
    <mergeCell ref="BG558:BG560"/>
    <mergeCell ref="BH558:BH560"/>
    <mergeCell ref="BC561:BC563"/>
    <mergeCell ref="BD561:BD563"/>
    <mergeCell ref="BE561:BE563"/>
    <mergeCell ref="BF561:BF563"/>
    <mergeCell ref="BG561:BG563"/>
    <mergeCell ref="BH561:BH563"/>
    <mergeCell ref="BC565:BC589"/>
    <mergeCell ref="BD565:BD589"/>
    <mergeCell ref="BE565:BE589"/>
    <mergeCell ref="BF565:BF589"/>
    <mergeCell ref="BG565:BG589"/>
    <mergeCell ref="BH565:BH589"/>
    <mergeCell ref="BC590:BC619"/>
    <mergeCell ref="BD590:BD619"/>
    <mergeCell ref="BE590:BE619"/>
    <mergeCell ref="BF590:BF619"/>
    <mergeCell ref="BG590:BG619"/>
    <mergeCell ref="BH590:BH619"/>
    <mergeCell ref="BC622:BC625"/>
    <mergeCell ref="BD622:BD625"/>
    <mergeCell ref="BE622:BE625"/>
    <mergeCell ref="BF622:BF625"/>
    <mergeCell ref="BG622:BG625"/>
    <mergeCell ref="BH622:BH625"/>
    <mergeCell ref="BC626:BC630"/>
    <mergeCell ref="BD626:BD630"/>
    <mergeCell ref="BE626:BE630"/>
    <mergeCell ref="BF626:BF630"/>
    <mergeCell ref="BG626:BG630"/>
    <mergeCell ref="BH626:BH630"/>
    <mergeCell ref="BC631:BC635"/>
    <mergeCell ref="BD631:BD635"/>
    <mergeCell ref="BE631:BE635"/>
    <mergeCell ref="BF631:BF635"/>
    <mergeCell ref="BG631:BG635"/>
    <mergeCell ref="BH631:BH635"/>
    <mergeCell ref="BC638:BC639"/>
    <mergeCell ref="BD638:BD639"/>
    <mergeCell ref="BE638:BE639"/>
    <mergeCell ref="BF638:BF639"/>
    <mergeCell ref="BG638:BG639"/>
    <mergeCell ref="BH638:BH639"/>
    <mergeCell ref="BC642:BC643"/>
    <mergeCell ref="BD642:BD643"/>
    <mergeCell ref="BE642:BE643"/>
    <mergeCell ref="BF642:BF643"/>
    <mergeCell ref="BG642:BG643"/>
    <mergeCell ref="BH642:BH643"/>
    <mergeCell ref="BC645:BC647"/>
    <mergeCell ref="BD645:BD647"/>
    <mergeCell ref="BE645:BE647"/>
    <mergeCell ref="BF645:BF647"/>
    <mergeCell ref="BG645:BG647"/>
    <mergeCell ref="BH645:BH647"/>
    <mergeCell ref="BC648:BC649"/>
    <mergeCell ref="BD648:BD649"/>
    <mergeCell ref="BE648:BE649"/>
    <mergeCell ref="BF648:BF649"/>
    <mergeCell ref="BG648:BG649"/>
    <mergeCell ref="BH648:BH649"/>
    <mergeCell ref="BC652:BC659"/>
    <mergeCell ref="BD652:BD659"/>
    <mergeCell ref="BE652:BE659"/>
    <mergeCell ref="BF652:BF659"/>
    <mergeCell ref="BG652:BG659"/>
    <mergeCell ref="BH652:BH659"/>
    <mergeCell ref="BC660:BC663"/>
    <mergeCell ref="BD660:BD663"/>
    <mergeCell ref="BE660:BE663"/>
    <mergeCell ref="BF660:BF663"/>
    <mergeCell ref="BG660:BG663"/>
    <mergeCell ref="BH660:BH663"/>
    <mergeCell ref="BC664:BC668"/>
    <mergeCell ref="BD664:BD668"/>
    <mergeCell ref="BE664:BE668"/>
    <mergeCell ref="BF664:BF668"/>
    <mergeCell ref="BG664:BG668"/>
    <mergeCell ref="BH664:BH668"/>
    <mergeCell ref="BC671:BC672"/>
    <mergeCell ref="BD671:BD672"/>
    <mergeCell ref="BE671:BE672"/>
    <mergeCell ref="BF671:BF672"/>
    <mergeCell ref="BG671:BG672"/>
    <mergeCell ref="BH671:BH672"/>
    <mergeCell ref="BC674:BC676"/>
    <mergeCell ref="BD674:BD676"/>
    <mergeCell ref="BE674:BE676"/>
    <mergeCell ref="BF674:BF676"/>
    <mergeCell ref="BG674:BG676"/>
    <mergeCell ref="BH674:BH676"/>
    <mergeCell ref="BC677:BC678"/>
    <mergeCell ref="BD677:BD678"/>
    <mergeCell ref="BE677:BE678"/>
    <mergeCell ref="BF677:BF678"/>
    <mergeCell ref="BG677:BG678"/>
    <mergeCell ref="BH677:BH678"/>
    <mergeCell ref="BC679:BC685"/>
    <mergeCell ref="BD679:BD685"/>
    <mergeCell ref="BE679:BE685"/>
    <mergeCell ref="BF679:BF685"/>
    <mergeCell ref="BG679:BG685"/>
    <mergeCell ref="BH679:BH685"/>
    <mergeCell ref="BC686:BC688"/>
    <mergeCell ref="BD686:BD688"/>
    <mergeCell ref="BE686:BE688"/>
    <mergeCell ref="BF686:BF688"/>
    <mergeCell ref="BG686:BG688"/>
    <mergeCell ref="BH686:BH688"/>
    <mergeCell ref="BC691:BC694"/>
    <mergeCell ref="BD691:BD694"/>
    <mergeCell ref="BE691:BE694"/>
    <mergeCell ref="BF691:BF694"/>
    <mergeCell ref="BG691:BG694"/>
    <mergeCell ref="BH691:BH694"/>
    <mergeCell ref="BC695:BC698"/>
    <mergeCell ref="BD695:BD698"/>
    <mergeCell ref="BE695:BE698"/>
    <mergeCell ref="BF695:BF698"/>
    <mergeCell ref="BG695:BG698"/>
    <mergeCell ref="BH695:BH698"/>
    <mergeCell ref="BC700:BC710"/>
    <mergeCell ref="BD700:BD710"/>
    <mergeCell ref="BE700:BE710"/>
    <mergeCell ref="BF700:BF710"/>
    <mergeCell ref="BG700:BG710"/>
    <mergeCell ref="BH700:BH710"/>
    <mergeCell ref="BC711:BC713"/>
    <mergeCell ref="BD711:BD713"/>
    <mergeCell ref="BE711:BE713"/>
    <mergeCell ref="BF711:BF713"/>
    <mergeCell ref="BG711:BG713"/>
    <mergeCell ref="BH711:BH713"/>
    <mergeCell ref="BC714:BC715"/>
    <mergeCell ref="BD714:BD715"/>
    <mergeCell ref="BE714:BE715"/>
    <mergeCell ref="BF714:BF715"/>
    <mergeCell ref="BG714:BG715"/>
    <mergeCell ref="BH714:BH715"/>
    <mergeCell ref="BC717:BC719"/>
    <mergeCell ref="BD717:BD719"/>
    <mergeCell ref="BE717:BE719"/>
    <mergeCell ref="BF717:BF719"/>
    <mergeCell ref="BG717:BG719"/>
    <mergeCell ref="BH717:BH719"/>
    <mergeCell ref="BC722:BC726"/>
    <mergeCell ref="BD722:BD726"/>
    <mergeCell ref="BE722:BE726"/>
    <mergeCell ref="BF722:BF726"/>
    <mergeCell ref="BG722:BG726"/>
    <mergeCell ref="BH722:BH726"/>
    <mergeCell ref="BC727:BC732"/>
    <mergeCell ref="BD727:BD732"/>
    <mergeCell ref="BE727:BE732"/>
    <mergeCell ref="BF727:BF732"/>
    <mergeCell ref="BG727:BG732"/>
    <mergeCell ref="BH727:BH732"/>
    <mergeCell ref="BC734:BC739"/>
    <mergeCell ref="BD734:BD739"/>
    <mergeCell ref="BE734:BE739"/>
    <mergeCell ref="BF734:BF739"/>
    <mergeCell ref="BG734:BG739"/>
    <mergeCell ref="BH734:BH739"/>
    <mergeCell ref="BC740:BC741"/>
    <mergeCell ref="BD740:BD741"/>
    <mergeCell ref="BE740:BE741"/>
    <mergeCell ref="BF740:BF741"/>
    <mergeCell ref="BG740:BG741"/>
    <mergeCell ref="BH740:BH741"/>
    <mergeCell ref="BC744:BC750"/>
    <mergeCell ref="BD744:BD750"/>
    <mergeCell ref="BE744:BE750"/>
    <mergeCell ref="BF744:BF750"/>
    <mergeCell ref="BG744:BG750"/>
    <mergeCell ref="BH744:BH750"/>
    <mergeCell ref="BC756:BC757"/>
    <mergeCell ref="BD756:BD757"/>
    <mergeCell ref="BE756:BE757"/>
    <mergeCell ref="BF756:BF757"/>
    <mergeCell ref="BG756:BG757"/>
    <mergeCell ref="BH756:BH757"/>
    <mergeCell ref="BC760:BC761"/>
    <mergeCell ref="BD760:BD761"/>
    <mergeCell ref="BE760:BE761"/>
    <mergeCell ref="BF760:BF761"/>
    <mergeCell ref="BG760:BG761"/>
    <mergeCell ref="BH760:BH761"/>
    <mergeCell ref="BC762:BC766"/>
    <mergeCell ref="BD762:BD766"/>
    <mergeCell ref="BE762:BE766"/>
    <mergeCell ref="BF762:BF766"/>
    <mergeCell ref="BG762:BG766"/>
    <mergeCell ref="BH762:BH766"/>
    <mergeCell ref="BC767:BC768"/>
    <mergeCell ref="BD767:BD768"/>
    <mergeCell ref="BE767:BE768"/>
    <mergeCell ref="BF767:BF768"/>
    <mergeCell ref="BG767:BG768"/>
    <mergeCell ref="BH767:BH768"/>
    <mergeCell ref="BC769:BC779"/>
    <mergeCell ref="BD769:BD779"/>
    <mergeCell ref="BE769:BE779"/>
    <mergeCell ref="BF769:BF779"/>
    <mergeCell ref="BG769:BG779"/>
    <mergeCell ref="BH769:BH779"/>
    <mergeCell ref="BC783:BC787"/>
    <mergeCell ref="BD783:BD787"/>
    <mergeCell ref="BE783:BE787"/>
    <mergeCell ref="BF783:BF787"/>
    <mergeCell ref="BG783:BG787"/>
    <mergeCell ref="BH783:BH787"/>
    <mergeCell ref="BC791:BC792"/>
    <mergeCell ref="BD791:BD792"/>
    <mergeCell ref="BE791:BE792"/>
    <mergeCell ref="BF791:BF792"/>
    <mergeCell ref="BG791:BG792"/>
    <mergeCell ref="BH791:BH792"/>
    <mergeCell ref="BC793:BC795"/>
    <mergeCell ref="BD793:BD795"/>
    <mergeCell ref="BE793:BE795"/>
    <mergeCell ref="BF793:BF795"/>
    <mergeCell ref="BG793:BG795"/>
    <mergeCell ref="BH793:BH795"/>
    <mergeCell ref="BC798:BC809"/>
    <mergeCell ref="BD798:BD809"/>
    <mergeCell ref="BE798:BE809"/>
    <mergeCell ref="BF798:BF809"/>
    <mergeCell ref="BG798:BG809"/>
    <mergeCell ref="BH798:BH809"/>
    <mergeCell ref="BC810:BC812"/>
    <mergeCell ref="BD810:BD812"/>
    <mergeCell ref="BE810:BE812"/>
    <mergeCell ref="BF810:BF812"/>
    <mergeCell ref="BG810:BG812"/>
    <mergeCell ref="BH810:BH812"/>
    <mergeCell ref="BC813:BC815"/>
    <mergeCell ref="BD813:BD815"/>
    <mergeCell ref="BE813:BE815"/>
    <mergeCell ref="BF813:BF815"/>
    <mergeCell ref="BG813:BG815"/>
    <mergeCell ref="BH813:BH815"/>
    <mergeCell ref="BC823:BC824"/>
    <mergeCell ref="BD823:BD824"/>
    <mergeCell ref="BE823:BE824"/>
    <mergeCell ref="BF823:BF824"/>
    <mergeCell ref="BG823:BG824"/>
    <mergeCell ref="BH823:BH824"/>
    <mergeCell ref="BC827:BC830"/>
    <mergeCell ref="BD827:BD830"/>
    <mergeCell ref="BE827:BE830"/>
    <mergeCell ref="BF827:BF830"/>
    <mergeCell ref="BG827:BG830"/>
    <mergeCell ref="BH827:BH830"/>
    <mergeCell ref="BC832:BC837"/>
    <mergeCell ref="BD832:BD837"/>
    <mergeCell ref="BE832:BE837"/>
    <mergeCell ref="BF832:BF837"/>
    <mergeCell ref="BG832:BG837"/>
    <mergeCell ref="BH832:BH837"/>
    <mergeCell ref="BC845:BC846"/>
    <mergeCell ref="BD845:BD846"/>
    <mergeCell ref="BE845:BE846"/>
    <mergeCell ref="BF845:BF846"/>
    <mergeCell ref="BG845:BG846"/>
    <mergeCell ref="BH845:BH846"/>
    <mergeCell ref="BC847:BC849"/>
    <mergeCell ref="BD847:BD849"/>
    <mergeCell ref="BE847:BE849"/>
    <mergeCell ref="BF847:BF849"/>
    <mergeCell ref="BG847:BG849"/>
    <mergeCell ref="BH847:BH849"/>
    <mergeCell ref="AV6:AV7"/>
    <mergeCell ref="AW6:AW7"/>
    <mergeCell ref="AX6:AX7"/>
    <mergeCell ref="AY6:AY7"/>
    <mergeCell ref="AZ6:AZ7"/>
    <mergeCell ref="BA6:BA7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20"/>
    <mergeCell ref="AW16:AW20"/>
    <mergeCell ref="AX16:AX20"/>
    <mergeCell ref="AY16:AY20"/>
    <mergeCell ref="AZ16:AZ20"/>
    <mergeCell ref="BA16:BA20"/>
    <mergeCell ref="AV21:AV24"/>
    <mergeCell ref="AW21:AW24"/>
    <mergeCell ref="AX21:AX24"/>
    <mergeCell ref="AY21:AY24"/>
    <mergeCell ref="AZ21:AZ24"/>
    <mergeCell ref="BA21:BA24"/>
    <mergeCell ref="AV25:AV28"/>
    <mergeCell ref="AW25:AW28"/>
    <mergeCell ref="AX25:AX28"/>
    <mergeCell ref="AY25:AY28"/>
    <mergeCell ref="AZ25:AZ28"/>
    <mergeCell ref="BA25:BA28"/>
    <mergeCell ref="AV29:AV33"/>
    <mergeCell ref="AW29:AW33"/>
    <mergeCell ref="AX29:AX33"/>
    <mergeCell ref="AY29:AY33"/>
    <mergeCell ref="AZ29:AZ33"/>
    <mergeCell ref="BA29:BA33"/>
    <mergeCell ref="AV34:AV37"/>
    <mergeCell ref="AW34:AW37"/>
    <mergeCell ref="AX34:AX37"/>
    <mergeCell ref="AY34:AY37"/>
    <mergeCell ref="AZ34:AZ37"/>
    <mergeCell ref="BA34:BA37"/>
    <mergeCell ref="AV38:AV42"/>
    <mergeCell ref="AW38:AW42"/>
    <mergeCell ref="AX38:AX42"/>
    <mergeCell ref="AY38:AY42"/>
    <mergeCell ref="AZ38:AZ42"/>
    <mergeCell ref="BA38:BA42"/>
    <mergeCell ref="AV43:AV44"/>
    <mergeCell ref="AW43:AW44"/>
    <mergeCell ref="AX43:AX44"/>
    <mergeCell ref="AY43:AY44"/>
    <mergeCell ref="AZ43:AZ44"/>
    <mergeCell ref="BA43:BA44"/>
    <mergeCell ref="AV56:AV57"/>
    <mergeCell ref="AW56:AW57"/>
    <mergeCell ref="AX56:AX57"/>
    <mergeCell ref="AY56:AY57"/>
    <mergeCell ref="AZ56:AZ57"/>
    <mergeCell ref="BA56:BA57"/>
    <mergeCell ref="AV62:AV63"/>
    <mergeCell ref="AW62:AW63"/>
    <mergeCell ref="AX62:AX63"/>
    <mergeCell ref="AY62:AY63"/>
    <mergeCell ref="AZ62:AZ63"/>
    <mergeCell ref="BA62:BA63"/>
    <mergeCell ref="AV68:AV70"/>
    <mergeCell ref="AW68:AW70"/>
    <mergeCell ref="AX68:AX70"/>
    <mergeCell ref="AY68:AY70"/>
    <mergeCell ref="AZ68:AZ70"/>
    <mergeCell ref="BA68:BA70"/>
    <mergeCell ref="AV71:AV72"/>
    <mergeCell ref="AW71:AW72"/>
    <mergeCell ref="AX71:AX72"/>
    <mergeCell ref="AY71:AY72"/>
    <mergeCell ref="AZ71:AZ72"/>
    <mergeCell ref="BA71:BA72"/>
    <mergeCell ref="AV76:AV77"/>
    <mergeCell ref="AW76:AW77"/>
    <mergeCell ref="AX76:AX77"/>
    <mergeCell ref="AY76:AY77"/>
    <mergeCell ref="AZ76:AZ77"/>
    <mergeCell ref="BA76:BA77"/>
    <mergeCell ref="AV78:AV80"/>
    <mergeCell ref="AW78:AW80"/>
    <mergeCell ref="AX78:AX80"/>
    <mergeCell ref="AY78:AY80"/>
    <mergeCell ref="AZ78:AZ80"/>
    <mergeCell ref="BA78:BA80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91:AV93"/>
    <mergeCell ref="AW91:AW93"/>
    <mergeCell ref="AX91:AX93"/>
    <mergeCell ref="AY91:AY93"/>
    <mergeCell ref="AZ91:AZ93"/>
    <mergeCell ref="BA91:BA93"/>
    <mergeCell ref="AV94:AV95"/>
    <mergeCell ref="AW94:AW95"/>
    <mergeCell ref="AX94:AX95"/>
    <mergeCell ref="AY94:AY95"/>
    <mergeCell ref="AZ94:AZ95"/>
    <mergeCell ref="BA94:BA95"/>
    <mergeCell ref="AV109:AV110"/>
    <mergeCell ref="AW109:AW110"/>
    <mergeCell ref="AX109:AX110"/>
    <mergeCell ref="AY109:AY110"/>
    <mergeCell ref="AZ109:AZ110"/>
    <mergeCell ref="BA109:BA110"/>
    <mergeCell ref="AV112:AV113"/>
    <mergeCell ref="AW112:AW113"/>
    <mergeCell ref="AX112:AX113"/>
    <mergeCell ref="AY112:AY113"/>
    <mergeCell ref="AZ112:AZ113"/>
    <mergeCell ref="BA112:BA113"/>
    <mergeCell ref="AV114:AV115"/>
    <mergeCell ref="AW114:AW115"/>
    <mergeCell ref="AX114:AX115"/>
    <mergeCell ref="AY114:AY115"/>
    <mergeCell ref="AZ114:AZ115"/>
    <mergeCell ref="BA114:BA115"/>
    <mergeCell ref="AV125:AV126"/>
    <mergeCell ref="AW125:AW126"/>
    <mergeCell ref="AX125:AX126"/>
    <mergeCell ref="AY125:AY126"/>
    <mergeCell ref="AZ125:AZ126"/>
    <mergeCell ref="BA125:BA126"/>
    <mergeCell ref="AV135:AV136"/>
    <mergeCell ref="AW135:AW136"/>
    <mergeCell ref="AX135:AX136"/>
    <mergeCell ref="AY135:AY136"/>
    <mergeCell ref="AZ135:AZ136"/>
    <mergeCell ref="BA135:BA136"/>
    <mergeCell ref="AV137:AV138"/>
    <mergeCell ref="AW137:AW138"/>
    <mergeCell ref="AX137:AX138"/>
    <mergeCell ref="AY137:AY138"/>
    <mergeCell ref="AZ137:AZ138"/>
    <mergeCell ref="BA137:BA138"/>
    <mergeCell ref="AV139:AV141"/>
    <mergeCell ref="AW139:AW141"/>
    <mergeCell ref="AX139:AX141"/>
    <mergeCell ref="AY139:AY141"/>
    <mergeCell ref="AZ139:AZ141"/>
    <mergeCell ref="BA139:BA141"/>
    <mergeCell ref="AV142:AV145"/>
    <mergeCell ref="AW142:AW145"/>
    <mergeCell ref="AX142:AX145"/>
    <mergeCell ref="AY142:AY145"/>
    <mergeCell ref="AZ142:AZ145"/>
    <mergeCell ref="BA142:BA145"/>
    <mergeCell ref="AV146:AV147"/>
    <mergeCell ref="AW146:AW147"/>
    <mergeCell ref="AX146:AX147"/>
    <mergeCell ref="AY146:AY147"/>
    <mergeCell ref="AZ146:AZ147"/>
    <mergeCell ref="BA146:BA147"/>
    <mergeCell ref="AV148:AV150"/>
    <mergeCell ref="AW148:AW150"/>
    <mergeCell ref="AX148:AX150"/>
    <mergeCell ref="AY148:AY150"/>
    <mergeCell ref="AZ148:AZ150"/>
    <mergeCell ref="BA148:BA150"/>
    <mergeCell ref="AV151:AV154"/>
    <mergeCell ref="AW151:AW154"/>
    <mergeCell ref="AX151:AX154"/>
    <mergeCell ref="AY151:AY154"/>
    <mergeCell ref="AZ151:AZ154"/>
    <mergeCell ref="BA151:BA154"/>
    <mergeCell ref="AV157:AV158"/>
    <mergeCell ref="AW157:AW158"/>
    <mergeCell ref="AX157:AX158"/>
    <mergeCell ref="AY157:AY158"/>
    <mergeCell ref="AZ157:AZ158"/>
    <mergeCell ref="BA157:BA158"/>
    <mergeCell ref="AV159:AV162"/>
    <mergeCell ref="AW159:AW162"/>
    <mergeCell ref="AX159:AX162"/>
    <mergeCell ref="AY159:AY162"/>
    <mergeCell ref="AZ159:AZ162"/>
    <mergeCell ref="BA159:BA162"/>
    <mergeCell ref="AV163:AV167"/>
    <mergeCell ref="AW163:AW167"/>
    <mergeCell ref="AX163:AX167"/>
    <mergeCell ref="AY163:AY167"/>
    <mergeCell ref="AZ163:AZ167"/>
    <mergeCell ref="BA163:BA167"/>
    <mergeCell ref="AV181:AV182"/>
    <mergeCell ref="AW181:AW182"/>
    <mergeCell ref="AX181:AX182"/>
    <mergeCell ref="AY181:AY182"/>
    <mergeCell ref="AZ181:AZ182"/>
    <mergeCell ref="BA181:BA182"/>
    <mergeCell ref="AV184:AV186"/>
    <mergeCell ref="AW184:AW186"/>
    <mergeCell ref="AX184:AX186"/>
    <mergeCell ref="AY184:AY186"/>
    <mergeCell ref="AZ184:AZ186"/>
    <mergeCell ref="BA184:BA186"/>
    <mergeCell ref="AV188:AV189"/>
    <mergeCell ref="AW188:AW189"/>
    <mergeCell ref="AX188:AX189"/>
    <mergeCell ref="AY188:AY189"/>
    <mergeCell ref="AZ188:AZ189"/>
    <mergeCell ref="BA188:BA189"/>
    <mergeCell ref="AV191:AV193"/>
    <mergeCell ref="AW191:AW193"/>
    <mergeCell ref="AX191:AX193"/>
    <mergeCell ref="AY191:AY193"/>
    <mergeCell ref="AZ191:AZ193"/>
    <mergeCell ref="BA191:BA193"/>
    <mergeCell ref="AV194:AV195"/>
    <mergeCell ref="AW194:AW195"/>
    <mergeCell ref="AX194:AX195"/>
    <mergeCell ref="AY194:AY195"/>
    <mergeCell ref="AZ194:AZ195"/>
    <mergeCell ref="BA194:BA195"/>
    <mergeCell ref="AV196:AV197"/>
    <mergeCell ref="AW196:AW197"/>
    <mergeCell ref="AX196:AX197"/>
    <mergeCell ref="AY196:AY197"/>
    <mergeCell ref="AZ196:AZ197"/>
    <mergeCell ref="BA196:BA197"/>
    <mergeCell ref="AV203:AV205"/>
    <mergeCell ref="AW203:AW205"/>
    <mergeCell ref="AX203:AX205"/>
    <mergeCell ref="AY203:AY205"/>
    <mergeCell ref="AZ203:AZ205"/>
    <mergeCell ref="BA203:BA205"/>
    <mergeCell ref="AV210:AV212"/>
    <mergeCell ref="AW210:AW212"/>
    <mergeCell ref="AX210:AX212"/>
    <mergeCell ref="AY210:AY212"/>
    <mergeCell ref="AZ210:AZ212"/>
    <mergeCell ref="BA210:BA212"/>
    <mergeCell ref="AV218:AV219"/>
    <mergeCell ref="AW218:AW219"/>
    <mergeCell ref="AX218:AX219"/>
    <mergeCell ref="AY218:AY219"/>
    <mergeCell ref="AZ218:AZ219"/>
    <mergeCell ref="BA218:BA219"/>
    <mergeCell ref="AV221:AV227"/>
    <mergeCell ref="AW221:AW227"/>
    <mergeCell ref="AX221:AX227"/>
    <mergeCell ref="AY221:AY227"/>
    <mergeCell ref="AZ221:AZ227"/>
    <mergeCell ref="BA221:BA227"/>
    <mergeCell ref="AV228:AV233"/>
    <mergeCell ref="AW228:AW233"/>
    <mergeCell ref="AX228:AX233"/>
    <mergeCell ref="AY228:AY233"/>
    <mergeCell ref="AZ228:AZ233"/>
    <mergeCell ref="BA228:BA233"/>
    <mergeCell ref="AV235:AV236"/>
    <mergeCell ref="AW235:AW236"/>
    <mergeCell ref="AX235:AX236"/>
    <mergeCell ref="AY235:AY236"/>
    <mergeCell ref="AZ235:AZ236"/>
    <mergeCell ref="BA235:BA236"/>
    <mergeCell ref="AV237:AV239"/>
    <mergeCell ref="AW237:AW239"/>
    <mergeCell ref="AX237:AX239"/>
    <mergeCell ref="AY237:AY239"/>
    <mergeCell ref="AZ237:AZ239"/>
    <mergeCell ref="BA237:BA239"/>
    <mergeCell ref="AV246:AV247"/>
    <mergeCell ref="AW246:AW247"/>
    <mergeCell ref="AX246:AX247"/>
    <mergeCell ref="AY246:AY247"/>
    <mergeCell ref="AZ246:AZ247"/>
    <mergeCell ref="BA246:BA247"/>
    <mergeCell ref="AV250:AV252"/>
    <mergeCell ref="AW250:AW252"/>
    <mergeCell ref="AX250:AX252"/>
    <mergeCell ref="AY250:AY252"/>
    <mergeCell ref="AZ250:AZ252"/>
    <mergeCell ref="BA250:BA252"/>
    <mergeCell ref="AV256:AV259"/>
    <mergeCell ref="AW256:AW259"/>
    <mergeCell ref="AX256:AX259"/>
    <mergeCell ref="AY256:AY259"/>
    <mergeCell ref="AZ256:AZ259"/>
    <mergeCell ref="BA256:BA259"/>
    <mergeCell ref="AV260:AV261"/>
    <mergeCell ref="AW260:AW261"/>
    <mergeCell ref="AX260:AX261"/>
    <mergeCell ref="AY260:AY261"/>
    <mergeCell ref="AZ260:AZ261"/>
    <mergeCell ref="BA260:BA261"/>
    <mergeCell ref="AV264:AV265"/>
    <mergeCell ref="AW264:AW265"/>
    <mergeCell ref="AX264:AX265"/>
    <mergeCell ref="AY264:AY265"/>
    <mergeCell ref="AZ264:AZ265"/>
    <mergeCell ref="BA264:BA265"/>
    <mergeCell ref="AV267:AV268"/>
    <mergeCell ref="AW267:AW268"/>
    <mergeCell ref="AX267:AX268"/>
    <mergeCell ref="AY267:AY268"/>
    <mergeCell ref="AZ267:AZ268"/>
    <mergeCell ref="BA267:BA268"/>
    <mergeCell ref="AV269:AV270"/>
    <mergeCell ref="AW269:AW270"/>
    <mergeCell ref="AX269:AX270"/>
    <mergeCell ref="AY269:AY270"/>
    <mergeCell ref="AZ269:AZ270"/>
    <mergeCell ref="BA269:BA270"/>
    <mergeCell ref="AV271:AV272"/>
    <mergeCell ref="AW271:AW272"/>
    <mergeCell ref="AX271:AX272"/>
    <mergeCell ref="AY271:AY272"/>
    <mergeCell ref="AZ271:AZ272"/>
    <mergeCell ref="BA271:BA272"/>
    <mergeCell ref="AV274:AV276"/>
    <mergeCell ref="AW274:AW276"/>
    <mergeCell ref="AX274:AX276"/>
    <mergeCell ref="AY274:AY276"/>
    <mergeCell ref="AZ274:AZ276"/>
    <mergeCell ref="BA274:BA276"/>
    <mergeCell ref="AV280:AV281"/>
    <mergeCell ref="AW280:AW281"/>
    <mergeCell ref="AX280:AX281"/>
    <mergeCell ref="AY280:AY281"/>
    <mergeCell ref="AZ280:AZ281"/>
    <mergeCell ref="BA280:BA281"/>
    <mergeCell ref="AV292:AV294"/>
    <mergeCell ref="AW292:AW294"/>
    <mergeCell ref="AX292:AX294"/>
    <mergeCell ref="AY292:AY294"/>
    <mergeCell ref="AZ292:AZ294"/>
    <mergeCell ref="BA292:BA294"/>
    <mergeCell ref="AV295:AV296"/>
    <mergeCell ref="AW295:AW296"/>
    <mergeCell ref="AX295:AX296"/>
    <mergeCell ref="AY295:AY296"/>
    <mergeCell ref="AZ295:AZ296"/>
    <mergeCell ref="BA295:BA296"/>
    <mergeCell ref="AV308:AV313"/>
    <mergeCell ref="AW308:AW313"/>
    <mergeCell ref="AX308:AX313"/>
    <mergeCell ref="AY308:AY313"/>
    <mergeCell ref="AZ308:AZ313"/>
    <mergeCell ref="BA308:BA313"/>
    <mergeCell ref="AV314:AV316"/>
    <mergeCell ref="AW314:AW316"/>
    <mergeCell ref="AX314:AX316"/>
    <mergeCell ref="AY314:AY316"/>
    <mergeCell ref="AZ314:AZ316"/>
    <mergeCell ref="BA314:BA316"/>
    <mergeCell ref="AV317:AV319"/>
    <mergeCell ref="AW317:AW319"/>
    <mergeCell ref="AX317:AX319"/>
    <mergeCell ref="AY317:AY319"/>
    <mergeCell ref="AZ317:AZ319"/>
    <mergeCell ref="BA317:BA319"/>
    <mergeCell ref="AV320:AV321"/>
    <mergeCell ref="AW320:AW321"/>
    <mergeCell ref="AX320:AX321"/>
    <mergeCell ref="AY320:AY321"/>
    <mergeCell ref="AZ320:AZ321"/>
    <mergeCell ref="BA320:BA321"/>
    <mergeCell ref="AV322:AV323"/>
    <mergeCell ref="AW322:AW323"/>
    <mergeCell ref="AX322:AX323"/>
    <mergeCell ref="AY322:AY323"/>
    <mergeCell ref="AZ322:AZ323"/>
    <mergeCell ref="BA322:BA323"/>
    <mergeCell ref="AV324:AV326"/>
    <mergeCell ref="AW324:AW326"/>
    <mergeCell ref="AX324:AX326"/>
    <mergeCell ref="AY324:AY326"/>
    <mergeCell ref="AZ324:AZ326"/>
    <mergeCell ref="BA324:BA326"/>
    <mergeCell ref="AV327:AV328"/>
    <mergeCell ref="AW327:AW328"/>
    <mergeCell ref="AX327:AX328"/>
    <mergeCell ref="AY327:AY328"/>
    <mergeCell ref="AZ327:AZ328"/>
    <mergeCell ref="BA327:BA328"/>
    <mergeCell ref="AV329:AV332"/>
    <mergeCell ref="AW329:AW332"/>
    <mergeCell ref="AX329:AX332"/>
    <mergeCell ref="AY329:AY332"/>
    <mergeCell ref="AZ329:AZ332"/>
    <mergeCell ref="BA329:BA332"/>
    <mergeCell ref="AV333:AV336"/>
    <mergeCell ref="AW333:AW336"/>
    <mergeCell ref="AX333:AX336"/>
    <mergeCell ref="AY333:AY336"/>
    <mergeCell ref="AZ333:AZ336"/>
    <mergeCell ref="BA333:BA336"/>
    <mergeCell ref="AV337:AV339"/>
    <mergeCell ref="AW337:AW339"/>
    <mergeCell ref="AX337:AX339"/>
    <mergeCell ref="AY337:AY339"/>
    <mergeCell ref="AZ337:AZ339"/>
    <mergeCell ref="BA337:BA339"/>
    <mergeCell ref="AV344:AV345"/>
    <mergeCell ref="AW344:AW345"/>
    <mergeCell ref="AX344:AX345"/>
    <mergeCell ref="AY344:AY345"/>
    <mergeCell ref="AZ344:AZ345"/>
    <mergeCell ref="BA344:BA345"/>
    <mergeCell ref="AV346:AV347"/>
    <mergeCell ref="AW346:AW347"/>
    <mergeCell ref="AX346:AX347"/>
    <mergeCell ref="AY346:AY347"/>
    <mergeCell ref="AZ346:AZ347"/>
    <mergeCell ref="BA346:BA347"/>
    <mergeCell ref="AV350:AV351"/>
    <mergeCell ref="AW350:AW351"/>
    <mergeCell ref="AX350:AX351"/>
    <mergeCell ref="AY350:AY351"/>
    <mergeCell ref="AZ350:AZ351"/>
    <mergeCell ref="BA350:BA351"/>
    <mergeCell ref="AV361:AV362"/>
    <mergeCell ref="AW361:AW362"/>
    <mergeCell ref="AX361:AX362"/>
    <mergeCell ref="AY361:AY362"/>
    <mergeCell ref="AZ361:AZ362"/>
    <mergeCell ref="BA361:BA362"/>
    <mergeCell ref="AV366:AV369"/>
    <mergeCell ref="AW366:AW369"/>
    <mergeCell ref="AX366:AX369"/>
    <mergeCell ref="AY366:AY369"/>
    <mergeCell ref="AZ366:AZ369"/>
    <mergeCell ref="BA366:BA369"/>
    <mergeCell ref="AV370:AV373"/>
    <mergeCell ref="AW370:AW373"/>
    <mergeCell ref="AX370:AX373"/>
    <mergeCell ref="AY370:AY373"/>
    <mergeCell ref="AZ370:AZ373"/>
    <mergeCell ref="BA370:BA373"/>
    <mergeCell ref="AV375:AV379"/>
    <mergeCell ref="AW375:AW379"/>
    <mergeCell ref="AX375:AX379"/>
    <mergeCell ref="AY375:AY379"/>
    <mergeCell ref="AZ375:AZ379"/>
    <mergeCell ref="BA375:BA379"/>
    <mergeCell ref="AV380:AV383"/>
    <mergeCell ref="AW380:AW383"/>
    <mergeCell ref="AX380:AX383"/>
    <mergeCell ref="AY380:AY383"/>
    <mergeCell ref="AZ380:AZ383"/>
    <mergeCell ref="BA380:BA383"/>
    <mergeCell ref="AV398:AV399"/>
    <mergeCell ref="AW398:AW399"/>
    <mergeCell ref="AX398:AX399"/>
    <mergeCell ref="AY398:AY399"/>
    <mergeCell ref="AZ398:AZ399"/>
    <mergeCell ref="BA398:BA399"/>
    <mergeCell ref="AV404:AV405"/>
    <mergeCell ref="AW404:AW405"/>
    <mergeCell ref="AX404:AX405"/>
    <mergeCell ref="AY404:AY405"/>
    <mergeCell ref="AZ404:AZ405"/>
    <mergeCell ref="BA404:BA405"/>
    <mergeCell ref="AV411:AV412"/>
    <mergeCell ref="AW411:AW412"/>
    <mergeCell ref="AX411:AX412"/>
    <mergeCell ref="AY411:AY412"/>
    <mergeCell ref="AZ411:AZ412"/>
    <mergeCell ref="BA411:BA412"/>
    <mergeCell ref="AV413:AV415"/>
    <mergeCell ref="AW413:AW415"/>
    <mergeCell ref="AX413:AX415"/>
    <mergeCell ref="AY413:AY415"/>
    <mergeCell ref="AZ413:AZ415"/>
    <mergeCell ref="BA413:BA415"/>
    <mergeCell ref="AV421:AV423"/>
    <mergeCell ref="AW421:AW423"/>
    <mergeCell ref="AX421:AX423"/>
    <mergeCell ref="AY421:AY423"/>
    <mergeCell ref="AZ421:AZ423"/>
    <mergeCell ref="BA421:BA423"/>
    <mergeCell ref="AV424:AV425"/>
    <mergeCell ref="AW424:AW425"/>
    <mergeCell ref="AX424:AX425"/>
    <mergeCell ref="AY424:AY425"/>
    <mergeCell ref="AZ424:AZ425"/>
    <mergeCell ref="BA424:BA425"/>
    <mergeCell ref="AV426:AV427"/>
    <mergeCell ref="AW426:AW427"/>
    <mergeCell ref="AX426:AX427"/>
    <mergeCell ref="AY426:AY427"/>
    <mergeCell ref="AZ426:AZ427"/>
    <mergeCell ref="BA426:BA427"/>
    <mergeCell ref="AV428:AV429"/>
    <mergeCell ref="AW428:AW429"/>
    <mergeCell ref="AX428:AX429"/>
    <mergeCell ref="AY428:AY429"/>
    <mergeCell ref="AZ428:AZ429"/>
    <mergeCell ref="BA428:BA429"/>
    <mergeCell ref="AV430:AV431"/>
    <mergeCell ref="AW430:AW431"/>
    <mergeCell ref="AX430:AX431"/>
    <mergeCell ref="AY430:AY431"/>
    <mergeCell ref="AZ430:AZ431"/>
    <mergeCell ref="BA430:BA431"/>
    <mergeCell ref="AV432:AV433"/>
    <mergeCell ref="AW432:AW433"/>
    <mergeCell ref="AX432:AX433"/>
    <mergeCell ref="AY432:AY433"/>
    <mergeCell ref="AZ432:AZ433"/>
    <mergeCell ref="BA432:BA433"/>
    <mergeCell ref="AV434:AV437"/>
    <mergeCell ref="AW434:AW437"/>
    <mergeCell ref="AX434:AX437"/>
    <mergeCell ref="AY434:AY437"/>
    <mergeCell ref="AZ434:AZ437"/>
    <mergeCell ref="BA434:BA437"/>
    <mergeCell ref="AV438:AV442"/>
    <mergeCell ref="AW438:AW442"/>
    <mergeCell ref="AX438:AX442"/>
    <mergeCell ref="AY438:AY442"/>
    <mergeCell ref="AZ438:AZ442"/>
    <mergeCell ref="BA438:BA442"/>
    <mergeCell ref="AV443:AV445"/>
    <mergeCell ref="AW443:AW445"/>
    <mergeCell ref="AX443:AX445"/>
    <mergeCell ref="AY443:AY445"/>
    <mergeCell ref="AZ443:AZ445"/>
    <mergeCell ref="BA443:BA445"/>
    <mergeCell ref="AV446:AV448"/>
    <mergeCell ref="AW446:AW448"/>
    <mergeCell ref="AX446:AX448"/>
    <mergeCell ref="AY446:AY448"/>
    <mergeCell ref="AZ446:AZ448"/>
    <mergeCell ref="BA446:BA448"/>
    <mergeCell ref="AV449:AV451"/>
    <mergeCell ref="AW449:AW451"/>
    <mergeCell ref="AX449:AX451"/>
    <mergeCell ref="AY449:AY451"/>
    <mergeCell ref="AZ449:AZ451"/>
    <mergeCell ref="BA449:BA451"/>
    <mergeCell ref="AV452:AV454"/>
    <mergeCell ref="AW452:AW454"/>
    <mergeCell ref="AX452:AX454"/>
    <mergeCell ref="AY452:AY454"/>
    <mergeCell ref="AZ452:AZ454"/>
    <mergeCell ref="BA452:BA454"/>
    <mergeCell ref="AV455:AV457"/>
    <mergeCell ref="AW455:AW457"/>
    <mergeCell ref="AX455:AX457"/>
    <mergeCell ref="AY455:AY457"/>
    <mergeCell ref="AZ455:AZ457"/>
    <mergeCell ref="BA455:BA457"/>
    <mergeCell ref="AV458:AV460"/>
    <mergeCell ref="AW458:AW460"/>
    <mergeCell ref="AX458:AX460"/>
    <mergeCell ref="AY458:AY460"/>
    <mergeCell ref="AZ458:AZ460"/>
    <mergeCell ref="BA458:BA460"/>
    <mergeCell ref="AV461:AV463"/>
    <mergeCell ref="AW461:AW463"/>
    <mergeCell ref="AX461:AX463"/>
    <mergeCell ref="AY461:AY463"/>
    <mergeCell ref="AZ461:AZ463"/>
    <mergeCell ref="BA461:BA463"/>
    <mergeCell ref="AV464:AV466"/>
    <mergeCell ref="AW464:AW466"/>
    <mergeCell ref="AX464:AX466"/>
    <mergeCell ref="AY464:AY466"/>
    <mergeCell ref="AZ464:AZ466"/>
    <mergeCell ref="BA464:BA466"/>
    <mergeCell ref="AV467:AV470"/>
    <mergeCell ref="AW467:AW470"/>
    <mergeCell ref="AX467:AX470"/>
    <mergeCell ref="AY467:AY470"/>
    <mergeCell ref="AZ467:AZ470"/>
    <mergeCell ref="BA467:BA470"/>
    <mergeCell ref="AV471:AV472"/>
    <mergeCell ref="AW471:AW472"/>
    <mergeCell ref="AX471:AX472"/>
    <mergeCell ref="AY471:AY472"/>
    <mergeCell ref="AZ471:AZ472"/>
    <mergeCell ref="BA471:BA472"/>
    <mergeCell ref="AV474:AV475"/>
    <mergeCell ref="AW474:AW475"/>
    <mergeCell ref="AX474:AX475"/>
    <mergeCell ref="AY474:AY475"/>
    <mergeCell ref="AZ474:AZ475"/>
    <mergeCell ref="BA474:BA475"/>
    <mergeCell ref="AV489:AV490"/>
    <mergeCell ref="AW489:AW490"/>
    <mergeCell ref="AX489:AX490"/>
    <mergeCell ref="AY489:AY490"/>
    <mergeCell ref="AZ489:AZ490"/>
    <mergeCell ref="BA489:BA490"/>
    <mergeCell ref="AV491:AV493"/>
    <mergeCell ref="AW491:AW493"/>
    <mergeCell ref="AX491:AX493"/>
    <mergeCell ref="AY491:AY493"/>
    <mergeCell ref="AZ491:AZ493"/>
    <mergeCell ref="BA491:BA493"/>
    <mergeCell ref="AV498:AV500"/>
    <mergeCell ref="AW498:AW500"/>
    <mergeCell ref="AX498:AX500"/>
    <mergeCell ref="AY498:AY500"/>
    <mergeCell ref="AZ498:AZ500"/>
    <mergeCell ref="BA498:BA500"/>
    <mergeCell ref="AV501:AV503"/>
    <mergeCell ref="AW501:AW503"/>
    <mergeCell ref="AX501:AX503"/>
    <mergeCell ref="AY501:AY503"/>
    <mergeCell ref="AZ501:AZ503"/>
    <mergeCell ref="BA501:BA503"/>
    <mergeCell ref="AV514:AV515"/>
    <mergeCell ref="AW514:AW515"/>
    <mergeCell ref="AX514:AX515"/>
    <mergeCell ref="AY514:AY515"/>
    <mergeCell ref="AZ514:AZ515"/>
    <mergeCell ref="BA514:BA515"/>
    <mergeCell ref="AV522:AV525"/>
    <mergeCell ref="AW522:AW525"/>
    <mergeCell ref="AX522:AX525"/>
    <mergeCell ref="AY522:AY525"/>
    <mergeCell ref="AZ522:AZ525"/>
    <mergeCell ref="BA522:BA525"/>
    <mergeCell ref="AV529:AV530"/>
    <mergeCell ref="AW529:AW530"/>
    <mergeCell ref="AX529:AX530"/>
    <mergeCell ref="AY529:AY530"/>
    <mergeCell ref="AZ529:AZ530"/>
    <mergeCell ref="BA529:BA530"/>
    <mergeCell ref="AV536:AV537"/>
    <mergeCell ref="AW536:AW537"/>
    <mergeCell ref="AX536:AX537"/>
    <mergeCell ref="AY536:AY537"/>
    <mergeCell ref="AZ536:AZ537"/>
    <mergeCell ref="BA536:BA537"/>
    <mergeCell ref="AV539:AV541"/>
    <mergeCell ref="AW539:AW541"/>
    <mergeCell ref="AX539:AX541"/>
    <mergeCell ref="AY539:AY541"/>
    <mergeCell ref="AZ539:AZ541"/>
    <mergeCell ref="BA539:BA541"/>
    <mergeCell ref="AV546:AV547"/>
    <mergeCell ref="AW546:AW547"/>
    <mergeCell ref="AX546:AX547"/>
    <mergeCell ref="AY546:AY547"/>
    <mergeCell ref="AZ546:AZ547"/>
    <mergeCell ref="BA546:BA547"/>
    <mergeCell ref="AV552:AV553"/>
    <mergeCell ref="AW552:AW553"/>
    <mergeCell ref="AX552:AX553"/>
    <mergeCell ref="AY552:AY553"/>
    <mergeCell ref="AZ552:AZ553"/>
    <mergeCell ref="BA552:BA553"/>
    <mergeCell ref="AV556:AV557"/>
    <mergeCell ref="AW556:AW557"/>
    <mergeCell ref="AX556:AX557"/>
    <mergeCell ref="AY556:AY557"/>
    <mergeCell ref="AZ556:AZ557"/>
    <mergeCell ref="BA556:BA557"/>
    <mergeCell ref="AV559:AV560"/>
    <mergeCell ref="AW559:AW560"/>
    <mergeCell ref="AX559:AX560"/>
    <mergeCell ref="AY559:AY560"/>
    <mergeCell ref="AZ559:AZ560"/>
    <mergeCell ref="BA559:BA560"/>
    <mergeCell ref="AV561:AV562"/>
    <mergeCell ref="AW561:AW562"/>
    <mergeCell ref="AX561:AX562"/>
    <mergeCell ref="AY561:AY562"/>
    <mergeCell ref="AZ561:AZ562"/>
    <mergeCell ref="BA561:BA562"/>
    <mergeCell ref="AV565:AV567"/>
    <mergeCell ref="AW565:AW567"/>
    <mergeCell ref="AX565:AX567"/>
    <mergeCell ref="AY565:AY567"/>
    <mergeCell ref="AZ565:AZ567"/>
    <mergeCell ref="BA565:BA567"/>
    <mergeCell ref="AV569:AV570"/>
    <mergeCell ref="AW569:AW570"/>
    <mergeCell ref="AX569:AX570"/>
    <mergeCell ref="AY569:AY570"/>
    <mergeCell ref="AZ569:AZ570"/>
    <mergeCell ref="BA569:BA570"/>
    <mergeCell ref="AV571:AV572"/>
    <mergeCell ref="AW571:AW572"/>
    <mergeCell ref="AX571:AX572"/>
    <mergeCell ref="AY571:AY572"/>
    <mergeCell ref="AZ571:AZ572"/>
    <mergeCell ref="BA571:BA572"/>
    <mergeCell ref="AV573:AV575"/>
    <mergeCell ref="AW573:AW575"/>
    <mergeCell ref="AX573:AX575"/>
    <mergeCell ref="AY573:AY575"/>
    <mergeCell ref="AZ573:AZ575"/>
    <mergeCell ref="BA573:BA575"/>
    <mergeCell ref="AV576:AV578"/>
    <mergeCell ref="AW576:AW578"/>
    <mergeCell ref="AX576:AX578"/>
    <mergeCell ref="AY576:AY578"/>
    <mergeCell ref="AZ576:AZ578"/>
    <mergeCell ref="BA576:BA578"/>
    <mergeCell ref="AV579:AV580"/>
    <mergeCell ref="AW579:AW580"/>
    <mergeCell ref="AX579:AX580"/>
    <mergeCell ref="AY579:AY580"/>
    <mergeCell ref="AZ579:AZ580"/>
    <mergeCell ref="BA579:BA580"/>
    <mergeCell ref="AV582:AV584"/>
    <mergeCell ref="AW582:AW584"/>
    <mergeCell ref="AX582:AX584"/>
    <mergeCell ref="AY582:AY584"/>
    <mergeCell ref="AZ582:AZ584"/>
    <mergeCell ref="BA582:BA584"/>
    <mergeCell ref="AV586:AV587"/>
    <mergeCell ref="AW586:AW587"/>
    <mergeCell ref="AX586:AX587"/>
    <mergeCell ref="AY586:AY587"/>
    <mergeCell ref="AZ586:AZ587"/>
    <mergeCell ref="BA586:BA587"/>
    <mergeCell ref="AV588:AV589"/>
    <mergeCell ref="AW588:AW589"/>
    <mergeCell ref="AX588:AX589"/>
    <mergeCell ref="AY588:AY589"/>
    <mergeCell ref="AZ588:AZ589"/>
    <mergeCell ref="BA588:BA589"/>
    <mergeCell ref="AV590:AV593"/>
    <mergeCell ref="AW590:AW593"/>
    <mergeCell ref="AX590:AX593"/>
    <mergeCell ref="AY590:AY593"/>
    <mergeCell ref="AZ590:AZ593"/>
    <mergeCell ref="BA590:BA593"/>
    <mergeCell ref="AV594:AV596"/>
    <mergeCell ref="AW594:AW596"/>
    <mergeCell ref="AX594:AX596"/>
    <mergeCell ref="AY594:AY596"/>
    <mergeCell ref="AZ594:AZ596"/>
    <mergeCell ref="BA594:BA596"/>
    <mergeCell ref="AV597:AV601"/>
    <mergeCell ref="AW597:AW601"/>
    <mergeCell ref="AX597:AX601"/>
    <mergeCell ref="AY597:AY601"/>
    <mergeCell ref="AZ597:AZ601"/>
    <mergeCell ref="BA597:BA601"/>
    <mergeCell ref="AV602:AV606"/>
    <mergeCell ref="AW602:AW606"/>
    <mergeCell ref="AX602:AX606"/>
    <mergeCell ref="AY602:AY606"/>
    <mergeCell ref="AZ602:AZ606"/>
    <mergeCell ref="BA602:BA606"/>
    <mergeCell ref="AV607:AV610"/>
    <mergeCell ref="AW607:AW610"/>
    <mergeCell ref="AX607:AX610"/>
    <mergeCell ref="AY607:AY610"/>
    <mergeCell ref="AZ607:AZ610"/>
    <mergeCell ref="BA607:BA610"/>
    <mergeCell ref="AV611:AV613"/>
    <mergeCell ref="AW611:AW613"/>
    <mergeCell ref="AX611:AX613"/>
    <mergeCell ref="AY611:AY613"/>
    <mergeCell ref="AZ611:AZ613"/>
    <mergeCell ref="BA611:BA613"/>
    <mergeCell ref="AV614:AV615"/>
    <mergeCell ref="AW614:AW615"/>
    <mergeCell ref="AX614:AX615"/>
    <mergeCell ref="AY614:AY615"/>
    <mergeCell ref="AZ614:AZ615"/>
    <mergeCell ref="BA614:BA615"/>
    <mergeCell ref="AV616:AV619"/>
    <mergeCell ref="AW616:AW619"/>
    <mergeCell ref="AX616:AX619"/>
    <mergeCell ref="AY616:AY619"/>
    <mergeCell ref="AZ616:AZ619"/>
    <mergeCell ref="BA616:BA619"/>
    <mergeCell ref="AV622:AV623"/>
    <mergeCell ref="AW622:AW623"/>
    <mergeCell ref="AX622:AX623"/>
    <mergeCell ref="AY622:AY623"/>
    <mergeCell ref="AZ622:AZ623"/>
    <mergeCell ref="BA622:BA623"/>
    <mergeCell ref="AV626:AV627"/>
    <mergeCell ref="AW626:AW627"/>
    <mergeCell ref="AX626:AX627"/>
    <mergeCell ref="AY626:AY627"/>
    <mergeCell ref="AZ626:AZ627"/>
    <mergeCell ref="BA626:BA627"/>
    <mergeCell ref="AV628:AV629"/>
    <mergeCell ref="AW628:AW629"/>
    <mergeCell ref="AX628:AX629"/>
    <mergeCell ref="AY628:AY629"/>
    <mergeCell ref="AZ628:AZ629"/>
    <mergeCell ref="BA628:BA629"/>
    <mergeCell ref="AV631:AV632"/>
    <mergeCell ref="AW631:AW632"/>
    <mergeCell ref="AX631:AX632"/>
    <mergeCell ref="AY631:AY632"/>
    <mergeCell ref="AZ631:AZ632"/>
    <mergeCell ref="BA631:BA632"/>
    <mergeCell ref="AV633:AV635"/>
    <mergeCell ref="AW633:AW635"/>
    <mergeCell ref="AX633:AX635"/>
    <mergeCell ref="AY633:AY635"/>
    <mergeCell ref="AZ633:AZ635"/>
    <mergeCell ref="BA633:BA635"/>
    <mergeCell ref="AV642:AV643"/>
    <mergeCell ref="AW642:AW643"/>
    <mergeCell ref="AX642:AX643"/>
    <mergeCell ref="AY642:AY643"/>
    <mergeCell ref="AZ642:AZ643"/>
    <mergeCell ref="BA642:BA643"/>
    <mergeCell ref="AV652:AV655"/>
    <mergeCell ref="AW652:AW655"/>
    <mergeCell ref="AX652:AX655"/>
    <mergeCell ref="AY652:AY655"/>
    <mergeCell ref="AZ652:AZ655"/>
    <mergeCell ref="BA652:BA655"/>
    <mergeCell ref="AV656:AV659"/>
    <mergeCell ref="AW656:AW659"/>
    <mergeCell ref="AX656:AX659"/>
    <mergeCell ref="AY656:AY659"/>
    <mergeCell ref="AZ656:AZ659"/>
    <mergeCell ref="BA656:BA659"/>
    <mergeCell ref="AV664:AV665"/>
    <mergeCell ref="AW664:AW665"/>
    <mergeCell ref="AX664:AX665"/>
    <mergeCell ref="AY664:AY665"/>
    <mergeCell ref="AZ664:AZ665"/>
    <mergeCell ref="BA664:BA665"/>
    <mergeCell ref="AV666:AV667"/>
    <mergeCell ref="AW666:AW667"/>
    <mergeCell ref="AX666:AX667"/>
    <mergeCell ref="AY666:AY667"/>
    <mergeCell ref="AZ666:AZ667"/>
    <mergeCell ref="BA666:BA667"/>
    <mergeCell ref="AV671:AV672"/>
    <mergeCell ref="AW671:AW672"/>
    <mergeCell ref="AX671:AX672"/>
    <mergeCell ref="AY671:AY672"/>
    <mergeCell ref="AZ671:AZ672"/>
    <mergeCell ref="BA671:BA672"/>
    <mergeCell ref="AV677:AV678"/>
    <mergeCell ref="AW677:AW678"/>
    <mergeCell ref="AX677:AX678"/>
    <mergeCell ref="AY677:AY678"/>
    <mergeCell ref="AZ677:AZ678"/>
    <mergeCell ref="BA677:BA678"/>
    <mergeCell ref="AV680:AV681"/>
    <mergeCell ref="AW680:AW681"/>
    <mergeCell ref="AX680:AX681"/>
    <mergeCell ref="AY680:AY681"/>
    <mergeCell ref="AZ680:AZ681"/>
    <mergeCell ref="BA680:BA681"/>
    <mergeCell ref="AV683:AV684"/>
    <mergeCell ref="AW683:AW684"/>
    <mergeCell ref="AX683:AX684"/>
    <mergeCell ref="AY683:AY684"/>
    <mergeCell ref="AZ683:AZ684"/>
    <mergeCell ref="BA683:BA684"/>
    <mergeCell ref="AV696:AV697"/>
    <mergeCell ref="AW696:AW697"/>
    <mergeCell ref="AX696:AX697"/>
    <mergeCell ref="AY696:AY697"/>
    <mergeCell ref="AZ696:AZ697"/>
    <mergeCell ref="BA696:BA697"/>
    <mergeCell ref="AV700:AV703"/>
    <mergeCell ref="AW700:AW703"/>
    <mergeCell ref="AX700:AX703"/>
    <mergeCell ref="AY700:AY703"/>
    <mergeCell ref="AZ700:AZ703"/>
    <mergeCell ref="BA700:BA703"/>
    <mergeCell ref="AV707:AV709"/>
    <mergeCell ref="AW707:AW709"/>
    <mergeCell ref="AX707:AX709"/>
    <mergeCell ref="AY707:AY709"/>
    <mergeCell ref="AZ707:AZ709"/>
    <mergeCell ref="BA707:BA709"/>
    <mergeCell ref="AV722:AV724"/>
    <mergeCell ref="AW722:AW724"/>
    <mergeCell ref="AX722:AX724"/>
    <mergeCell ref="AY722:AY724"/>
    <mergeCell ref="AZ722:AZ724"/>
    <mergeCell ref="BA722:BA724"/>
    <mergeCell ref="AV725:AV726"/>
    <mergeCell ref="AW725:AW726"/>
    <mergeCell ref="AX725:AX726"/>
    <mergeCell ref="AY725:AY726"/>
    <mergeCell ref="AZ725:AZ726"/>
    <mergeCell ref="BA725:BA726"/>
    <mergeCell ref="AV727:AV728"/>
    <mergeCell ref="AW727:AW728"/>
    <mergeCell ref="AX727:AX728"/>
    <mergeCell ref="AY727:AY728"/>
    <mergeCell ref="AZ727:AZ728"/>
    <mergeCell ref="BA727:BA728"/>
    <mergeCell ref="AV729:AV730"/>
    <mergeCell ref="AW729:AW730"/>
    <mergeCell ref="AX729:AX730"/>
    <mergeCell ref="AY729:AY730"/>
    <mergeCell ref="AZ729:AZ730"/>
    <mergeCell ref="BA729:BA730"/>
    <mergeCell ref="AV731:AV732"/>
    <mergeCell ref="AW731:AW732"/>
    <mergeCell ref="AX731:AX732"/>
    <mergeCell ref="AY731:AY732"/>
    <mergeCell ref="AZ731:AZ732"/>
    <mergeCell ref="BA731:BA732"/>
    <mergeCell ref="AV737:AV738"/>
    <mergeCell ref="AW737:AW738"/>
    <mergeCell ref="AX737:AX738"/>
    <mergeCell ref="AY737:AY738"/>
    <mergeCell ref="AZ737:AZ738"/>
    <mergeCell ref="BA737:BA738"/>
    <mergeCell ref="AV745:AV746"/>
    <mergeCell ref="AW745:AW746"/>
    <mergeCell ref="AX745:AX746"/>
    <mergeCell ref="AY745:AY746"/>
    <mergeCell ref="AZ745:AZ746"/>
    <mergeCell ref="BA745:BA746"/>
    <mergeCell ref="AV747:AV748"/>
    <mergeCell ref="AW747:AW748"/>
    <mergeCell ref="AX747:AX748"/>
    <mergeCell ref="AY747:AY748"/>
    <mergeCell ref="AZ747:AZ748"/>
    <mergeCell ref="BA747:BA748"/>
    <mergeCell ref="AV756:AV757"/>
    <mergeCell ref="AW756:AW757"/>
    <mergeCell ref="AX756:AX757"/>
    <mergeCell ref="AY756:AY757"/>
    <mergeCell ref="AZ756:AZ757"/>
    <mergeCell ref="BA756:BA757"/>
    <mergeCell ref="AV762:AV764"/>
    <mergeCell ref="AW762:AW764"/>
    <mergeCell ref="AX762:AX764"/>
    <mergeCell ref="AY762:AY764"/>
    <mergeCell ref="AZ762:AZ764"/>
    <mergeCell ref="BA762:BA764"/>
    <mergeCell ref="AV769:AV771"/>
    <mergeCell ref="AW769:AW771"/>
    <mergeCell ref="AX769:AX771"/>
    <mergeCell ref="AY769:AY771"/>
    <mergeCell ref="AZ769:AZ771"/>
    <mergeCell ref="BA769:BA771"/>
    <mergeCell ref="AV772:AV774"/>
    <mergeCell ref="AW772:AW774"/>
    <mergeCell ref="AX772:AX774"/>
    <mergeCell ref="AY772:AY774"/>
    <mergeCell ref="AZ772:AZ774"/>
    <mergeCell ref="BA772:BA774"/>
    <mergeCell ref="AV776:AV779"/>
    <mergeCell ref="AW776:AW779"/>
    <mergeCell ref="AX776:AX779"/>
    <mergeCell ref="AY776:AY779"/>
    <mergeCell ref="AZ776:AZ779"/>
    <mergeCell ref="BA776:BA779"/>
    <mergeCell ref="AV783:AV784"/>
    <mergeCell ref="AW783:AW784"/>
    <mergeCell ref="AX783:AX784"/>
    <mergeCell ref="AY783:AY784"/>
    <mergeCell ref="AZ783:AZ784"/>
    <mergeCell ref="BA783:BA784"/>
    <mergeCell ref="AV791:AV792"/>
    <mergeCell ref="AW791:AW792"/>
    <mergeCell ref="AX791:AX792"/>
    <mergeCell ref="AY791:AY792"/>
    <mergeCell ref="AZ791:AZ792"/>
    <mergeCell ref="BA791:BA792"/>
    <mergeCell ref="AV794:AV795"/>
    <mergeCell ref="AW794:AW795"/>
    <mergeCell ref="AX794:AX795"/>
    <mergeCell ref="AY794:AY795"/>
    <mergeCell ref="AZ794:AZ795"/>
    <mergeCell ref="BA794:BA795"/>
    <mergeCell ref="AV798:AV800"/>
    <mergeCell ref="AW798:AW800"/>
    <mergeCell ref="AX798:AX800"/>
    <mergeCell ref="AY798:AY800"/>
    <mergeCell ref="AZ798:AZ800"/>
    <mergeCell ref="BA798:BA800"/>
    <mergeCell ref="AV801:AV803"/>
    <mergeCell ref="AW801:AW803"/>
    <mergeCell ref="AX801:AX803"/>
    <mergeCell ref="AY801:AY803"/>
    <mergeCell ref="AZ801:AZ803"/>
    <mergeCell ref="BA801:BA803"/>
    <mergeCell ref="AV804:AV805"/>
    <mergeCell ref="AW804:AW805"/>
    <mergeCell ref="AX804:AX805"/>
    <mergeCell ref="AY804:AY805"/>
    <mergeCell ref="AZ804:AZ805"/>
    <mergeCell ref="BA804:BA805"/>
    <mergeCell ref="AV806:AV807"/>
    <mergeCell ref="AW806:AW807"/>
    <mergeCell ref="AX806:AX807"/>
    <mergeCell ref="AY806:AY807"/>
    <mergeCell ref="AZ806:AZ807"/>
    <mergeCell ref="BA806:BA807"/>
    <mergeCell ref="AV808:AV809"/>
    <mergeCell ref="AW808:AW809"/>
    <mergeCell ref="AX808:AX809"/>
    <mergeCell ref="AY808:AY809"/>
    <mergeCell ref="AZ808:AZ809"/>
    <mergeCell ref="BA808:BA809"/>
    <mergeCell ref="AV811:AV812"/>
    <mergeCell ref="AW811:AW812"/>
    <mergeCell ref="AX811:AX812"/>
    <mergeCell ref="AY811:AY812"/>
    <mergeCell ref="AZ811:AZ812"/>
    <mergeCell ref="BA811:BA812"/>
    <mergeCell ref="AV814:AV815"/>
    <mergeCell ref="AW814:AW815"/>
    <mergeCell ref="AX814:AX815"/>
    <mergeCell ref="AY814:AY815"/>
    <mergeCell ref="AZ814:AZ815"/>
    <mergeCell ref="BA814:BA815"/>
    <mergeCell ref="AV823:AV824"/>
    <mergeCell ref="AW823:AW824"/>
    <mergeCell ref="AX823:AX824"/>
    <mergeCell ref="AY823:AY824"/>
    <mergeCell ref="AZ823:AZ824"/>
    <mergeCell ref="BA823:BA824"/>
    <mergeCell ref="AV827:AV830"/>
    <mergeCell ref="AW827:AW830"/>
    <mergeCell ref="AX827:AX830"/>
    <mergeCell ref="AY827:AY830"/>
    <mergeCell ref="AZ827:AZ830"/>
    <mergeCell ref="BA827:BA830"/>
    <mergeCell ref="AV832:AV834"/>
    <mergeCell ref="AW832:AW834"/>
    <mergeCell ref="AX832:AX834"/>
    <mergeCell ref="AY832:AY834"/>
    <mergeCell ref="AZ832:AZ834"/>
    <mergeCell ref="BA832:BA834"/>
    <mergeCell ref="AV836:AV837"/>
    <mergeCell ref="AW836:AW837"/>
    <mergeCell ref="AX836:AX837"/>
    <mergeCell ref="AY836:AY837"/>
    <mergeCell ref="AZ836:AZ837"/>
    <mergeCell ref="BA836:BA837"/>
    <mergeCell ref="BB71:BB72"/>
    <mergeCell ref="BB109:BB110"/>
    <mergeCell ref="BB151:BB152"/>
    <mergeCell ref="BB157:BB158"/>
    <mergeCell ref="BB163:BB164"/>
    <mergeCell ref="BB165:BB166"/>
    <mergeCell ref="BB203:BB204"/>
    <mergeCell ref="BB293:BB294"/>
    <mergeCell ref="BB421:BB422"/>
    <mergeCell ref="BB474:BB475"/>
    <mergeCell ref="BB522:BB523"/>
    <mergeCell ref="BB539:BB540"/>
    <mergeCell ref="BB546:BB547"/>
    <mergeCell ref="BB597:BB598"/>
    <mergeCell ref="BB616:BB617"/>
    <mergeCell ref="BB677:BB678"/>
    <mergeCell ref="BB814:BB8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5261</v>
      </c>
      <c r="C2" s="0" t="s">
        <v>5262</v>
      </c>
      <c r="D2" s="0" t="s">
        <v>5263</v>
      </c>
      <c r="E2" s="0" t="s">
        <v>59</v>
      </c>
    </row>
    <row r="3">
      <c r="A3" s="1" t="s">
        <v>59</v>
      </c>
      <c r="B3" s="1" t="s">
        <v>60</v>
      </c>
      <c r="C3" s="1" t="s">
        <v>61</v>
      </c>
      <c r="D3" s="1" t="s">
        <v>62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59</v>
      </c>
      <c r="B4" s="1" t="s">
        <v>60</v>
      </c>
      <c r="C4" s="1" t="s">
        <v>61</v>
      </c>
      <c r="D4" s="1" t="s">
        <v>62</v>
      </c>
      <c r="E4" s="1" t="s">
        <v>36</v>
      </c>
      <c r="F4" s="1" t="s">
        <v>36</v>
      </c>
      <c r="G4" s="1" t="s">
        <v>37</v>
      </c>
      <c r="H4" s="1" t="s">
        <v>37</v>
      </c>
      <c r="I4" s="1" t="s">
        <v>5264</v>
      </c>
      <c r="J4" s="1" t="s">
        <v>5265</v>
      </c>
      <c r="K4" s="1" t="s">
        <v>36</v>
      </c>
      <c r="L4" s="1" t="s">
        <v>36</v>
      </c>
      <c r="M4" s="1" t="s">
        <v>37</v>
      </c>
      <c r="N4" s="1" t="s">
        <v>37</v>
      </c>
      <c r="O4" s="1" t="s">
        <v>5266</v>
      </c>
      <c r="P4" s="1" t="s">
        <v>5267</v>
      </c>
    </row>
    <row r="5">
      <c r="A5" s="1" t="s">
        <v>59</v>
      </c>
      <c r="B5" s="1" t="s">
        <v>60</v>
      </c>
      <c r="C5" s="1" t="s">
        <v>61</v>
      </c>
      <c r="D5" s="1" t="s">
        <v>62</v>
      </c>
      <c r="E5" s="1" t="s">
        <v>5268</v>
      </c>
      <c r="F5" s="1" t="s">
        <v>5269</v>
      </c>
      <c r="G5" s="1" t="s">
        <v>5268</v>
      </c>
      <c r="H5" s="1" t="s">
        <v>5269</v>
      </c>
      <c r="I5" s="1" t="s">
        <v>5264</v>
      </c>
      <c r="J5" s="1" t="s">
        <v>5265</v>
      </c>
      <c r="K5" s="1" t="s">
        <v>5270</v>
      </c>
      <c r="L5" s="1" t="s">
        <v>5271</v>
      </c>
      <c r="M5" s="1" t="s">
        <v>5270</v>
      </c>
      <c r="N5" s="1" t="s">
        <v>5271</v>
      </c>
      <c r="O5" s="1" t="s">
        <v>5266</v>
      </c>
      <c r="P5" s="1" t="s">
        <v>5267</v>
      </c>
    </row>
    <row r="6">
      <c r="A6" s="2" t="s">
        <v>528</v>
      </c>
      <c r="B6" s="2" t="s">
        <v>828</v>
      </c>
      <c r="C6" s="2" t="s">
        <v>1612</v>
      </c>
      <c r="D6" s="2" t="s">
        <v>4269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  <row r="7">
      <c r="A7" s="2" t="s">
        <v>528</v>
      </c>
      <c r="B7" s="2" t="s">
        <v>941</v>
      </c>
      <c r="C7" s="2" t="s">
        <v>1681</v>
      </c>
      <c r="D7" s="2" t="s">
        <v>1682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  <row r="8">
      <c r="A8" s="2" t="s">
        <v>528</v>
      </c>
      <c r="B8" s="2" t="s">
        <v>941</v>
      </c>
      <c r="C8" s="2" t="s">
        <v>529</v>
      </c>
      <c r="D8" s="2" t="s">
        <v>816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528</v>
      </c>
      <c r="B9" s="2" t="s">
        <v>941</v>
      </c>
      <c r="C9" s="2" t="s">
        <v>1121</v>
      </c>
      <c r="D9" s="2" t="s">
        <v>1122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  <row r="10">
      <c r="A10" s="2" t="s">
        <v>528</v>
      </c>
      <c r="B10" s="2" t="s">
        <v>1708</v>
      </c>
      <c r="C10" s="2" t="s">
        <v>1612</v>
      </c>
      <c r="D10" s="2" t="s">
        <v>3231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528</v>
      </c>
      <c r="B11" s="2" t="s">
        <v>1689</v>
      </c>
      <c r="C11" s="2" t="s">
        <v>529</v>
      </c>
      <c r="D11" s="2" t="s">
        <v>816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  <row r="12">
      <c r="A12" s="2" t="s">
        <v>528</v>
      </c>
      <c r="B12" s="2" t="s">
        <v>1689</v>
      </c>
      <c r="C12" s="2" t="s">
        <v>548</v>
      </c>
      <c r="D12" s="2" t="s">
        <v>549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528</v>
      </c>
      <c r="B13" s="2" t="s">
        <v>462</v>
      </c>
      <c r="C13" s="2" t="s">
        <v>529</v>
      </c>
      <c r="D13" s="2" t="s">
        <v>1134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528</v>
      </c>
      <c r="B14" s="2" t="s">
        <v>462</v>
      </c>
      <c r="C14" s="2" t="s">
        <v>1612</v>
      </c>
      <c r="D14" s="2" t="s">
        <v>3231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528</v>
      </c>
      <c r="B15" s="2" t="s">
        <v>462</v>
      </c>
      <c r="C15" s="2" t="s">
        <v>548</v>
      </c>
      <c r="D15" s="2" t="s">
        <v>579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528</v>
      </c>
      <c r="B16" s="2" t="s">
        <v>287</v>
      </c>
      <c r="C16" s="2" t="s">
        <v>529</v>
      </c>
      <c r="D16" s="2" t="s">
        <v>816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528</v>
      </c>
      <c r="B17" s="2" t="s">
        <v>287</v>
      </c>
      <c r="C17" s="2" t="s">
        <v>1612</v>
      </c>
      <c r="D17" s="2" t="s">
        <v>1613</v>
      </c>
      <c r="E17" s="4" t="s">
        <v>206</v>
      </c>
      <c r="F17" s="8" t="s">
        <v>206</v>
      </c>
      <c r="G17" s="4" t="s">
        <v>206</v>
      </c>
      <c r="H17" s="8" t="s">
        <v>206</v>
      </c>
      <c r="I17" s="7" t="s">
        <v>206</v>
      </c>
      <c r="J17" s="7" t="s">
        <v>206</v>
      </c>
      <c r="K17" s="4"/>
      <c r="L17" s="8"/>
      <c r="M17" s="4"/>
      <c r="N17" s="8"/>
      <c r="O17" s="7"/>
      <c r="P17" s="7"/>
    </row>
    <row r="18">
      <c r="A18" s="2" t="s">
        <v>528</v>
      </c>
      <c r="B18" s="2" t="s">
        <v>287</v>
      </c>
      <c r="C18" s="2" t="s">
        <v>1612</v>
      </c>
      <c r="D18" s="2" t="s">
        <v>3280</v>
      </c>
      <c r="E18" s="4" t="s">
        <v>206</v>
      </c>
      <c r="F18" s="8" t="s">
        <v>206</v>
      </c>
      <c r="G18" s="4" t="s">
        <v>206</v>
      </c>
      <c r="H18" s="8" t="s">
        <v>206</v>
      </c>
      <c r="I18" s="7" t="s">
        <v>206</v>
      </c>
      <c r="J18" s="7" t="s">
        <v>206</v>
      </c>
      <c r="K18" s="4"/>
      <c r="L18" s="8"/>
      <c r="M18" s="4"/>
      <c r="N18" s="8"/>
      <c r="O18" s="7"/>
      <c r="P18" s="7"/>
    </row>
    <row r="19">
      <c r="A19" s="2" t="s">
        <v>528</v>
      </c>
      <c r="B19" s="2" t="s">
        <v>287</v>
      </c>
      <c r="C19" s="2" t="s">
        <v>1612</v>
      </c>
      <c r="D19" s="2" t="s">
        <v>4743</v>
      </c>
      <c r="E19" s="4" t="s">
        <v>206</v>
      </c>
      <c r="F19" s="8" t="s">
        <v>206</v>
      </c>
      <c r="G19" s="4" t="s">
        <v>206</v>
      </c>
      <c r="H19" s="8" t="s">
        <v>206</v>
      </c>
      <c r="I19" s="7" t="s">
        <v>206</v>
      </c>
      <c r="J19" s="7" t="s">
        <v>206</v>
      </c>
      <c r="K19" s="4"/>
      <c r="L19" s="8"/>
      <c r="M19" s="4"/>
      <c r="N19" s="8"/>
      <c r="O19" s="7"/>
      <c r="P19" s="7"/>
    </row>
    <row r="20">
      <c r="A20" s="2" t="s">
        <v>528</v>
      </c>
      <c r="B20" s="2" t="s">
        <v>287</v>
      </c>
      <c r="C20" s="2" t="s">
        <v>548</v>
      </c>
      <c r="D20" s="2" t="s">
        <v>549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528</v>
      </c>
      <c r="B21" s="2" t="s">
        <v>226</v>
      </c>
      <c r="C21" s="2" t="s">
        <v>529</v>
      </c>
      <c r="D21" s="2" t="s">
        <v>530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  <row r="22">
      <c r="A22" s="2" t="s">
        <v>528</v>
      </c>
      <c r="B22" s="2" t="s">
        <v>1698</v>
      </c>
      <c r="C22" s="2" t="s">
        <v>548</v>
      </c>
      <c r="D22" s="2" t="s">
        <v>579</v>
      </c>
      <c r="E22" s="4" t="s">
        <v>206</v>
      </c>
      <c r="F22" s="8" t="s">
        <v>206</v>
      </c>
      <c r="G22" s="4" t="s">
        <v>206</v>
      </c>
      <c r="H22" s="8" t="s">
        <v>206</v>
      </c>
      <c r="I22" s="7" t="s">
        <v>206</v>
      </c>
      <c r="J22" s="7" t="s">
        <v>206</v>
      </c>
      <c r="K22" s="4"/>
      <c r="L22" s="8"/>
      <c r="M22" s="4"/>
      <c r="N22" s="8"/>
      <c r="O22" s="7"/>
      <c r="P22" s="7"/>
    </row>
    <row r="23">
      <c r="A23" s="2" t="s">
        <v>528</v>
      </c>
      <c r="B23" s="2" t="s">
        <v>1698</v>
      </c>
      <c r="C23" s="2" t="s">
        <v>548</v>
      </c>
      <c r="D23" s="2" t="s">
        <v>549</v>
      </c>
      <c r="E23" s="4" t="s">
        <v>206</v>
      </c>
      <c r="F23" s="8" t="s">
        <v>206</v>
      </c>
      <c r="G23" s="4" t="s">
        <v>206</v>
      </c>
      <c r="H23" s="8" t="s">
        <v>206</v>
      </c>
      <c r="I23" s="7" t="s">
        <v>206</v>
      </c>
      <c r="J23" s="7" t="s">
        <v>206</v>
      </c>
      <c r="K23" s="4"/>
      <c r="L23" s="8"/>
      <c r="M23" s="4"/>
      <c r="N23" s="8"/>
      <c r="O23" s="7"/>
      <c r="P23" s="7"/>
    </row>
    <row r="24">
      <c r="A24" s="2" t="s">
        <v>528</v>
      </c>
      <c r="B24" s="2" t="s">
        <v>1698</v>
      </c>
      <c r="C24" s="2" t="s">
        <v>1121</v>
      </c>
      <c r="D24" s="2" t="s">
        <v>2266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2987</v>
      </c>
      <c r="B25" s="2" t="s">
        <v>462</v>
      </c>
      <c r="C25" s="2" t="s">
        <v>2988</v>
      </c>
      <c r="D25" s="2" t="s">
        <v>2989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  <row r="26">
      <c r="A26" s="2" t="s">
        <v>429</v>
      </c>
      <c r="B26" s="2" t="s">
        <v>462</v>
      </c>
      <c r="C26" s="2" t="s">
        <v>895</v>
      </c>
      <c r="D26" s="2" t="s">
        <v>2171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429</v>
      </c>
      <c r="B27" s="2" t="s">
        <v>462</v>
      </c>
      <c r="C27" s="2" t="s">
        <v>909</v>
      </c>
      <c r="D27" s="2" t="s">
        <v>910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  <row r="28">
      <c r="A28" s="2" t="s">
        <v>429</v>
      </c>
      <c r="B28" s="2" t="s">
        <v>287</v>
      </c>
      <c r="C28" s="2" t="s">
        <v>895</v>
      </c>
      <c r="D28" s="2" t="s">
        <v>4660</v>
      </c>
      <c r="E28" s="4" t="s">
        <v>206</v>
      </c>
      <c r="F28" s="8" t="s">
        <v>206</v>
      </c>
      <c r="G28" s="4" t="s">
        <v>206</v>
      </c>
      <c r="H28" s="8" t="s">
        <v>206</v>
      </c>
      <c r="I28" s="7" t="s">
        <v>206</v>
      </c>
      <c r="J28" s="7" t="s">
        <v>206</v>
      </c>
      <c r="K28" s="4"/>
      <c r="L28" s="8"/>
      <c r="M28" s="4"/>
      <c r="N28" s="8"/>
      <c r="O28" s="7"/>
      <c r="P28" s="7"/>
    </row>
    <row r="29">
      <c r="A29" s="2" t="s">
        <v>429</v>
      </c>
      <c r="B29" s="2" t="s">
        <v>287</v>
      </c>
      <c r="C29" s="2" t="s">
        <v>895</v>
      </c>
      <c r="D29" s="2" t="s">
        <v>431</v>
      </c>
      <c r="E29" s="4" t="s">
        <v>206</v>
      </c>
      <c r="F29" s="8" t="s">
        <v>206</v>
      </c>
      <c r="G29" s="4" t="s">
        <v>206</v>
      </c>
      <c r="H29" s="8" t="s">
        <v>206</v>
      </c>
      <c r="I29" s="7" t="s">
        <v>206</v>
      </c>
      <c r="J29" s="7" t="s">
        <v>206</v>
      </c>
      <c r="K29" s="4"/>
      <c r="L29" s="8"/>
      <c r="M29" s="4"/>
      <c r="N29" s="8"/>
      <c r="O29" s="7"/>
      <c r="P29" s="7"/>
    </row>
    <row r="30">
      <c r="A30" s="2" t="s">
        <v>429</v>
      </c>
      <c r="B30" s="2" t="s">
        <v>287</v>
      </c>
      <c r="C30" s="2" t="s">
        <v>895</v>
      </c>
      <c r="D30" s="2" t="s">
        <v>2171</v>
      </c>
      <c r="E30" s="4" t="s">
        <v>206</v>
      </c>
      <c r="F30" s="8" t="s">
        <v>206</v>
      </c>
      <c r="G30" s="4" t="s">
        <v>206</v>
      </c>
      <c r="H30" s="8" t="s">
        <v>206</v>
      </c>
      <c r="I30" s="7" t="s">
        <v>206</v>
      </c>
      <c r="J30" s="7" t="s">
        <v>206</v>
      </c>
      <c r="K30" s="4"/>
      <c r="L30" s="8"/>
      <c r="M30" s="4"/>
      <c r="N30" s="8"/>
      <c r="O30" s="7"/>
      <c r="P30" s="7"/>
    </row>
    <row r="31">
      <c r="A31" s="2" t="s">
        <v>429</v>
      </c>
      <c r="B31" s="2" t="s">
        <v>287</v>
      </c>
      <c r="C31" s="2" t="s">
        <v>909</v>
      </c>
      <c r="D31" s="2" t="s">
        <v>910</v>
      </c>
      <c r="E31" s="4" t="s">
        <v>206</v>
      </c>
      <c r="F31" s="8" t="s">
        <v>206</v>
      </c>
      <c r="G31" s="4" t="s">
        <v>206</v>
      </c>
      <c r="H31" s="8" t="s">
        <v>206</v>
      </c>
      <c r="I31" s="7" t="s">
        <v>206</v>
      </c>
      <c r="J31" s="7" t="s">
        <v>206</v>
      </c>
      <c r="K31" s="4"/>
      <c r="L31" s="8"/>
      <c r="M31" s="4"/>
      <c r="N31" s="8"/>
      <c r="O31" s="7"/>
      <c r="P31" s="7"/>
    </row>
    <row r="32">
      <c r="A32" s="2" t="s">
        <v>429</v>
      </c>
      <c r="B32" s="2" t="s">
        <v>287</v>
      </c>
      <c r="C32" s="2" t="s">
        <v>909</v>
      </c>
      <c r="D32" s="2" t="s">
        <v>431</v>
      </c>
      <c r="E32" s="4" t="s">
        <v>206</v>
      </c>
      <c r="F32" s="8" t="s">
        <v>206</v>
      </c>
      <c r="G32" s="4" t="s">
        <v>206</v>
      </c>
      <c r="H32" s="8" t="s">
        <v>206</v>
      </c>
      <c r="I32" s="7" t="s">
        <v>206</v>
      </c>
      <c r="J32" s="7" t="s">
        <v>206</v>
      </c>
      <c r="K32" s="4"/>
      <c r="L32" s="8"/>
      <c r="M32" s="4"/>
      <c r="N32" s="8"/>
      <c r="O32" s="7"/>
      <c r="P32" s="7"/>
    </row>
    <row r="33">
      <c r="A33" s="2" t="s">
        <v>429</v>
      </c>
      <c r="B33" s="2" t="s">
        <v>287</v>
      </c>
      <c r="C33" s="2" t="s">
        <v>2562</v>
      </c>
      <c r="D33" s="2" t="s">
        <v>3791</v>
      </c>
      <c r="E33" s="4" t="s">
        <v>206</v>
      </c>
      <c r="F33" s="8" t="s">
        <v>206</v>
      </c>
      <c r="G33" s="4" t="s">
        <v>206</v>
      </c>
      <c r="H33" s="8" t="s">
        <v>206</v>
      </c>
      <c r="I33" s="7" t="s">
        <v>206</v>
      </c>
      <c r="J33" s="7" t="s">
        <v>206</v>
      </c>
      <c r="K33" s="4"/>
      <c r="L33" s="8"/>
      <c r="M33" s="4"/>
      <c r="N33" s="8"/>
      <c r="O33" s="7"/>
      <c r="P33" s="7"/>
    </row>
    <row r="34">
      <c r="A34" s="2" t="s">
        <v>429</v>
      </c>
      <c r="B34" s="2" t="s">
        <v>287</v>
      </c>
      <c r="C34" s="2" t="s">
        <v>2562</v>
      </c>
      <c r="D34" s="2" t="s">
        <v>2563</v>
      </c>
      <c r="E34" s="4" t="s">
        <v>206</v>
      </c>
      <c r="F34" s="8" t="s">
        <v>206</v>
      </c>
      <c r="G34" s="4" t="s">
        <v>206</v>
      </c>
      <c r="H34" s="8" t="s">
        <v>206</v>
      </c>
      <c r="I34" s="7" t="s">
        <v>206</v>
      </c>
      <c r="J34" s="7" t="s">
        <v>206</v>
      </c>
      <c r="K34" s="4"/>
      <c r="L34" s="8"/>
      <c r="M34" s="4"/>
      <c r="N34" s="8"/>
      <c r="O34" s="7"/>
      <c r="P34" s="7"/>
    </row>
    <row r="35">
      <c r="A35" s="2" t="s">
        <v>429</v>
      </c>
      <c r="B35" s="2" t="s">
        <v>287</v>
      </c>
      <c r="C35" s="2" t="s">
        <v>4606</v>
      </c>
      <c r="D35" s="2" t="s">
        <v>4607</v>
      </c>
      <c r="E35" s="4"/>
      <c r="F35" s="8"/>
      <c r="G35" s="4"/>
      <c r="H35" s="8"/>
      <c r="I35" s="7"/>
      <c r="J35" s="7"/>
      <c r="K35" s="4"/>
      <c r="L35" s="8"/>
      <c r="M35" s="4"/>
      <c r="N35" s="8"/>
      <c r="O35" s="7"/>
      <c r="P35" s="7"/>
    </row>
    <row r="36">
      <c r="A36" s="2" t="s">
        <v>429</v>
      </c>
      <c r="B36" s="2" t="s">
        <v>287</v>
      </c>
      <c r="C36" s="2" t="s">
        <v>430</v>
      </c>
      <c r="D36" s="2" t="s">
        <v>431</v>
      </c>
      <c r="E36" s="4"/>
      <c r="F36" s="8"/>
      <c r="G36" s="4"/>
      <c r="H36" s="8"/>
      <c r="I36" s="7"/>
      <c r="J36" s="7"/>
      <c r="K36" s="4"/>
      <c r="L36" s="8"/>
      <c r="M36" s="4"/>
      <c r="N36" s="8"/>
      <c r="O36" s="7"/>
      <c r="P36" s="7"/>
    </row>
    <row r="37">
      <c r="A37" s="2" t="s">
        <v>429</v>
      </c>
      <c r="B37" s="2" t="s">
        <v>1031</v>
      </c>
      <c r="C37" s="2" t="s">
        <v>895</v>
      </c>
      <c r="D37" s="2" t="s">
        <v>5083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429</v>
      </c>
      <c r="B38" s="2" t="s">
        <v>1031</v>
      </c>
      <c r="C38" s="2" t="s">
        <v>2562</v>
      </c>
      <c r="D38" s="2" t="s">
        <v>2563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429</v>
      </c>
      <c r="B39" s="2" t="s">
        <v>447</v>
      </c>
      <c r="C39" s="2" t="s">
        <v>909</v>
      </c>
      <c r="D39" s="2" t="s">
        <v>431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429</v>
      </c>
      <c r="B40" s="2" t="s">
        <v>447</v>
      </c>
      <c r="C40" s="2" t="s">
        <v>430</v>
      </c>
      <c r="D40" s="2" t="s">
        <v>431</v>
      </c>
      <c r="E40" s="4" t="s">
        <v>206</v>
      </c>
      <c r="F40" s="8" t="s">
        <v>206</v>
      </c>
      <c r="G40" s="4" t="s">
        <v>206</v>
      </c>
      <c r="H40" s="8" t="s">
        <v>206</v>
      </c>
      <c r="I40" s="7" t="s">
        <v>206</v>
      </c>
      <c r="J40" s="7" t="s">
        <v>206</v>
      </c>
      <c r="K40" s="4"/>
      <c r="L40" s="8"/>
      <c r="M40" s="4"/>
      <c r="N40" s="8"/>
      <c r="O40" s="7"/>
      <c r="P40" s="7"/>
    </row>
    <row r="41">
      <c r="A41" s="2" t="s">
        <v>429</v>
      </c>
      <c r="B41" s="2" t="s">
        <v>447</v>
      </c>
      <c r="C41" s="2" t="s">
        <v>430</v>
      </c>
      <c r="D41" s="2" t="s">
        <v>2171</v>
      </c>
      <c r="E41" s="4" t="s">
        <v>206</v>
      </c>
      <c r="F41" s="8" t="s">
        <v>206</v>
      </c>
      <c r="G41" s="4" t="s">
        <v>206</v>
      </c>
      <c r="H41" s="8" t="s">
        <v>206</v>
      </c>
      <c r="I41" s="7" t="s">
        <v>206</v>
      </c>
      <c r="J41" s="7" t="s">
        <v>206</v>
      </c>
      <c r="K41" s="4"/>
      <c r="L41" s="8"/>
      <c r="M41" s="4"/>
      <c r="N41" s="8"/>
      <c r="O41" s="7"/>
      <c r="P41" s="7"/>
    </row>
    <row r="42">
      <c r="A42" s="2" t="s">
        <v>429</v>
      </c>
      <c r="B42" s="2" t="s">
        <v>1316</v>
      </c>
      <c r="C42" s="2" t="s">
        <v>909</v>
      </c>
      <c r="D42" s="2" t="s">
        <v>431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195</v>
      </c>
      <c r="B43" s="2" t="s">
        <v>3610</v>
      </c>
      <c r="C43" s="2" t="s">
        <v>529</v>
      </c>
      <c r="D43" s="2" t="s">
        <v>1764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195</v>
      </c>
      <c r="B44" s="2" t="s">
        <v>287</v>
      </c>
      <c r="C44" s="2" t="s">
        <v>529</v>
      </c>
      <c r="D44" s="2" t="s">
        <v>1764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195</v>
      </c>
      <c r="B45" s="2" t="s">
        <v>196</v>
      </c>
      <c r="C45" s="2" t="s">
        <v>529</v>
      </c>
      <c r="D45" s="2" t="s">
        <v>1764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195</v>
      </c>
      <c r="B46" s="2" t="s">
        <v>196</v>
      </c>
      <c r="C46" s="2" t="s">
        <v>197</v>
      </c>
      <c r="D46" s="2" t="s">
        <v>2947</v>
      </c>
      <c r="E46" s="4" t="s">
        <v>206</v>
      </c>
      <c r="F46" s="8" t="s">
        <v>206</v>
      </c>
      <c r="G46" s="4" t="s">
        <v>206</v>
      </c>
      <c r="H46" s="8" t="s">
        <v>206</v>
      </c>
      <c r="I46" s="7" t="s">
        <v>206</v>
      </c>
      <c r="J46" s="7" t="s">
        <v>206</v>
      </c>
      <c r="K46" s="4"/>
      <c r="L46" s="8"/>
      <c r="M46" s="4"/>
      <c r="N46" s="8"/>
      <c r="O46" s="7"/>
      <c r="P46" s="7"/>
    </row>
    <row r="47">
      <c r="A47" s="2" t="s">
        <v>195</v>
      </c>
      <c r="B47" s="2" t="s">
        <v>196</v>
      </c>
      <c r="C47" s="2" t="s">
        <v>197</v>
      </c>
      <c r="D47" s="2" t="s">
        <v>198</v>
      </c>
      <c r="E47" s="4" t="s">
        <v>206</v>
      </c>
      <c r="F47" s="8" t="s">
        <v>206</v>
      </c>
      <c r="G47" s="4" t="s">
        <v>206</v>
      </c>
      <c r="H47" s="8" t="s">
        <v>206</v>
      </c>
      <c r="I47" s="7" t="s">
        <v>206</v>
      </c>
      <c r="J47" s="7" t="s">
        <v>206</v>
      </c>
      <c r="K47" s="4"/>
      <c r="L47" s="8"/>
      <c r="M47" s="4"/>
      <c r="N47" s="8"/>
      <c r="O47" s="7"/>
      <c r="P47" s="7"/>
    </row>
    <row r="48">
      <c r="A48" s="2" t="s">
        <v>195</v>
      </c>
      <c r="B48" s="2" t="s">
        <v>196</v>
      </c>
      <c r="C48" s="2" t="s">
        <v>1121</v>
      </c>
      <c r="D48" s="2" t="s">
        <v>4724</v>
      </c>
      <c r="E48" s="4"/>
      <c r="F48" s="8"/>
      <c r="G48" s="4"/>
      <c r="H48" s="8"/>
      <c r="I48" s="7"/>
      <c r="J48" s="7"/>
      <c r="K48" s="4"/>
      <c r="L48" s="8"/>
      <c r="M48" s="4"/>
      <c r="N48" s="8"/>
      <c r="O48" s="7"/>
      <c r="P48" s="7"/>
    </row>
    <row r="49">
      <c r="A49" s="2" t="s">
        <v>195</v>
      </c>
      <c r="B49" s="2" t="s">
        <v>1948</v>
      </c>
      <c r="C49" s="2" t="s">
        <v>529</v>
      </c>
      <c r="D49" s="2" t="s">
        <v>2907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  <row r="50">
      <c r="A50" s="2" t="s">
        <v>195</v>
      </c>
      <c r="B50" s="2" t="s">
        <v>1948</v>
      </c>
      <c r="C50" s="2" t="s">
        <v>801</v>
      </c>
      <c r="D50" s="2" t="s">
        <v>2793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195</v>
      </c>
      <c r="B51" s="2" t="s">
        <v>1316</v>
      </c>
      <c r="C51" s="2" t="s">
        <v>529</v>
      </c>
      <c r="D51" s="2" t="s">
        <v>1764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662</v>
      </c>
      <c r="B52" s="2" t="s">
        <v>1145</v>
      </c>
      <c r="C52" s="2" t="s">
        <v>4119</v>
      </c>
      <c r="D52" s="2" t="s">
        <v>477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662</v>
      </c>
      <c r="B53" s="2" t="s">
        <v>287</v>
      </c>
      <c r="C53" s="2" t="s">
        <v>663</v>
      </c>
      <c r="D53" s="2" t="s">
        <v>664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  <row r="54">
      <c r="A54" s="2" t="s">
        <v>662</v>
      </c>
      <c r="B54" s="2" t="s">
        <v>287</v>
      </c>
      <c r="C54" s="2" t="s">
        <v>684</v>
      </c>
      <c r="D54" s="2" t="s">
        <v>685</v>
      </c>
      <c r="E54" s="4"/>
      <c r="F54" s="8"/>
      <c r="G54" s="4"/>
      <c r="H54" s="8"/>
      <c r="I54" s="7"/>
      <c r="J54" s="7"/>
      <c r="K54" s="4"/>
      <c r="L54" s="8"/>
      <c r="M54" s="4"/>
      <c r="N54" s="8"/>
      <c r="O54" s="7"/>
      <c r="P54" s="7"/>
    </row>
    <row r="55">
      <c r="A55" s="2" t="s">
        <v>662</v>
      </c>
      <c r="B55" s="2" t="s">
        <v>1316</v>
      </c>
      <c r="C55" s="2" t="s">
        <v>684</v>
      </c>
      <c r="D55" s="2" t="s">
        <v>685</v>
      </c>
      <c r="E55" s="4"/>
      <c r="F55" s="8"/>
      <c r="G55" s="4"/>
      <c r="H55" s="8"/>
      <c r="I55" s="7"/>
      <c r="J55" s="7"/>
      <c r="K55" s="4"/>
      <c r="L55" s="8"/>
      <c r="M55" s="4"/>
      <c r="N55" s="8"/>
      <c r="O55" s="7"/>
      <c r="P55" s="7"/>
    </row>
    <row r="56">
      <c r="A56" s="2" t="s">
        <v>800</v>
      </c>
      <c r="B56" s="2" t="s">
        <v>2240</v>
      </c>
      <c r="C56" s="2" t="s">
        <v>1267</v>
      </c>
      <c r="D56" s="2" t="s">
        <v>1268</v>
      </c>
      <c r="E56" s="4"/>
      <c r="F56" s="8"/>
      <c r="G56" s="4"/>
      <c r="H56" s="8"/>
      <c r="I56" s="7"/>
      <c r="J56" s="7"/>
      <c r="K56" s="4"/>
      <c r="L56" s="8"/>
      <c r="M56" s="4"/>
      <c r="N56" s="8"/>
      <c r="O56" s="7"/>
      <c r="P56" s="7"/>
    </row>
    <row r="57">
      <c r="A57" s="2" t="s">
        <v>800</v>
      </c>
      <c r="B57" s="2" t="s">
        <v>2240</v>
      </c>
      <c r="C57" s="2" t="s">
        <v>1859</v>
      </c>
      <c r="D57" s="2" t="s">
        <v>1860</v>
      </c>
      <c r="E57" s="4"/>
      <c r="F57" s="8"/>
      <c r="G57" s="4"/>
      <c r="H57" s="8"/>
      <c r="I57" s="7"/>
      <c r="J57" s="7"/>
      <c r="K57" s="4"/>
      <c r="L57" s="8"/>
      <c r="M57" s="4"/>
      <c r="N57" s="8"/>
      <c r="O57" s="7"/>
      <c r="P57" s="7"/>
    </row>
    <row r="58">
      <c r="A58" s="2" t="s">
        <v>800</v>
      </c>
      <c r="B58" s="2" t="s">
        <v>2726</v>
      </c>
      <c r="C58" s="2" t="s">
        <v>1267</v>
      </c>
      <c r="D58" s="2" t="s">
        <v>1268</v>
      </c>
      <c r="E58" s="4"/>
      <c r="F58" s="8"/>
      <c r="G58" s="4"/>
      <c r="H58" s="8"/>
      <c r="I58" s="7"/>
      <c r="J58" s="7"/>
      <c r="K58" s="4"/>
      <c r="L58" s="8"/>
      <c r="M58" s="4"/>
      <c r="N58" s="8"/>
      <c r="O58" s="7"/>
      <c r="P58" s="7"/>
    </row>
    <row r="59">
      <c r="A59" s="2" t="s">
        <v>800</v>
      </c>
      <c r="B59" s="2" t="s">
        <v>462</v>
      </c>
      <c r="C59" s="2" t="s">
        <v>1267</v>
      </c>
      <c r="D59" s="2" t="s">
        <v>1268</v>
      </c>
      <c r="E59" s="4"/>
      <c r="F59" s="8"/>
      <c r="G59" s="4"/>
      <c r="H59" s="8"/>
      <c r="I59" s="7"/>
      <c r="J59" s="7"/>
      <c r="K59" s="4"/>
      <c r="L59" s="8"/>
      <c r="M59" s="4"/>
      <c r="N59" s="8"/>
      <c r="O59" s="7"/>
      <c r="P59" s="7"/>
    </row>
    <row r="60">
      <c r="A60" s="2" t="s">
        <v>800</v>
      </c>
      <c r="B60" s="2" t="s">
        <v>462</v>
      </c>
      <c r="C60" s="2" t="s">
        <v>1245</v>
      </c>
      <c r="D60" s="2" t="s">
        <v>1246</v>
      </c>
      <c r="E60" s="4"/>
      <c r="F60" s="8"/>
      <c r="G60" s="4"/>
      <c r="H60" s="8"/>
      <c r="I60" s="7"/>
      <c r="J60" s="7"/>
      <c r="K60" s="4"/>
      <c r="L60" s="8"/>
      <c r="M60" s="4"/>
      <c r="N60" s="8"/>
      <c r="O60" s="7"/>
      <c r="P60" s="7"/>
    </row>
    <row r="61">
      <c r="A61" s="2" t="s">
        <v>800</v>
      </c>
      <c r="B61" s="2" t="s">
        <v>462</v>
      </c>
      <c r="C61" s="2" t="s">
        <v>801</v>
      </c>
      <c r="D61" s="2" t="s">
        <v>1262</v>
      </c>
      <c r="E61" s="4"/>
      <c r="F61" s="8"/>
      <c r="G61" s="4"/>
      <c r="H61" s="8"/>
      <c r="I61" s="7"/>
      <c r="J61" s="7"/>
      <c r="K61" s="4"/>
      <c r="L61" s="8"/>
      <c r="M61" s="4"/>
      <c r="N61" s="8"/>
      <c r="O61" s="7"/>
      <c r="P61" s="7"/>
    </row>
    <row r="62">
      <c r="A62" s="2" t="s">
        <v>800</v>
      </c>
      <c r="B62" s="2" t="s">
        <v>1145</v>
      </c>
      <c r="C62" s="2" t="s">
        <v>1267</v>
      </c>
      <c r="D62" s="2" t="s">
        <v>1268</v>
      </c>
      <c r="E62" s="4"/>
      <c r="F62" s="8"/>
      <c r="G62" s="4"/>
      <c r="H62" s="8"/>
      <c r="I62" s="7"/>
      <c r="J62" s="7"/>
      <c r="K62" s="4"/>
      <c r="L62" s="8"/>
      <c r="M62" s="4"/>
      <c r="N62" s="8"/>
      <c r="O62" s="7"/>
      <c r="P62" s="7"/>
    </row>
    <row r="63">
      <c r="A63" s="2" t="s">
        <v>800</v>
      </c>
      <c r="B63" s="2" t="s">
        <v>1145</v>
      </c>
      <c r="C63" s="2" t="s">
        <v>529</v>
      </c>
      <c r="D63" s="2" t="s">
        <v>1134</v>
      </c>
      <c r="E63" s="4"/>
      <c r="F63" s="8"/>
      <c r="G63" s="4"/>
      <c r="H63" s="8"/>
      <c r="I63" s="7"/>
      <c r="J63" s="7"/>
      <c r="K63" s="4"/>
      <c r="L63" s="8"/>
      <c r="M63" s="4"/>
      <c r="N63" s="8"/>
      <c r="O63" s="7"/>
      <c r="P63" s="7"/>
    </row>
    <row r="64">
      <c r="A64" s="2" t="s">
        <v>800</v>
      </c>
      <c r="B64" s="2" t="s">
        <v>287</v>
      </c>
      <c r="C64" s="2" t="s">
        <v>1267</v>
      </c>
      <c r="D64" s="2" t="s">
        <v>1268</v>
      </c>
      <c r="E64" s="4"/>
      <c r="F64" s="8"/>
      <c r="G64" s="4"/>
      <c r="H64" s="8"/>
      <c r="I64" s="7"/>
      <c r="J64" s="7"/>
      <c r="K64" s="4"/>
      <c r="L64" s="8"/>
      <c r="M64" s="4"/>
      <c r="N64" s="8"/>
      <c r="O64" s="7"/>
      <c r="P64" s="7"/>
    </row>
    <row r="65">
      <c r="A65" s="2" t="s">
        <v>800</v>
      </c>
      <c r="B65" s="2" t="s">
        <v>287</v>
      </c>
      <c r="C65" s="2" t="s">
        <v>529</v>
      </c>
      <c r="D65" s="2" t="s">
        <v>1134</v>
      </c>
      <c r="E65" s="4"/>
      <c r="F65" s="8"/>
      <c r="G65" s="4"/>
      <c r="H65" s="8"/>
      <c r="I65" s="7"/>
      <c r="J65" s="7"/>
      <c r="K65" s="4"/>
      <c r="L65" s="8"/>
      <c r="M65" s="4"/>
      <c r="N65" s="8"/>
      <c r="O65" s="7"/>
      <c r="P65" s="7"/>
    </row>
    <row r="66">
      <c r="A66" s="2" t="s">
        <v>800</v>
      </c>
      <c r="B66" s="2" t="s">
        <v>287</v>
      </c>
      <c r="C66" s="2" t="s">
        <v>1121</v>
      </c>
      <c r="D66" s="2" t="s">
        <v>2266</v>
      </c>
      <c r="E66" s="4"/>
      <c r="F66" s="8"/>
      <c r="G66" s="4"/>
      <c r="H66" s="8"/>
      <c r="I66" s="7"/>
      <c r="J66" s="7"/>
      <c r="K66" s="4"/>
      <c r="L66" s="8"/>
      <c r="M66" s="4"/>
      <c r="N66" s="8"/>
      <c r="O66" s="7"/>
      <c r="P66" s="7"/>
    </row>
    <row r="67">
      <c r="A67" s="2" t="s">
        <v>800</v>
      </c>
      <c r="B67" s="2" t="s">
        <v>287</v>
      </c>
      <c r="C67" s="2" t="s">
        <v>801</v>
      </c>
      <c r="D67" s="2" t="s">
        <v>802</v>
      </c>
      <c r="E67" s="4" t="s">
        <v>206</v>
      </c>
      <c r="F67" s="8" t="s">
        <v>206</v>
      </c>
      <c r="G67" s="4" t="s">
        <v>206</v>
      </c>
      <c r="H67" s="8" t="s">
        <v>206</v>
      </c>
      <c r="I67" s="7" t="s">
        <v>206</v>
      </c>
      <c r="J67" s="7" t="s">
        <v>206</v>
      </c>
      <c r="K67" s="4"/>
      <c r="L67" s="8"/>
      <c r="M67" s="4"/>
      <c r="N67" s="8"/>
      <c r="O67" s="7"/>
      <c r="P67" s="7"/>
    </row>
    <row r="68">
      <c r="A68" s="2" t="s">
        <v>800</v>
      </c>
      <c r="B68" s="2" t="s">
        <v>287</v>
      </c>
      <c r="C68" s="2" t="s">
        <v>801</v>
      </c>
      <c r="D68" s="2" t="s">
        <v>1262</v>
      </c>
      <c r="E68" s="4" t="s">
        <v>206</v>
      </c>
      <c r="F68" s="8" t="s">
        <v>206</v>
      </c>
      <c r="G68" s="4" t="s">
        <v>206</v>
      </c>
      <c r="H68" s="8" t="s">
        <v>206</v>
      </c>
      <c r="I68" s="7" t="s">
        <v>206</v>
      </c>
      <c r="J68" s="7" t="s">
        <v>206</v>
      </c>
      <c r="K68" s="4"/>
      <c r="L68" s="8"/>
      <c r="M68" s="4"/>
      <c r="N68" s="8"/>
      <c r="O68" s="7"/>
      <c r="P68" s="7"/>
    </row>
    <row r="69">
      <c r="A69" s="2" t="s">
        <v>800</v>
      </c>
      <c r="B69" s="2" t="s">
        <v>226</v>
      </c>
      <c r="C69" s="2" t="s">
        <v>529</v>
      </c>
      <c r="D69" s="2" t="s">
        <v>1134</v>
      </c>
      <c r="E69" s="4"/>
      <c r="F69" s="8"/>
      <c r="G69" s="4"/>
      <c r="H69" s="8"/>
      <c r="I69" s="7"/>
      <c r="J69" s="7"/>
      <c r="K69" s="4"/>
      <c r="L69" s="8"/>
      <c r="M69" s="4"/>
      <c r="N69" s="8"/>
      <c r="O69" s="7"/>
      <c r="P69" s="7"/>
    </row>
    <row r="70">
      <c r="A70" s="2" t="s">
        <v>800</v>
      </c>
      <c r="B70" s="2" t="s">
        <v>1858</v>
      </c>
      <c r="C70" s="2" t="s">
        <v>1859</v>
      </c>
      <c r="D70" s="2" t="s">
        <v>1860</v>
      </c>
      <c r="E70" s="4" t="s">
        <v>206</v>
      </c>
      <c r="F70" s="8" t="s">
        <v>206</v>
      </c>
      <c r="G70" s="4" t="s">
        <v>206</v>
      </c>
      <c r="H70" s="8" t="s">
        <v>206</v>
      </c>
      <c r="I70" s="7" t="s">
        <v>206</v>
      </c>
      <c r="J70" s="7" t="s">
        <v>206</v>
      </c>
      <c r="K70" s="4"/>
      <c r="L70" s="8"/>
      <c r="M70" s="4"/>
      <c r="N70" s="8"/>
      <c r="O70" s="7"/>
      <c r="P70" s="7"/>
    </row>
    <row r="71">
      <c r="A71" s="2" t="s">
        <v>800</v>
      </c>
      <c r="B71" s="2" t="s">
        <v>1858</v>
      </c>
      <c r="C71" s="2" t="s">
        <v>1859</v>
      </c>
      <c r="D71" s="2" t="s">
        <v>2573</v>
      </c>
      <c r="E71" s="4" t="s">
        <v>206</v>
      </c>
      <c r="F71" s="8" t="s">
        <v>206</v>
      </c>
      <c r="G71" s="4" t="s">
        <v>206</v>
      </c>
      <c r="H71" s="8" t="s">
        <v>206</v>
      </c>
      <c r="I71" s="7" t="s">
        <v>206</v>
      </c>
      <c r="J71" s="7" t="s">
        <v>206</v>
      </c>
      <c r="K71" s="4"/>
      <c r="L71" s="8"/>
      <c r="M71" s="4"/>
      <c r="N71" s="8"/>
      <c r="O71" s="7"/>
      <c r="P71" s="7"/>
    </row>
    <row r="72">
      <c r="A72" s="2" t="s">
        <v>800</v>
      </c>
      <c r="B72" s="2" t="s">
        <v>1948</v>
      </c>
      <c r="C72" s="2" t="s">
        <v>1859</v>
      </c>
      <c r="D72" s="2" t="s">
        <v>1860</v>
      </c>
      <c r="E72" s="4" t="s">
        <v>206</v>
      </c>
      <c r="F72" s="8" t="s">
        <v>206</v>
      </c>
      <c r="G72" s="4" t="s">
        <v>206</v>
      </c>
      <c r="H72" s="8" t="s">
        <v>206</v>
      </c>
      <c r="I72" s="7" t="s">
        <v>206</v>
      </c>
      <c r="J72" s="7" t="s">
        <v>206</v>
      </c>
      <c r="K72" s="4"/>
      <c r="L72" s="8"/>
      <c r="M72" s="4"/>
      <c r="N72" s="8"/>
      <c r="O72" s="7"/>
      <c r="P72" s="7"/>
    </row>
    <row r="73">
      <c r="A73" s="2" t="s">
        <v>800</v>
      </c>
      <c r="B73" s="2" t="s">
        <v>1948</v>
      </c>
      <c r="C73" s="2" t="s">
        <v>1859</v>
      </c>
      <c r="D73" s="2" t="s">
        <v>2573</v>
      </c>
      <c r="E73" s="4" t="s">
        <v>206</v>
      </c>
      <c r="F73" s="8" t="s">
        <v>206</v>
      </c>
      <c r="G73" s="4" t="s">
        <v>206</v>
      </c>
      <c r="H73" s="8" t="s">
        <v>206</v>
      </c>
      <c r="I73" s="7" t="s">
        <v>206</v>
      </c>
      <c r="J73" s="7" t="s">
        <v>206</v>
      </c>
      <c r="K73" s="4"/>
      <c r="L73" s="8"/>
      <c r="M73" s="4"/>
      <c r="N73" s="8"/>
      <c r="O73" s="7"/>
      <c r="P73" s="7"/>
    </row>
    <row r="74">
      <c r="A74" s="2" t="s">
        <v>461</v>
      </c>
      <c r="B74" s="2" t="s">
        <v>828</v>
      </c>
      <c r="C74" s="2" t="s">
        <v>1072</v>
      </c>
      <c r="D74" s="2" t="s">
        <v>1073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461</v>
      </c>
      <c r="B75" s="2" t="s">
        <v>462</v>
      </c>
      <c r="C75" s="2" t="s">
        <v>790</v>
      </c>
      <c r="D75" s="2" t="s">
        <v>791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461</v>
      </c>
      <c r="B76" s="2" t="s">
        <v>462</v>
      </c>
      <c r="C76" s="2" t="s">
        <v>975</v>
      </c>
      <c r="D76" s="2" t="s">
        <v>976</v>
      </c>
      <c r="E76" s="4" t="s">
        <v>206</v>
      </c>
      <c r="F76" s="8" t="s">
        <v>206</v>
      </c>
      <c r="G76" s="4" t="s">
        <v>206</v>
      </c>
      <c r="H76" s="8" t="s">
        <v>206</v>
      </c>
      <c r="I76" s="7" t="s">
        <v>206</v>
      </c>
      <c r="J76" s="7" t="s">
        <v>206</v>
      </c>
      <c r="K76" s="4"/>
      <c r="L76" s="8"/>
      <c r="M76" s="4"/>
      <c r="N76" s="8"/>
      <c r="O76" s="7"/>
      <c r="P76" s="7"/>
    </row>
    <row r="77">
      <c r="A77" s="2" t="s">
        <v>461</v>
      </c>
      <c r="B77" s="2" t="s">
        <v>462</v>
      </c>
      <c r="C77" s="2" t="s">
        <v>975</v>
      </c>
      <c r="D77" s="2" t="s">
        <v>1206</v>
      </c>
      <c r="E77" s="4" t="s">
        <v>206</v>
      </c>
      <c r="F77" s="8" t="s">
        <v>206</v>
      </c>
      <c r="G77" s="4" t="s">
        <v>206</v>
      </c>
      <c r="H77" s="8" t="s">
        <v>206</v>
      </c>
      <c r="I77" s="7" t="s">
        <v>206</v>
      </c>
      <c r="J77" s="7" t="s">
        <v>206</v>
      </c>
      <c r="K77" s="4"/>
      <c r="L77" s="8"/>
      <c r="M77" s="4"/>
      <c r="N77" s="8"/>
      <c r="O77" s="7"/>
      <c r="P77" s="7"/>
    </row>
    <row r="78">
      <c r="A78" s="2" t="s">
        <v>461</v>
      </c>
      <c r="B78" s="2" t="s">
        <v>462</v>
      </c>
      <c r="C78" s="2" t="s">
        <v>3750</v>
      </c>
      <c r="D78" s="2" t="s">
        <v>3751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461</v>
      </c>
      <c r="B79" s="2" t="s">
        <v>462</v>
      </c>
      <c r="C79" s="2" t="s">
        <v>463</v>
      </c>
      <c r="D79" s="2" t="s">
        <v>464</v>
      </c>
      <c r="E79" s="4"/>
      <c r="F79" s="8"/>
      <c r="G79" s="4"/>
      <c r="H79" s="8"/>
      <c r="I79" s="7"/>
      <c r="J79" s="7"/>
      <c r="K79" s="4"/>
      <c r="L79" s="8"/>
      <c r="M79" s="4"/>
      <c r="N79" s="8"/>
      <c r="O79" s="7"/>
      <c r="P79" s="7"/>
    </row>
    <row r="80">
      <c r="A80" s="2" t="s">
        <v>461</v>
      </c>
      <c r="B80" s="2" t="s">
        <v>462</v>
      </c>
      <c r="C80" s="2" t="s">
        <v>3190</v>
      </c>
      <c r="D80" s="2" t="s">
        <v>3191</v>
      </c>
      <c r="E80" s="4"/>
      <c r="F80" s="8"/>
      <c r="G80" s="4"/>
      <c r="H80" s="8"/>
      <c r="I80" s="7"/>
      <c r="J80" s="7"/>
      <c r="K80" s="4"/>
      <c r="L80" s="8"/>
      <c r="M80" s="4"/>
      <c r="N80" s="8"/>
      <c r="O80" s="7"/>
      <c r="P80" s="7"/>
    </row>
    <row r="81">
      <c r="A81" s="2" t="s">
        <v>461</v>
      </c>
      <c r="B81" s="2" t="s">
        <v>462</v>
      </c>
      <c r="C81" s="2" t="s">
        <v>5053</v>
      </c>
      <c r="D81" s="2" t="s">
        <v>791</v>
      </c>
      <c r="E81" s="4"/>
      <c r="F81" s="8"/>
      <c r="G81" s="4"/>
      <c r="H81" s="8"/>
      <c r="I81" s="7"/>
      <c r="J81" s="7"/>
      <c r="K81" s="4"/>
      <c r="L81" s="8"/>
      <c r="M81" s="4"/>
      <c r="N81" s="8"/>
      <c r="O81" s="7"/>
      <c r="P81" s="7"/>
    </row>
    <row r="82">
      <c r="A82" s="2" t="s">
        <v>461</v>
      </c>
      <c r="B82" s="2" t="s">
        <v>462</v>
      </c>
      <c r="C82" s="2" t="s">
        <v>1072</v>
      </c>
      <c r="D82" s="2" t="s">
        <v>1073</v>
      </c>
      <c r="E82" s="4"/>
      <c r="F82" s="8"/>
      <c r="G82" s="4"/>
      <c r="H82" s="8"/>
      <c r="I82" s="7"/>
      <c r="J82" s="7"/>
      <c r="K82" s="4"/>
      <c r="L82" s="8"/>
      <c r="M82" s="4"/>
      <c r="N82" s="8"/>
      <c r="O82" s="7"/>
      <c r="P82" s="7"/>
    </row>
    <row r="83">
      <c r="A83" s="2" t="s">
        <v>461</v>
      </c>
      <c r="B83" s="2" t="s">
        <v>462</v>
      </c>
      <c r="C83" s="2" t="s">
        <v>3436</v>
      </c>
      <c r="D83" s="2" t="s">
        <v>3437</v>
      </c>
      <c r="E83" s="4"/>
      <c r="F83" s="8"/>
      <c r="G83" s="4"/>
      <c r="H83" s="8"/>
      <c r="I83" s="7"/>
      <c r="J83" s="7"/>
      <c r="K83" s="4"/>
      <c r="L83" s="8"/>
      <c r="M83" s="4"/>
      <c r="N83" s="8"/>
      <c r="O83" s="7"/>
      <c r="P83" s="7"/>
    </row>
    <row r="84">
      <c r="A84" s="2" t="s">
        <v>461</v>
      </c>
      <c r="B84" s="2" t="s">
        <v>462</v>
      </c>
      <c r="C84" s="2" t="s">
        <v>882</v>
      </c>
      <c r="D84" s="2" t="s">
        <v>1196</v>
      </c>
      <c r="E84" s="4"/>
      <c r="F84" s="8"/>
      <c r="G84" s="4"/>
      <c r="H84" s="8"/>
      <c r="I84" s="7"/>
      <c r="J84" s="7"/>
      <c r="K84" s="4"/>
      <c r="L84" s="8"/>
      <c r="M84" s="4"/>
      <c r="N84" s="8"/>
      <c r="O84" s="7"/>
      <c r="P84" s="7"/>
    </row>
    <row r="85">
      <c r="A85" s="2" t="s">
        <v>461</v>
      </c>
      <c r="B85" s="2" t="s">
        <v>462</v>
      </c>
      <c r="C85" s="2" t="s">
        <v>3198</v>
      </c>
      <c r="D85" s="2" t="s">
        <v>3199</v>
      </c>
      <c r="E85" s="4"/>
      <c r="F85" s="8"/>
      <c r="G85" s="4"/>
      <c r="H85" s="8"/>
      <c r="I85" s="7"/>
      <c r="J85" s="7"/>
      <c r="K85" s="4"/>
      <c r="L85" s="8"/>
      <c r="M85" s="4"/>
      <c r="N85" s="8"/>
      <c r="O85" s="7"/>
      <c r="P85" s="7"/>
    </row>
    <row r="86">
      <c r="A86" s="2" t="s">
        <v>461</v>
      </c>
      <c r="B86" s="2" t="s">
        <v>462</v>
      </c>
      <c r="C86" s="2" t="s">
        <v>4061</v>
      </c>
      <c r="D86" s="2" t="s">
        <v>4062</v>
      </c>
      <c r="E86" s="4"/>
      <c r="F86" s="8"/>
      <c r="G86" s="4"/>
      <c r="H86" s="8"/>
      <c r="I86" s="7"/>
      <c r="J86" s="7"/>
      <c r="K86" s="4"/>
      <c r="L86" s="8"/>
      <c r="M86" s="4"/>
      <c r="N86" s="8"/>
      <c r="O86" s="7"/>
      <c r="P86" s="7"/>
    </row>
    <row r="87">
      <c r="A87" s="2" t="s">
        <v>461</v>
      </c>
      <c r="B87" s="2" t="s">
        <v>287</v>
      </c>
      <c r="C87" s="2" t="s">
        <v>790</v>
      </c>
      <c r="D87" s="2" t="s">
        <v>4931</v>
      </c>
      <c r="E87" s="4"/>
      <c r="F87" s="8"/>
      <c r="G87" s="4"/>
      <c r="H87" s="8"/>
      <c r="I87" s="7"/>
      <c r="J87" s="7"/>
      <c r="K87" s="4"/>
      <c r="L87" s="8"/>
      <c r="M87" s="4"/>
      <c r="N87" s="8"/>
      <c r="O87" s="7"/>
      <c r="P87" s="7"/>
    </row>
    <row r="88">
      <c r="A88" s="2" t="s">
        <v>461</v>
      </c>
      <c r="B88" s="2" t="s">
        <v>287</v>
      </c>
      <c r="C88" s="2" t="s">
        <v>975</v>
      </c>
      <c r="D88" s="2" t="s">
        <v>976</v>
      </c>
      <c r="E88" s="4" t="s">
        <v>206</v>
      </c>
      <c r="F88" s="8" t="s">
        <v>206</v>
      </c>
      <c r="G88" s="4" t="s">
        <v>206</v>
      </c>
      <c r="H88" s="8" t="s">
        <v>206</v>
      </c>
      <c r="I88" s="7" t="s">
        <v>206</v>
      </c>
      <c r="J88" s="7" t="s">
        <v>206</v>
      </c>
      <c r="K88" s="4"/>
      <c r="L88" s="8"/>
      <c r="M88" s="4"/>
      <c r="N88" s="8"/>
      <c r="O88" s="7"/>
      <c r="P88" s="7"/>
    </row>
    <row r="89">
      <c r="A89" s="2" t="s">
        <v>461</v>
      </c>
      <c r="B89" s="2" t="s">
        <v>287</v>
      </c>
      <c r="C89" s="2" t="s">
        <v>975</v>
      </c>
      <c r="D89" s="2" t="s">
        <v>1206</v>
      </c>
      <c r="E89" s="4" t="s">
        <v>206</v>
      </c>
      <c r="F89" s="8" t="s">
        <v>206</v>
      </c>
      <c r="G89" s="4" t="s">
        <v>206</v>
      </c>
      <c r="H89" s="8" t="s">
        <v>206</v>
      </c>
      <c r="I89" s="7" t="s">
        <v>206</v>
      </c>
      <c r="J89" s="7" t="s">
        <v>206</v>
      </c>
      <c r="K89" s="4"/>
      <c r="L89" s="8"/>
      <c r="M89" s="4"/>
      <c r="N89" s="8"/>
      <c r="O89" s="7"/>
      <c r="P89" s="7"/>
    </row>
    <row r="90">
      <c r="A90" s="2" t="s">
        <v>461</v>
      </c>
      <c r="B90" s="2" t="s">
        <v>287</v>
      </c>
      <c r="C90" s="2" t="s">
        <v>1032</v>
      </c>
      <c r="D90" s="2" t="s">
        <v>1033</v>
      </c>
      <c r="E90" s="4"/>
      <c r="F90" s="8"/>
      <c r="G90" s="4"/>
      <c r="H90" s="8"/>
      <c r="I90" s="7"/>
      <c r="J90" s="7"/>
      <c r="K90" s="4"/>
      <c r="L90" s="8"/>
      <c r="M90" s="4"/>
      <c r="N90" s="8"/>
      <c r="O90" s="7"/>
      <c r="P90" s="7"/>
    </row>
    <row r="91">
      <c r="A91" s="2" t="s">
        <v>461</v>
      </c>
      <c r="B91" s="2" t="s">
        <v>287</v>
      </c>
      <c r="C91" s="2" t="s">
        <v>463</v>
      </c>
      <c r="D91" s="2" t="s">
        <v>952</v>
      </c>
      <c r="E91" s="4" t="s">
        <v>206</v>
      </c>
      <c r="F91" s="8" t="s">
        <v>206</v>
      </c>
      <c r="G91" s="4" t="s">
        <v>206</v>
      </c>
      <c r="H91" s="8" t="s">
        <v>206</v>
      </c>
      <c r="I91" s="7" t="s">
        <v>206</v>
      </c>
      <c r="J91" s="7" t="s">
        <v>206</v>
      </c>
      <c r="K91" s="4"/>
      <c r="L91" s="8"/>
      <c r="M91" s="4"/>
      <c r="N91" s="8"/>
      <c r="O91" s="7"/>
      <c r="P91" s="7"/>
    </row>
    <row r="92">
      <c r="A92" s="2" t="s">
        <v>461</v>
      </c>
      <c r="B92" s="2" t="s">
        <v>287</v>
      </c>
      <c r="C92" s="2" t="s">
        <v>463</v>
      </c>
      <c r="D92" s="2" t="s">
        <v>464</v>
      </c>
      <c r="E92" s="4" t="s">
        <v>206</v>
      </c>
      <c r="F92" s="8" t="s">
        <v>206</v>
      </c>
      <c r="G92" s="4" t="s">
        <v>206</v>
      </c>
      <c r="H92" s="8" t="s">
        <v>206</v>
      </c>
      <c r="I92" s="7" t="s">
        <v>206</v>
      </c>
      <c r="J92" s="7" t="s">
        <v>206</v>
      </c>
      <c r="K92" s="4"/>
      <c r="L92" s="8"/>
      <c r="M92" s="4"/>
      <c r="N92" s="8"/>
      <c r="O92" s="7"/>
      <c r="P92" s="7"/>
    </row>
    <row r="93">
      <c r="A93" s="2" t="s">
        <v>461</v>
      </c>
      <c r="B93" s="2" t="s">
        <v>287</v>
      </c>
      <c r="C93" s="2" t="s">
        <v>1072</v>
      </c>
      <c r="D93" s="2" t="s">
        <v>1073</v>
      </c>
      <c r="E93" s="4"/>
      <c r="F93" s="8"/>
      <c r="G93" s="4"/>
      <c r="H93" s="8"/>
      <c r="I93" s="7"/>
      <c r="J93" s="7"/>
      <c r="K93" s="4"/>
      <c r="L93" s="8"/>
      <c r="M93" s="4"/>
      <c r="N93" s="8"/>
      <c r="O93" s="7"/>
      <c r="P93" s="7"/>
    </row>
    <row r="94">
      <c r="A94" s="2" t="s">
        <v>461</v>
      </c>
      <c r="B94" s="2" t="s">
        <v>287</v>
      </c>
      <c r="C94" s="2" t="s">
        <v>3436</v>
      </c>
      <c r="D94" s="2" t="s">
        <v>3437</v>
      </c>
      <c r="E94" s="4"/>
      <c r="F94" s="8"/>
      <c r="G94" s="4"/>
      <c r="H94" s="8"/>
      <c r="I94" s="7"/>
      <c r="J94" s="7"/>
      <c r="K94" s="4"/>
      <c r="L94" s="8"/>
      <c r="M94" s="4"/>
      <c r="N94" s="8"/>
      <c r="O94" s="7"/>
      <c r="P94" s="7"/>
    </row>
    <row r="95">
      <c r="A95" s="2" t="s">
        <v>461</v>
      </c>
      <c r="B95" s="2" t="s">
        <v>287</v>
      </c>
      <c r="C95" s="2" t="s">
        <v>599</v>
      </c>
      <c r="D95" s="2" t="s">
        <v>600</v>
      </c>
      <c r="E95" s="4"/>
      <c r="F95" s="8"/>
      <c r="G95" s="4"/>
      <c r="H95" s="8"/>
      <c r="I95" s="7"/>
      <c r="J95" s="7"/>
      <c r="K95" s="4"/>
      <c r="L95" s="8"/>
      <c r="M95" s="4"/>
      <c r="N95" s="8"/>
      <c r="O95" s="7"/>
      <c r="P95" s="7"/>
    </row>
    <row r="96">
      <c r="A96" s="2" t="s">
        <v>461</v>
      </c>
      <c r="B96" s="2" t="s">
        <v>287</v>
      </c>
      <c r="C96" s="2" t="s">
        <v>882</v>
      </c>
      <c r="D96" s="2" t="s">
        <v>3242</v>
      </c>
      <c r="E96" s="4" t="s">
        <v>206</v>
      </c>
      <c r="F96" s="8" t="s">
        <v>206</v>
      </c>
      <c r="G96" s="4" t="s">
        <v>206</v>
      </c>
      <c r="H96" s="8" t="s">
        <v>206</v>
      </c>
      <c r="I96" s="7" t="s">
        <v>206</v>
      </c>
      <c r="J96" s="7" t="s">
        <v>206</v>
      </c>
      <c r="K96" s="4"/>
      <c r="L96" s="8"/>
      <c r="M96" s="4"/>
      <c r="N96" s="8"/>
      <c r="O96" s="7"/>
      <c r="P96" s="7"/>
    </row>
    <row r="97">
      <c r="A97" s="2" t="s">
        <v>461</v>
      </c>
      <c r="B97" s="2" t="s">
        <v>287</v>
      </c>
      <c r="C97" s="2" t="s">
        <v>882</v>
      </c>
      <c r="D97" s="2" t="s">
        <v>1196</v>
      </c>
      <c r="E97" s="4" t="s">
        <v>206</v>
      </c>
      <c r="F97" s="8" t="s">
        <v>206</v>
      </c>
      <c r="G97" s="4" t="s">
        <v>206</v>
      </c>
      <c r="H97" s="8" t="s">
        <v>206</v>
      </c>
      <c r="I97" s="7" t="s">
        <v>206</v>
      </c>
      <c r="J97" s="7" t="s">
        <v>206</v>
      </c>
      <c r="K97" s="4"/>
      <c r="L97" s="8"/>
      <c r="M97" s="4"/>
      <c r="N97" s="8"/>
      <c r="O97" s="7"/>
      <c r="P97" s="7"/>
    </row>
    <row r="98">
      <c r="A98" s="2" t="s">
        <v>461</v>
      </c>
      <c r="B98" s="2" t="s">
        <v>287</v>
      </c>
      <c r="C98" s="2" t="s">
        <v>882</v>
      </c>
      <c r="D98" s="2" t="s">
        <v>883</v>
      </c>
      <c r="E98" s="4" t="s">
        <v>206</v>
      </c>
      <c r="F98" s="8" t="s">
        <v>206</v>
      </c>
      <c r="G98" s="4" t="s">
        <v>206</v>
      </c>
      <c r="H98" s="8" t="s">
        <v>206</v>
      </c>
      <c r="I98" s="7" t="s">
        <v>206</v>
      </c>
      <c r="J98" s="7" t="s">
        <v>206</v>
      </c>
      <c r="K98" s="4"/>
      <c r="L98" s="8"/>
      <c r="M98" s="4"/>
      <c r="N98" s="8"/>
      <c r="O98" s="7"/>
      <c r="P98" s="7"/>
    </row>
    <row r="99">
      <c r="A99" s="2" t="s">
        <v>461</v>
      </c>
      <c r="B99" s="2" t="s">
        <v>287</v>
      </c>
      <c r="C99" s="2" t="s">
        <v>963</v>
      </c>
      <c r="D99" s="2" t="s">
        <v>964</v>
      </c>
      <c r="E99" s="4"/>
      <c r="F99" s="8"/>
      <c r="G99" s="4"/>
      <c r="H99" s="8"/>
      <c r="I99" s="7"/>
      <c r="J99" s="7"/>
      <c r="K99" s="4"/>
      <c r="L99" s="8"/>
      <c r="M99" s="4"/>
      <c r="N99" s="8"/>
      <c r="O99" s="7"/>
      <c r="P99" s="7"/>
    </row>
    <row r="100">
      <c r="A100" s="2" t="s">
        <v>461</v>
      </c>
      <c r="B100" s="2" t="s">
        <v>1031</v>
      </c>
      <c r="C100" s="2" t="s">
        <v>1032</v>
      </c>
      <c r="D100" s="2" t="s">
        <v>1033</v>
      </c>
      <c r="E100" s="4"/>
      <c r="F100" s="8"/>
      <c r="G100" s="4"/>
      <c r="H100" s="8"/>
      <c r="I100" s="7"/>
      <c r="J100" s="7"/>
      <c r="K100" s="4"/>
      <c r="L100" s="8"/>
      <c r="M100" s="4"/>
      <c r="N100" s="8"/>
      <c r="O100" s="7"/>
      <c r="P100" s="7"/>
    </row>
    <row r="101">
      <c r="A101" s="2" t="s">
        <v>461</v>
      </c>
      <c r="B101" s="2" t="s">
        <v>447</v>
      </c>
      <c r="C101" s="2" t="s">
        <v>975</v>
      </c>
      <c r="D101" s="2" t="s">
        <v>976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461</v>
      </c>
      <c r="B102" s="2" t="s">
        <v>447</v>
      </c>
      <c r="C102" s="2" t="s">
        <v>1072</v>
      </c>
      <c r="D102" s="2" t="s">
        <v>1073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461</v>
      </c>
      <c r="B103" s="2" t="s">
        <v>447</v>
      </c>
      <c r="C103" s="2" t="s">
        <v>3198</v>
      </c>
      <c r="D103" s="2" t="s">
        <v>3199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461</v>
      </c>
      <c r="B104" s="2" t="s">
        <v>447</v>
      </c>
      <c r="C104" s="2" t="s">
        <v>963</v>
      </c>
      <c r="D104" s="2" t="s">
        <v>964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461</v>
      </c>
      <c r="B105" s="2" t="s">
        <v>447</v>
      </c>
      <c r="C105" s="2" t="s">
        <v>2315</v>
      </c>
      <c r="D105" s="2" t="s">
        <v>2316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507</v>
      </c>
      <c r="B106" s="2" t="s">
        <v>828</v>
      </c>
      <c r="C106" s="2" t="s">
        <v>829</v>
      </c>
      <c r="D106" s="2" t="s">
        <v>830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507</v>
      </c>
      <c r="B107" s="2" t="s">
        <v>828</v>
      </c>
      <c r="C107" s="2" t="s">
        <v>508</v>
      </c>
      <c r="D107" s="2" t="s">
        <v>509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507</v>
      </c>
      <c r="B108" s="2" t="s">
        <v>1708</v>
      </c>
      <c r="C108" s="2" t="s">
        <v>508</v>
      </c>
      <c r="D108" s="2" t="s">
        <v>509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507</v>
      </c>
      <c r="B109" s="2" t="s">
        <v>462</v>
      </c>
      <c r="C109" s="2" t="s">
        <v>1475</v>
      </c>
      <c r="D109" s="2" t="s">
        <v>1476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507</v>
      </c>
      <c r="B110" s="2" t="s">
        <v>462</v>
      </c>
      <c r="C110" s="2" t="s">
        <v>871</v>
      </c>
      <c r="D110" s="2" t="s">
        <v>872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507</v>
      </c>
      <c r="B111" s="2" t="s">
        <v>462</v>
      </c>
      <c r="C111" s="2" t="s">
        <v>3352</v>
      </c>
      <c r="D111" s="2" t="s">
        <v>3353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507</v>
      </c>
      <c r="B112" s="2" t="s">
        <v>462</v>
      </c>
      <c r="C112" s="2" t="s">
        <v>508</v>
      </c>
      <c r="D112" s="2" t="s">
        <v>509</v>
      </c>
      <c r="E112" s="4"/>
      <c r="F112" s="8"/>
      <c r="G112" s="4"/>
      <c r="H112" s="8"/>
      <c r="I112" s="7"/>
      <c r="J112" s="7"/>
      <c r="K112" s="4"/>
      <c r="L112" s="8"/>
      <c r="M112" s="4"/>
      <c r="N112" s="8"/>
      <c r="O112" s="7"/>
      <c r="P112" s="7"/>
    </row>
    <row r="113">
      <c r="A113" s="2" t="s">
        <v>507</v>
      </c>
      <c r="B113" s="2" t="s">
        <v>447</v>
      </c>
      <c r="C113" s="2" t="s">
        <v>508</v>
      </c>
      <c r="D113" s="2" t="s">
        <v>509</v>
      </c>
      <c r="E113" s="4"/>
      <c r="F113" s="8"/>
      <c r="G113" s="4"/>
      <c r="H113" s="8"/>
      <c r="I113" s="7"/>
      <c r="J113" s="7"/>
      <c r="K113" s="4"/>
      <c r="L113" s="8"/>
      <c r="M113" s="4"/>
      <c r="N113" s="8"/>
      <c r="O113" s="7"/>
      <c r="P113" s="7"/>
    </row>
    <row r="114">
      <c r="A114" s="2" t="s">
        <v>1433</v>
      </c>
      <c r="B114" s="2" t="s">
        <v>562</v>
      </c>
      <c r="C114" s="2" t="s">
        <v>1434</v>
      </c>
      <c r="D114" s="2" t="s">
        <v>1435</v>
      </c>
      <c r="E114" s="4"/>
      <c r="F114" s="8"/>
      <c r="G114" s="4"/>
      <c r="H114" s="8"/>
      <c r="I114" s="7"/>
      <c r="J114" s="7"/>
      <c r="K114" s="4"/>
      <c r="L114" s="8"/>
      <c r="M114" s="4"/>
      <c r="N114" s="8"/>
      <c r="O114" s="7"/>
      <c r="P114" s="7"/>
    </row>
    <row r="115">
      <c r="A115" s="2" t="s">
        <v>561</v>
      </c>
      <c r="B115" s="2" t="s">
        <v>562</v>
      </c>
      <c r="C115" s="2" t="s">
        <v>563</v>
      </c>
      <c r="D115" s="2" t="s">
        <v>564</v>
      </c>
      <c r="E115" s="4"/>
      <c r="F115" s="8"/>
      <c r="G115" s="4"/>
      <c r="H115" s="8"/>
      <c r="I115" s="7"/>
      <c r="J115" s="7"/>
      <c r="K115" s="4"/>
      <c r="L115" s="8"/>
      <c r="M115" s="4"/>
      <c r="N115" s="8"/>
      <c r="O115" s="7"/>
      <c r="P115" s="7"/>
    </row>
    <row r="116">
      <c r="A116" s="2" t="s">
        <v>225</v>
      </c>
      <c r="B116" s="2" t="s">
        <v>2240</v>
      </c>
      <c r="C116" s="2" t="s">
        <v>227</v>
      </c>
      <c r="D116" s="2" t="s">
        <v>228</v>
      </c>
      <c r="E116" s="4"/>
      <c r="F116" s="8"/>
      <c r="G116" s="4"/>
      <c r="H116" s="8"/>
      <c r="I116" s="7"/>
      <c r="J116" s="7"/>
      <c r="K116" s="4"/>
      <c r="L116" s="8"/>
      <c r="M116" s="4"/>
      <c r="N116" s="8"/>
      <c r="O116" s="7"/>
      <c r="P116" s="7"/>
    </row>
    <row r="117">
      <c r="A117" s="2" t="s">
        <v>225</v>
      </c>
      <c r="B117" s="2" t="s">
        <v>3610</v>
      </c>
      <c r="C117" s="2" t="s">
        <v>227</v>
      </c>
      <c r="D117" s="2" t="s">
        <v>228</v>
      </c>
      <c r="E117" s="4"/>
      <c r="F117" s="8"/>
      <c r="G117" s="4"/>
      <c r="H117" s="8"/>
      <c r="I117" s="7"/>
      <c r="J117" s="7"/>
      <c r="K117" s="4"/>
      <c r="L117" s="8"/>
      <c r="M117" s="4"/>
      <c r="N117" s="8"/>
      <c r="O117" s="7"/>
      <c r="P117" s="7"/>
    </row>
    <row r="118">
      <c r="A118" s="2" t="s">
        <v>225</v>
      </c>
      <c r="B118" s="2" t="s">
        <v>1145</v>
      </c>
      <c r="C118" s="2" t="s">
        <v>227</v>
      </c>
      <c r="D118" s="2" t="s">
        <v>228</v>
      </c>
      <c r="E118" s="4"/>
      <c r="F118" s="8"/>
      <c r="G118" s="4"/>
      <c r="H118" s="8"/>
      <c r="I118" s="7"/>
      <c r="J118" s="7"/>
      <c r="K118" s="4"/>
      <c r="L118" s="8"/>
      <c r="M118" s="4"/>
      <c r="N118" s="8"/>
      <c r="O118" s="7"/>
      <c r="P118" s="7"/>
    </row>
    <row r="119">
      <c r="A119" s="2" t="s">
        <v>225</v>
      </c>
      <c r="B119" s="2" t="s">
        <v>287</v>
      </c>
      <c r="C119" s="2" t="s">
        <v>1245</v>
      </c>
      <c r="D119" s="2" t="s">
        <v>1246</v>
      </c>
      <c r="E119" s="4"/>
      <c r="F119" s="8"/>
      <c r="G119" s="4"/>
      <c r="H119" s="8"/>
      <c r="I119" s="7"/>
      <c r="J119" s="7"/>
      <c r="K119" s="4"/>
      <c r="L119" s="8"/>
      <c r="M119" s="4"/>
      <c r="N119" s="8"/>
      <c r="O119" s="7"/>
      <c r="P119" s="7"/>
    </row>
    <row r="120">
      <c r="A120" s="2" t="s">
        <v>225</v>
      </c>
      <c r="B120" s="2" t="s">
        <v>287</v>
      </c>
      <c r="C120" s="2" t="s">
        <v>227</v>
      </c>
      <c r="D120" s="2" t="s">
        <v>228</v>
      </c>
      <c r="E120" s="4"/>
      <c r="F120" s="8"/>
      <c r="G120" s="4"/>
      <c r="H120" s="8"/>
      <c r="I120" s="7"/>
      <c r="J120" s="7"/>
      <c r="K120" s="4"/>
      <c r="L120" s="8"/>
      <c r="M120" s="4"/>
      <c r="N120" s="8"/>
      <c r="O120" s="7"/>
      <c r="P120" s="7"/>
    </row>
    <row r="121">
      <c r="A121" s="2" t="s">
        <v>225</v>
      </c>
      <c r="B121" s="2" t="s">
        <v>226</v>
      </c>
      <c r="C121" s="2" t="s">
        <v>227</v>
      </c>
      <c r="D121" s="2" t="s">
        <v>228</v>
      </c>
      <c r="E121" s="4"/>
      <c r="F121" s="8"/>
      <c r="G121" s="4"/>
      <c r="H121" s="8"/>
      <c r="I121" s="7"/>
      <c r="J121" s="7"/>
      <c r="K121" s="4"/>
      <c r="L121" s="8"/>
      <c r="M121" s="4"/>
      <c r="N121" s="8"/>
      <c r="O121" s="7"/>
      <c r="P121" s="7"/>
    </row>
    <row r="122">
      <c r="A122" s="2" t="s">
        <v>225</v>
      </c>
      <c r="B122" s="2" t="s">
        <v>196</v>
      </c>
      <c r="C122" s="2" t="s">
        <v>227</v>
      </c>
      <c r="D122" s="2" t="s">
        <v>228</v>
      </c>
      <c r="E122" s="4"/>
      <c r="F122" s="8"/>
      <c r="G122" s="4"/>
      <c r="H122" s="8"/>
      <c r="I122" s="7"/>
      <c r="J122" s="7"/>
      <c r="K122" s="4"/>
      <c r="L122" s="8"/>
      <c r="M122" s="4"/>
      <c r="N122" s="8"/>
      <c r="O122" s="7"/>
      <c r="P122" s="7"/>
    </row>
    <row r="123">
      <c r="A123" s="2" t="s">
        <v>225</v>
      </c>
      <c r="B123" s="2" t="s">
        <v>1948</v>
      </c>
      <c r="C123" s="2" t="s">
        <v>227</v>
      </c>
      <c r="D123" s="2" t="s">
        <v>228</v>
      </c>
      <c r="E123" s="4"/>
      <c r="F123" s="8"/>
      <c r="G123" s="4"/>
      <c r="H123" s="8"/>
      <c r="I123" s="7"/>
      <c r="J123" s="7"/>
      <c r="K123" s="4"/>
      <c r="L123" s="8"/>
      <c r="M123" s="4"/>
      <c r="N123" s="8"/>
      <c r="O123" s="7"/>
      <c r="P123" s="7"/>
    </row>
    <row r="124">
      <c r="A124" s="2" t="s">
        <v>225</v>
      </c>
      <c r="B124" s="2" t="s">
        <v>1927</v>
      </c>
      <c r="C124" s="2" t="s">
        <v>227</v>
      </c>
      <c r="D124" s="2" t="s">
        <v>228</v>
      </c>
      <c r="E124" s="4"/>
      <c r="F124" s="8"/>
      <c r="G124" s="4"/>
      <c r="H124" s="8"/>
      <c r="I124" s="7"/>
      <c r="J124" s="7"/>
      <c r="K124" s="4"/>
      <c r="L124" s="8"/>
      <c r="M124" s="4"/>
      <c r="N124" s="8"/>
      <c r="O124" s="7"/>
      <c r="P124" s="7"/>
    </row>
    <row r="125">
      <c r="A125" s="2" t="s">
        <v>475</v>
      </c>
      <c r="B125" s="2" t="s">
        <v>828</v>
      </c>
      <c r="C125" s="2" t="s">
        <v>476</v>
      </c>
      <c r="D125" s="2" t="s">
        <v>477</v>
      </c>
      <c r="E125" s="4"/>
      <c r="F125" s="8"/>
      <c r="G125" s="4"/>
      <c r="H125" s="8"/>
      <c r="I125" s="7"/>
      <c r="J125" s="7"/>
      <c r="K125" s="4"/>
      <c r="L125" s="8"/>
      <c r="M125" s="4"/>
      <c r="N125" s="8"/>
      <c r="O125" s="7"/>
      <c r="P125" s="7"/>
    </row>
    <row r="126">
      <c r="A126" s="2" t="s">
        <v>475</v>
      </c>
      <c r="B126" s="2" t="s">
        <v>2240</v>
      </c>
      <c r="C126" s="2" t="s">
        <v>476</v>
      </c>
      <c r="D126" s="2" t="s">
        <v>477</v>
      </c>
      <c r="E126" s="4"/>
      <c r="F126" s="8"/>
      <c r="G126" s="4"/>
      <c r="H126" s="8"/>
      <c r="I126" s="7"/>
      <c r="J126" s="7"/>
      <c r="K126" s="4"/>
      <c r="L126" s="8"/>
      <c r="M126" s="4"/>
      <c r="N126" s="8"/>
      <c r="O126" s="7"/>
      <c r="P126" s="7"/>
    </row>
    <row r="127">
      <c r="A127" s="2" t="s">
        <v>475</v>
      </c>
      <c r="B127" s="2" t="s">
        <v>2726</v>
      </c>
      <c r="C127" s="2" t="s">
        <v>476</v>
      </c>
      <c r="D127" s="2" t="s">
        <v>477</v>
      </c>
      <c r="E127" s="4"/>
      <c r="F127" s="8"/>
      <c r="G127" s="4"/>
      <c r="H127" s="8"/>
      <c r="I127" s="7"/>
      <c r="J127" s="7"/>
      <c r="K127" s="4"/>
      <c r="L127" s="8"/>
      <c r="M127" s="4"/>
      <c r="N127" s="8"/>
      <c r="O127" s="7"/>
      <c r="P127" s="7"/>
    </row>
    <row r="128">
      <c r="A128" s="2" t="s">
        <v>475</v>
      </c>
      <c r="B128" s="2" t="s">
        <v>287</v>
      </c>
      <c r="C128" s="2" t="s">
        <v>476</v>
      </c>
      <c r="D128" s="2" t="s">
        <v>477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475</v>
      </c>
      <c r="B129" s="2" t="s">
        <v>226</v>
      </c>
      <c r="C129" s="2" t="s">
        <v>476</v>
      </c>
      <c r="D129" s="2" t="s">
        <v>477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613</v>
      </c>
      <c r="B130" s="2" t="s">
        <v>828</v>
      </c>
      <c r="C130" s="2" t="s">
        <v>628</v>
      </c>
      <c r="D130" s="2" t="s">
        <v>840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613</v>
      </c>
      <c r="B131" s="2" t="s">
        <v>941</v>
      </c>
      <c r="C131" s="2" t="s">
        <v>628</v>
      </c>
      <c r="D131" s="2" t="s">
        <v>629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613</v>
      </c>
      <c r="B132" s="2" t="s">
        <v>1145</v>
      </c>
      <c r="C132" s="2" t="s">
        <v>3513</v>
      </c>
      <c r="D132" s="2" t="s">
        <v>3514</v>
      </c>
      <c r="E132" s="4"/>
      <c r="F132" s="8"/>
      <c r="G132" s="4"/>
      <c r="H132" s="8"/>
      <c r="I132" s="7"/>
      <c r="J132" s="7"/>
      <c r="K132" s="4"/>
      <c r="L132" s="8"/>
      <c r="M132" s="4"/>
      <c r="N132" s="8"/>
      <c r="O132" s="7"/>
      <c r="P132" s="7"/>
    </row>
    <row r="133">
      <c r="A133" s="2" t="s">
        <v>613</v>
      </c>
      <c r="B133" s="2" t="s">
        <v>1145</v>
      </c>
      <c r="C133" s="2" t="s">
        <v>628</v>
      </c>
      <c r="D133" s="2" t="s">
        <v>629</v>
      </c>
      <c r="E133" s="4"/>
      <c r="F133" s="8"/>
      <c r="G133" s="4"/>
      <c r="H133" s="8"/>
      <c r="I133" s="7"/>
      <c r="J133" s="7"/>
      <c r="K133" s="4"/>
      <c r="L133" s="8"/>
      <c r="M133" s="4"/>
      <c r="N133" s="8"/>
      <c r="O133" s="7"/>
      <c r="P133" s="7"/>
    </row>
    <row r="134">
      <c r="A134" s="2" t="s">
        <v>613</v>
      </c>
      <c r="B134" s="2" t="s">
        <v>287</v>
      </c>
      <c r="C134" s="2" t="s">
        <v>614</v>
      </c>
      <c r="D134" s="2" t="s">
        <v>615</v>
      </c>
      <c r="E134" s="4"/>
      <c r="F134" s="8"/>
      <c r="G134" s="4"/>
      <c r="H134" s="8"/>
      <c r="I134" s="7"/>
      <c r="J134" s="7"/>
      <c r="K134" s="4"/>
      <c r="L134" s="8"/>
      <c r="M134" s="4"/>
      <c r="N134" s="8"/>
      <c r="O134" s="7"/>
      <c r="P134" s="7"/>
    </row>
    <row r="135">
      <c r="A135" s="2" t="s">
        <v>613</v>
      </c>
      <c r="B135" s="2" t="s">
        <v>287</v>
      </c>
      <c r="C135" s="2" t="s">
        <v>628</v>
      </c>
      <c r="D135" s="2" t="s">
        <v>840</v>
      </c>
      <c r="E135" s="4" t="s">
        <v>206</v>
      </c>
      <c r="F135" s="8" t="s">
        <v>206</v>
      </c>
      <c r="G135" s="4" t="s">
        <v>206</v>
      </c>
      <c r="H135" s="8" t="s">
        <v>206</v>
      </c>
      <c r="I135" s="7" t="s">
        <v>206</v>
      </c>
      <c r="J135" s="7" t="s">
        <v>206</v>
      </c>
      <c r="K135" s="4"/>
      <c r="L135" s="8"/>
      <c r="M135" s="4"/>
      <c r="N135" s="8"/>
      <c r="O135" s="7"/>
      <c r="P135" s="7"/>
    </row>
    <row r="136">
      <c r="A136" s="2" t="s">
        <v>613</v>
      </c>
      <c r="B136" s="2" t="s">
        <v>287</v>
      </c>
      <c r="C136" s="2" t="s">
        <v>628</v>
      </c>
      <c r="D136" s="2" t="s">
        <v>1802</v>
      </c>
      <c r="E136" s="4" t="s">
        <v>206</v>
      </c>
      <c r="F136" s="8" t="s">
        <v>206</v>
      </c>
      <c r="G136" s="4" t="s">
        <v>206</v>
      </c>
      <c r="H136" s="8" t="s">
        <v>206</v>
      </c>
      <c r="I136" s="7" t="s">
        <v>206</v>
      </c>
      <c r="J136" s="7" t="s">
        <v>206</v>
      </c>
      <c r="K136" s="4"/>
      <c r="L136" s="8"/>
      <c r="M136" s="4"/>
      <c r="N136" s="8"/>
      <c r="O136" s="7"/>
      <c r="P136" s="7"/>
    </row>
    <row r="137">
      <c r="A137" s="2" t="s">
        <v>613</v>
      </c>
      <c r="B137" s="2" t="s">
        <v>287</v>
      </c>
      <c r="C137" s="2" t="s">
        <v>628</v>
      </c>
      <c r="D137" s="2" t="s">
        <v>929</v>
      </c>
      <c r="E137" s="4" t="s">
        <v>206</v>
      </c>
      <c r="F137" s="8" t="s">
        <v>206</v>
      </c>
      <c r="G137" s="4" t="s">
        <v>206</v>
      </c>
      <c r="H137" s="8" t="s">
        <v>206</v>
      </c>
      <c r="I137" s="7" t="s">
        <v>206</v>
      </c>
      <c r="J137" s="7" t="s">
        <v>206</v>
      </c>
      <c r="K137" s="4"/>
      <c r="L137" s="8"/>
      <c r="M137" s="4"/>
      <c r="N137" s="8"/>
      <c r="O137" s="7"/>
      <c r="P137" s="7"/>
    </row>
    <row r="138">
      <c r="A138" s="2" t="s">
        <v>613</v>
      </c>
      <c r="B138" s="2" t="s">
        <v>287</v>
      </c>
      <c r="C138" s="2" t="s">
        <v>628</v>
      </c>
      <c r="D138" s="2" t="s">
        <v>1633</v>
      </c>
      <c r="E138" s="4" t="s">
        <v>206</v>
      </c>
      <c r="F138" s="8" t="s">
        <v>206</v>
      </c>
      <c r="G138" s="4" t="s">
        <v>206</v>
      </c>
      <c r="H138" s="8" t="s">
        <v>206</v>
      </c>
      <c r="I138" s="7" t="s">
        <v>206</v>
      </c>
      <c r="J138" s="7" t="s">
        <v>206</v>
      </c>
      <c r="K138" s="4"/>
      <c r="L138" s="8"/>
      <c r="M138" s="4"/>
      <c r="N138" s="8"/>
      <c r="O138" s="7"/>
      <c r="P138" s="7"/>
    </row>
    <row r="139">
      <c r="A139" s="2" t="s">
        <v>613</v>
      </c>
      <c r="B139" s="2" t="s">
        <v>287</v>
      </c>
      <c r="C139" s="2" t="s">
        <v>628</v>
      </c>
      <c r="D139" s="2" t="s">
        <v>629</v>
      </c>
      <c r="E139" s="4" t="s">
        <v>206</v>
      </c>
      <c r="F139" s="8" t="s">
        <v>206</v>
      </c>
      <c r="G139" s="4" t="s">
        <v>206</v>
      </c>
      <c r="H139" s="8" t="s">
        <v>206</v>
      </c>
      <c r="I139" s="7" t="s">
        <v>206</v>
      </c>
      <c r="J139" s="7" t="s">
        <v>206</v>
      </c>
      <c r="K139" s="4"/>
      <c r="L139" s="8"/>
      <c r="M139" s="4"/>
      <c r="N139" s="8"/>
      <c r="O139" s="7"/>
      <c r="P139" s="7"/>
    </row>
    <row r="140">
      <c r="A140" s="2" t="s">
        <v>613</v>
      </c>
      <c r="B140" s="2" t="s">
        <v>287</v>
      </c>
      <c r="C140" s="2" t="s">
        <v>628</v>
      </c>
      <c r="D140" s="2" t="s">
        <v>3149</v>
      </c>
      <c r="E140" s="4" t="s">
        <v>206</v>
      </c>
      <c r="F140" s="8" t="s">
        <v>206</v>
      </c>
      <c r="G140" s="4" t="s">
        <v>206</v>
      </c>
      <c r="H140" s="8" t="s">
        <v>206</v>
      </c>
      <c r="I140" s="7" t="s">
        <v>206</v>
      </c>
      <c r="J140" s="7" t="s">
        <v>206</v>
      </c>
      <c r="K140" s="4"/>
      <c r="L140" s="8"/>
      <c r="M140" s="4"/>
      <c r="N140" s="8"/>
      <c r="O140" s="7"/>
      <c r="P140" s="7"/>
    </row>
    <row r="141">
      <c r="A141" s="2" t="s">
        <v>613</v>
      </c>
      <c r="B141" s="2" t="s">
        <v>1044</v>
      </c>
      <c r="C141" s="2" t="s">
        <v>628</v>
      </c>
      <c r="D141" s="2" t="s">
        <v>840</v>
      </c>
      <c r="E141" s="4" t="s">
        <v>206</v>
      </c>
      <c r="F141" s="8" t="s">
        <v>206</v>
      </c>
      <c r="G141" s="4" t="s">
        <v>206</v>
      </c>
      <c r="H141" s="8" t="s">
        <v>206</v>
      </c>
      <c r="I141" s="7" t="s">
        <v>206</v>
      </c>
      <c r="J141" s="7" t="s">
        <v>206</v>
      </c>
      <c r="K141" s="4"/>
      <c r="L141" s="8"/>
      <c r="M141" s="4"/>
      <c r="N141" s="8"/>
      <c r="O141" s="7"/>
      <c r="P141" s="7"/>
    </row>
    <row r="142">
      <c r="A142" s="2" t="s">
        <v>613</v>
      </c>
      <c r="B142" s="2" t="s">
        <v>1044</v>
      </c>
      <c r="C142" s="2" t="s">
        <v>628</v>
      </c>
      <c r="D142" s="2" t="s">
        <v>629</v>
      </c>
      <c r="E142" s="4" t="s">
        <v>206</v>
      </c>
      <c r="F142" s="8" t="s">
        <v>206</v>
      </c>
      <c r="G142" s="4" t="s">
        <v>206</v>
      </c>
      <c r="H142" s="8" t="s">
        <v>206</v>
      </c>
      <c r="I142" s="7" t="s">
        <v>206</v>
      </c>
      <c r="J142" s="7" t="s">
        <v>206</v>
      </c>
      <c r="K142" s="4"/>
      <c r="L142" s="8"/>
      <c r="M142" s="4"/>
      <c r="N142" s="8"/>
      <c r="O142" s="7"/>
      <c r="P142" s="7"/>
    </row>
    <row r="143">
      <c r="A143" s="2" t="s">
        <v>546</v>
      </c>
      <c r="B143" s="2" t="s">
        <v>1145</v>
      </c>
      <c r="C143" s="2" t="s">
        <v>529</v>
      </c>
      <c r="D143" s="2" t="s">
        <v>530</v>
      </c>
      <c r="E143" s="4" t="s">
        <v>206</v>
      </c>
      <c r="F143" s="8" t="s">
        <v>206</v>
      </c>
      <c r="G143" s="4" t="s">
        <v>206</v>
      </c>
      <c r="H143" s="8" t="s">
        <v>206</v>
      </c>
      <c r="I143" s="7" t="s">
        <v>206</v>
      </c>
      <c r="J143" s="7" t="s">
        <v>206</v>
      </c>
      <c r="K143" s="4"/>
      <c r="L143" s="8"/>
      <c r="M143" s="4"/>
      <c r="N143" s="8"/>
      <c r="O143" s="7"/>
      <c r="P143" s="7"/>
    </row>
    <row r="144">
      <c r="A144" s="2" t="s">
        <v>546</v>
      </c>
      <c r="B144" s="2" t="s">
        <v>1145</v>
      </c>
      <c r="C144" s="2" t="s">
        <v>529</v>
      </c>
      <c r="D144" s="2" t="s">
        <v>816</v>
      </c>
      <c r="E144" s="4" t="s">
        <v>206</v>
      </c>
      <c r="F144" s="8" t="s">
        <v>206</v>
      </c>
      <c r="G144" s="4" t="s">
        <v>206</v>
      </c>
      <c r="H144" s="8" t="s">
        <v>206</v>
      </c>
      <c r="I144" s="7" t="s">
        <v>206</v>
      </c>
      <c r="J144" s="7" t="s">
        <v>206</v>
      </c>
      <c r="K144" s="4"/>
      <c r="L144" s="8"/>
      <c r="M144" s="4"/>
      <c r="N144" s="8"/>
      <c r="O144" s="7"/>
      <c r="P144" s="7"/>
    </row>
    <row r="145">
      <c r="A145" s="2" t="s">
        <v>546</v>
      </c>
      <c r="B145" s="2" t="s">
        <v>1145</v>
      </c>
      <c r="C145" s="2" t="s">
        <v>529</v>
      </c>
      <c r="D145" s="2" t="s">
        <v>1134</v>
      </c>
      <c r="E145" s="4" t="s">
        <v>206</v>
      </c>
      <c r="F145" s="8" t="s">
        <v>206</v>
      </c>
      <c r="G145" s="4" t="s">
        <v>206</v>
      </c>
      <c r="H145" s="8" t="s">
        <v>206</v>
      </c>
      <c r="I145" s="7" t="s">
        <v>206</v>
      </c>
      <c r="J145" s="7" t="s">
        <v>206</v>
      </c>
      <c r="K145" s="4"/>
      <c r="L145" s="8"/>
      <c r="M145" s="4"/>
      <c r="N145" s="8"/>
      <c r="O145" s="7"/>
      <c r="P145" s="7"/>
    </row>
    <row r="146">
      <c r="A146" s="2" t="s">
        <v>546</v>
      </c>
      <c r="B146" s="2" t="s">
        <v>1145</v>
      </c>
      <c r="C146" s="2" t="s">
        <v>1612</v>
      </c>
      <c r="D146" s="2" t="s">
        <v>3231</v>
      </c>
      <c r="E146" s="4"/>
      <c r="F146" s="8"/>
      <c r="G146" s="4"/>
      <c r="H146" s="8"/>
      <c r="I146" s="7"/>
      <c r="J146" s="7"/>
      <c r="K146" s="4"/>
      <c r="L146" s="8"/>
      <c r="M146" s="4"/>
      <c r="N146" s="8"/>
      <c r="O146" s="7"/>
      <c r="P146" s="7"/>
    </row>
    <row r="147">
      <c r="A147" s="2" t="s">
        <v>546</v>
      </c>
      <c r="B147" s="2" t="s">
        <v>1145</v>
      </c>
      <c r="C147" s="2" t="s">
        <v>548</v>
      </c>
      <c r="D147" s="2" t="s">
        <v>579</v>
      </c>
      <c r="E147" s="4" t="s">
        <v>206</v>
      </c>
      <c r="F147" s="8" t="s">
        <v>206</v>
      </c>
      <c r="G147" s="4" t="s">
        <v>206</v>
      </c>
      <c r="H147" s="8" t="s">
        <v>206</v>
      </c>
      <c r="I147" s="7" t="s">
        <v>206</v>
      </c>
      <c r="J147" s="7" t="s">
        <v>206</v>
      </c>
      <c r="K147" s="4"/>
      <c r="L147" s="8"/>
      <c r="M147" s="4"/>
      <c r="N147" s="8"/>
      <c r="O147" s="7"/>
      <c r="P147" s="7"/>
    </row>
    <row r="148">
      <c r="A148" s="2" t="s">
        <v>546</v>
      </c>
      <c r="B148" s="2" t="s">
        <v>1145</v>
      </c>
      <c r="C148" s="2" t="s">
        <v>548</v>
      </c>
      <c r="D148" s="2" t="s">
        <v>549</v>
      </c>
      <c r="E148" s="4" t="s">
        <v>206</v>
      </c>
      <c r="F148" s="8" t="s">
        <v>206</v>
      </c>
      <c r="G148" s="4" t="s">
        <v>206</v>
      </c>
      <c r="H148" s="8" t="s">
        <v>206</v>
      </c>
      <c r="I148" s="7" t="s">
        <v>206</v>
      </c>
      <c r="J148" s="7" t="s">
        <v>206</v>
      </c>
      <c r="K148" s="4"/>
      <c r="L148" s="8"/>
      <c r="M148" s="4"/>
      <c r="N148" s="8"/>
      <c r="O148" s="7"/>
      <c r="P148" s="7"/>
    </row>
    <row r="149">
      <c r="A149" s="2" t="s">
        <v>546</v>
      </c>
      <c r="B149" s="2" t="s">
        <v>547</v>
      </c>
      <c r="C149" s="2" t="s">
        <v>529</v>
      </c>
      <c r="D149" s="2" t="s">
        <v>816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546</v>
      </c>
      <c r="B150" s="2" t="s">
        <v>547</v>
      </c>
      <c r="C150" s="2" t="s">
        <v>548</v>
      </c>
      <c r="D150" s="2" t="s">
        <v>549</v>
      </c>
      <c r="E150" s="4"/>
      <c r="F150" s="8"/>
      <c r="G150" s="4"/>
      <c r="H150" s="8"/>
      <c r="I150" s="7"/>
      <c r="J150" s="7"/>
      <c r="K150" s="4"/>
      <c r="L150" s="8"/>
      <c r="M150" s="4"/>
      <c r="N150" s="8"/>
      <c r="O150" s="7"/>
      <c r="P150" s="7"/>
    </row>
    <row r="151">
      <c r="A151" s="2" t="s">
        <v>546</v>
      </c>
      <c r="B151" s="2" t="s">
        <v>1316</v>
      </c>
      <c r="C151" s="2" t="s">
        <v>529</v>
      </c>
      <c r="D151" s="2" t="s">
        <v>816</v>
      </c>
      <c r="E151" s="4"/>
      <c r="F151" s="8"/>
      <c r="G151" s="4"/>
      <c r="H151" s="8"/>
      <c r="I151" s="7"/>
      <c r="J151" s="7"/>
      <c r="K151" s="4"/>
      <c r="L151" s="8"/>
      <c r="M151" s="4"/>
      <c r="N151" s="8"/>
      <c r="O151" s="7"/>
      <c r="P151" s="7"/>
    </row>
    <row r="152">
      <c r="A152" s="2" t="s">
        <v>546</v>
      </c>
      <c r="B152" s="2" t="s">
        <v>1316</v>
      </c>
      <c r="C152" s="2" t="s">
        <v>1612</v>
      </c>
      <c r="D152" s="2" t="s">
        <v>3280</v>
      </c>
      <c r="E152" s="4"/>
      <c r="F152" s="8"/>
      <c r="G152" s="4"/>
      <c r="H152" s="8"/>
      <c r="I152" s="7"/>
      <c r="J152" s="7"/>
      <c r="K152" s="4"/>
      <c r="L152" s="8"/>
      <c r="M152" s="4"/>
      <c r="N152" s="8"/>
      <c r="O152" s="7"/>
      <c r="P152" s="7"/>
    </row>
    <row r="153">
      <c r="A153" s="2" t="s">
        <v>546</v>
      </c>
      <c r="B153" s="2" t="s">
        <v>1316</v>
      </c>
      <c r="C153" s="2" t="s">
        <v>548</v>
      </c>
      <c r="D153" s="2" t="s">
        <v>549</v>
      </c>
      <c r="E153" s="4"/>
      <c r="F153" s="8"/>
      <c r="G153" s="4"/>
      <c r="H153" s="8"/>
      <c r="I153" s="7"/>
      <c r="J153" s="7"/>
      <c r="K153" s="4"/>
      <c r="L153" s="8"/>
      <c r="M153" s="4"/>
      <c r="N153" s="8"/>
      <c r="O153" s="7"/>
      <c r="P153" s="7"/>
    </row>
    <row r="154">
      <c r="A154" s="2" t="s">
        <v>546</v>
      </c>
      <c r="B154" s="2" t="s">
        <v>3504</v>
      </c>
      <c r="C154" s="2" t="s">
        <v>529</v>
      </c>
      <c r="D154" s="2" t="s">
        <v>816</v>
      </c>
      <c r="E154" s="4"/>
      <c r="F154" s="8"/>
      <c r="G154" s="4"/>
      <c r="H154" s="8"/>
      <c r="I154" s="7"/>
      <c r="J154" s="7"/>
      <c r="K154" s="4"/>
      <c r="L154" s="8"/>
      <c r="M154" s="4"/>
      <c r="N154" s="8"/>
      <c r="O154" s="7"/>
      <c r="P154" s="7"/>
    </row>
    <row r="155">
      <c r="A155" s="2" t="s">
        <v>546</v>
      </c>
      <c r="B155" s="2" t="s">
        <v>3504</v>
      </c>
      <c r="C155" s="2" t="s">
        <v>548</v>
      </c>
      <c r="D155" s="2" t="s">
        <v>549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7:E19"/>
    <mergeCell ref="F17:F19"/>
    <mergeCell ref="G17:G19"/>
    <mergeCell ref="H17:H19"/>
    <mergeCell ref="I17:I19"/>
    <mergeCell ref="J17:J19"/>
    <mergeCell ref="E22:E23"/>
    <mergeCell ref="F22:F23"/>
    <mergeCell ref="G22:G23"/>
    <mergeCell ref="H22:H23"/>
    <mergeCell ref="I22:I23"/>
    <mergeCell ref="J22:J23"/>
    <mergeCell ref="E28:E30"/>
    <mergeCell ref="F28:F30"/>
    <mergeCell ref="G28:G30"/>
    <mergeCell ref="H28:H30"/>
    <mergeCell ref="I28:I30"/>
    <mergeCell ref="J28:J30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40:E41"/>
    <mergeCell ref="F40:F41"/>
    <mergeCell ref="G40:G41"/>
    <mergeCell ref="H40:H41"/>
    <mergeCell ref="I40:I41"/>
    <mergeCell ref="J40:J41"/>
    <mergeCell ref="E46:E47"/>
    <mergeCell ref="F46:F47"/>
    <mergeCell ref="G46:G47"/>
    <mergeCell ref="H46:H47"/>
    <mergeCell ref="I46:I47"/>
    <mergeCell ref="J46:J47"/>
    <mergeCell ref="E67:E68"/>
    <mergeCell ref="F67:F68"/>
    <mergeCell ref="G67:G68"/>
    <mergeCell ref="H67:H68"/>
    <mergeCell ref="I67:I68"/>
    <mergeCell ref="J67:J68"/>
    <mergeCell ref="E70:E71"/>
    <mergeCell ref="F70:F71"/>
    <mergeCell ref="G70:G71"/>
    <mergeCell ref="H70:H71"/>
    <mergeCell ref="I70:I71"/>
    <mergeCell ref="J70:J71"/>
    <mergeCell ref="E72:E73"/>
    <mergeCell ref="F72:F73"/>
    <mergeCell ref="G72:G73"/>
    <mergeCell ref="H72:H73"/>
    <mergeCell ref="I72:I73"/>
    <mergeCell ref="J72:J73"/>
    <mergeCell ref="E76:E77"/>
    <mergeCell ref="F76:F77"/>
    <mergeCell ref="G76:G77"/>
    <mergeCell ref="H76:H77"/>
    <mergeCell ref="I76:I77"/>
    <mergeCell ref="J76:J77"/>
    <mergeCell ref="E88:E89"/>
    <mergeCell ref="F88:F89"/>
    <mergeCell ref="G88:G89"/>
    <mergeCell ref="H88:H89"/>
    <mergeCell ref="I88:I89"/>
    <mergeCell ref="J88:J89"/>
    <mergeCell ref="E91:E92"/>
    <mergeCell ref="F91:F92"/>
    <mergeCell ref="G91:G92"/>
    <mergeCell ref="H91:H92"/>
    <mergeCell ref="I91:I92"/>
    <mergeCell ref="J91:J92"/>
    <mergeCell ref="E96:E98"/>
    <mergeCell ref="F96:F98"/>
    <mergeCell ref="G96:G98"/>
    <mergeCell ref="H96:H98"/>
    <mergeCell ref="I96:I98"/>
    <mergeCell ref="J96:J98"/>
    <mergeCell ref="E135:E140"/>
    <mergeCell ref="F135:F140"/>
    <mergeCell ref="G135:G140"/>
    <mergeCell ref="H135:H140"/>
    <mergeCell ref="I135:I140"/>
    <mergeCell ref="J135:J140"/>
    <mergeCell ref="E141:E142"/>
    <mergeCell ref="F141:F142"/>
    <mergeCell ref="G141:G142"/>
    <mergeCell ref="H141:H142"/>
    <mergeCell ref="I141:I142"/>
    <mergeCell ref="J141:J142"/>
    <mergeCell ref="E143:E145"/>
    <mergeCell ref="F143:F145"/>
    <mergeCell ref="G143:G145"/>
    <mergeCell ref="H143:H145"/>
    <mergeCell ref="I143:I145"/>
    <mergeCell ref="J143:J145"/>
    <mergeCell ref="E147:E148"/>
    <mergeCell ref="F147:F148"/>
    <mergeCell ref="G147:G148"/>
    <mergeCell ref="H147:H148"/>
    <mergeCell ref="I147:I148"/>
    <mergeCell ref="J147:J14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5261</v>
      </c>
      <c r="C2" s="0" t="s">
        <v>5262</v>
      </c>
      <c r="D2" s="0" t="s">
        <v>5263</v>
      </c>
      <c r="E2" s="0" t="s">
        <v>59</v>
      </c>
    </row>
    <row r="3">
      <c r="A3" s="1" t="s">
        <v>59</v>
      </c>
      <c r="B3" s="1" t="s">
        <v>61</v>
      </c>
      <c r="C3" s="1" t="s">
        <v>62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59</v>
      </c>
      <c r="B4" s="1" t="s">
        <v>61</v>
      </c>
      <c r="C4" s="1" t="s">
        <v>62</v>
      </c>
      <c r="D4" s="1" t="s">
        <v>36</v>
      </c>
      <c r="E4" s="1" t="s">
        <v>36</v>
      </c>
      <c r="F4" s="1" t="s">
        <v>37</v>
      </c>
      <c r="G4" s="1" t="s">
        <v>37</v>
      </c>
      <c r="H4" s="1" t="s">
        <v>5264</v>
      </c>
      <c r="I4" s="1" t="s">
        <v>5265</v>
      </c>
      <c r="J4" s="1" t="s">
        <v>36</v>
      </c>
      <c r="K4" s="1" t="s">
        <v>36</v>
      </c>
      <c r="L4" s="1" t="s">
        <v>37</v>
      </c>
      <c r="M4" s="1" t="s">
        <v>37</v>
      </c>
      <c r="N4" s="1" t="s">
        <v>5266</v>
      </c>
      <c r="O4" s="1" t="s">
        <v>5267</v>
      </c>
    </row>
    <row r="5">
      <c r="A5" s="1" t="s">
        <v>59</v>
      </c>
      <c r="B5" s="1" t="s">
        <v>61</v>
      </c>
      <c r="C5" s="1" t="s">
        <v>62</v>
      </c>
      <c r="D5" s="1" t="s">
        <v>5268</v>
      </c>
      <c r="E5" s="1" t="s">
        <v>5269</v>
      </c>
      <c r="F5" s="1" t="s">
        <v>5268</v>
      </c>
      <c r="G5" s="1" t="s">
        <v>5269</v>
      </c>
      <c r="H5" s="1" t="s">
        <v>5264</v>
      </c>
      <c r="I5" s="1" t="s">
        <v>5265</v>
      </c>
      <c r="J5" s="1" t="s">
        <v>5270</v>
      </c>
      <c r="K5" s="1" t="s">
        <v>5271</v>
      </c>
      <c r="L5" s="1" t="s">
        <v>5270</v>
      </c>
      <c r="M5" s="1" t="s">
        <v>5271</v>
      </c>
      <c r="N5" s="1" t="s">
        <v>5266</v>
      </c>
      <c r="O5" s="1" t="s">
        <v>5267</v>
      </c>
    </row>
    <row r="6">
      <c r="A6" s="2" t="s">
        <v>528</v>
      </c>
      <c r="B6" s="2" t="s">
        <v>1681</v>
      </c>
      <c r="C6" s="2" t="s">
        <v>1682</v>
      </c>
      <c r="D6" s="4"/>
      <c r="E6" s="8"/>
      <c r="F6" s="4"/>
      <c r="G6" s="8"/>
      <c r="H6" s="7"/>
      <c r="I6" s="7"/>
      <c r="J6" s="4"/>
      <c r="K6" s="8"/>
      <c r="L6" s="4"/>
      <c r="M6" s="8"/>
      <c r="N6" s="7"/>
      <c r="O6" s="7"/>
    </row>
    <row r="7">
      <c r="A7" s="2" t="s">
        <v>528</v>
      </c>
      <c r="B7" s="2" t="s">
        <v>529</v>
      </c>
      <c r="C7" s="2" t="s">
        <v>530</v>
      </c>
      <c r="D7" s="4" t="s">
        <v>206</v>
      </c>
      <c r="E7" s="8" t="s">
        <v>206</v>
      </c>
      <c r="F7" s="4" t="s">
        <v>206</v>
      </c>
      <c r="G7" s="8" t="s">
        <v>206</v>
      </c>
      <c r="H7" s="7" t="s">
        <v>206</v>
      </c>
      <c r="I7" s="7" t="s">
        <v>206</v>
      </c>
      <c r="J7" s="4"/>
      <c r="K7" s="8"/>
      <c r="L7" s="4"/>
      <c r="M7" s="8"/>
      <c r="N7" s="7"/>
      <c r="O7" s="7"/>
    </row>
    <row r="8">
      <c r="A8" s="2" t="s">
        <v>528</v>
      </c>
      <c r="B8" s="2" t="s">
        <v>529</v>
      </c>
      <c r="C8" s="2" t="s">
        <v>816</v>
      </c>
      <c r="D8" s="4" t="s">
        <v>206</v>
      </c>
      <c r="E8" s="8" t="s">
        <v>206</v>
      </c>
      <c r="F8" s="4" t="s">
        <v>206</v>
      </c>
      <c r="G8" s="8" t="s">
        <v>206</v>
      </c>
      <c r="H8" s="7" t="s">
        <v>206</v>
      </c>
      <c r="I8" s="7" t="s">
        <v>206</v>
      </c>
      <c r="J8" s="4"/>
      <c r="K8" s="8"/>
      <c r="L8" s="4"/>
      <c r="M8" s="8"/>
      <c r="N8" s="7"/>
      <c r="O8" s="7"/>
    </row>
    <row r="9">
      <c r="A9" s="2" t="s">
        <v>528</v>
      </c>
      <c r="B9" s="2" t="s">
        <v>529</v>
      </c>
      <c r="C9" s="2" t="s">
        <v>1134</v>
      </c>
      <c r="D9" s="4" t="s">
        <v>206</v>
      </c>
      <c r="E9" s="8" t="s">
        <v>206</v>
      </c>
      <c r="F9" s="4" t="s">
        <v>206</v>
      </c>
      <c r="G9" s="8" t="s">
        <v>206</v>
      </c>
      <c r="H9" s="7" t="s">
        <v>206</v>
      </c>
      <c r="I9" s="7" t="s">
        <v>206</v>
      </c>
      <c r="J9" s="4"/>
      <c r="K9" s="8"/>
      <c r="L9" s="4"/>
      <c r="M9" s="8"/>
      <c r="N9" s="7"/>
      <c r="O9" s="7"/>
    </row>
    <row r="10">
      <c r="A10" s="2" t="s">
        <v>528</v>
      </c>
      <c r="B10" s="2" t="s">
        <v>1612</v>
      </c>
      <c r="C10" s="2" t="s">
        <v>4269</v>
      </c>
      <c r="D10" s="4" t="s">
        <v>206</v>
      </c>
      <c r="E10" s="8" t="s">
        <v>206</v>
      </c>
      <c r="F10" s="4" t="s">
        <v>206</v>
      </c>
      <c r="G10" s="8" t="s">
        <v>206</v>
      </c>
      <c r="H10" s="7" t="s">
        <v>206</v>
      </c>
      <c r="I10" s="7" t="s">
        <v>206</v>
      </c>
      <c r="J10" s="4"/>
      <c r="K10" s="8"/>
      <c r="L10" s="4"/>
      <c r="M10" s="8"/>
      <c r="N10" s="7"/>
      <c r="O10" s="7"/>
    </row>
    <row r="11">
      <c r="A11" s="2" t="s">
        <v>528</v>
      </c>
      <c r="B11" s="2" t="s">
        <v>1612</v>
      </c>
      <c r="C11" s="2" t="s">
        <v>1613</v>
      </c>
      <c r="D11" s="4" t="s">
        <v>206</v>
      </c>
      <c r="E11" s="8" t="s">
        <v>206</v>
      </c>
      <c r="F11" s="4" t="s">
        <v>206</v>
      </c>
      <c r="G11" s="8" t="s">
        <v>206</v>
      </c>
      <c r="H11" s="7" t="s">
        <v>206</v>
      </c>
      <c r="I11" s="7" t="s">
        <v>206</v>
      </c>
      <c r="J11" s="4"/>
      <c r="K11" s="8"/>
      <c r="L11" s="4"/>
      <c r="M11" s="8"/>
      <c r="N11" s="7"/>
      <c r="O11" s="7"/>
    </row>
    <row r="12">
      <c r="A12" s="2" t="s">
        <v>528</v>
      </c>
      <c r="B12" s="2" t="s">
        <v>1612</v>
      </c>
      <c r="C12" s="2" t="s">
        <v>3231</v>
      </c>
      <c r="D12" s="4" t="s">
        <v>206</v>
      </c>
      <c r="E12" s="8" t="s">
        <v>206</v>
      </c>
      <c r="F12" s="4" t="s">
        <v>206</v>
      </c>
      <c r="G12" s="8" t="s">
        <v>206</v>
      </c>
      <c r="H12" s="7" t="s">
        <v>206</v>
      </c>
      <c r="I12" s="7" t="s">
        <v>206</v>
      </c>
      <c r="J12" s="4"/>
      <c r="K12" s="8"/>
      <c r="L12" s="4"/>
      <c r="M12" s="8"/>
      <c r="N12" s="7"/>
      <c r="O12" s="7"/>
    </row>
    <row r="13">
      <c r="A13" s="2" t="s">
        <v>528</v>
      </c>
      <c r="B13" s="2" t="s">
        <v>1612</v>
      </c>
      <c r="C13" s="2" t="s">
        <v>3280</v>
      </c>
      <c r="D13" s="4" t="s">
        <v>206</v>
      </c>
      <c r="E13" s="8" t="s">
        <v>206</v>
      </c>
      <c r="F13" s="4" t="s">
        <v>206</v>
      </c>
      <c r="G13" s="8" t="s">
        <v>206</v>
      </c>
      <c r="H13" s="7" t="s">
        <v>206</v>
      </c>
      <c r="I13" s="7" t="s">
        <v>206</v>
      </c>
      <c r="J13" s="4"/>
      <c r="K13" s="8"/>
      <c r="L13" s="4"/>
      <c r="M13" s="8"/>
      <c r="N13" s="7"/>
      <c r="O13" s="7"/>
    </row>
    <row r="14">
      <c r="A14" s="2" t="s">
        <v>528</v>
      </c>
      <c r="B14" s="2" t="s">
        <v>1612</v>
      </c>
      <c r="C14" s="2" t="s">
        <v>4743</v>
      </c>
      <c r="D14" s="4" t="s">
        <v>206</v>
      </c>
      <c r="E14" s="8" t="s">
        <v>206</v>
      </c>
      <c r="F14" s="4" t="s">
        <v>206</v>
      </c>
      <c r="G14" s="8" t="s">
        <v>206</v>
      </c>
      <c r="H14" s="7" t="s">
        <v>206</v>
      </c>
      <c r="I14" s="7" t="s">
        <v>206</v>
      </c>
      <c r="J14" s="4"/>
      <c r="K14" s="8"/>
      <c r="L14" s="4"/>
      <c r="M14" s="8"/>
      <c r="N14" s="7"/>
      <c r="O14" s="7"/>
    </row>
    <row r="15">
      <c r="A15" s="2" t="s">
        <v>528</v>
      </c>
      <c r="B15" s="2" t="s">
        <v>548</v>
      </c>
      <c r="C15" s="2" t="s">
        <v>579</v>
      </c>
      <c r="D15" s="4" t="s">
        <v>206</v>
      </c>
      <c r="E15" s="8" t="s">
        <v>206</v>
      </c>
      <c r="F15" s="4" t="s">
        <v>206</v>
      </c>
      <c r="G15" s="8" t="s">
        <v>206</v>
      </c>
      <c r="H15" s="7" t="s">
        <v>206</v>
      </c>
      <c r="I15" s="7" t="s">
        <v>206</v>
      </c>
      <c r="J15" s="4"/>
      <c r="K15" s="8"/>
      <c r="L15" s="4"/>
      <c r="M15" s="8"/>
      <c r="N15" s="7"/>
      <c r="O15" s="7"/>
    </row>
    <row r="16">
      <c r="A16" s="2" t="s">
        <v>528</v>
      </c>
      <c r="B16" s="2" t="s">
        <v>548</v>
      </c>
      <c r="C16" s="2" t="s">
        <v>549</v>
      </c>
      <c r="D16" s="4" t="s">
        <v>206</v>
      </c>
      <c r="E16" s="8" t="s">
        <v>206</v>
      </c>
      <c r="F16" s="4" t="s">
        <v>206</v>
      </c>
      <c r="G16" s="8" t="s">
        <v>206</v>
      </c>
      <c r="H16" s="7" t="s">
        <v>206</v>
      </c>
      <c r="I16" s="7" t="s">
        <v>206</v>
      </c>
      <c r="J16" s="4"/>
      <c r="K16" s="8"/>
      <c r="L16" s="4"/>
      <c r="M16" s="8"/>
      <c r="N16" s="7"/>
      <c r="O16" s="7"/>
    </row>
    <row r="17">
      <c r="A17" s="2" t="s">
        <v>528</v>
      </c>
      <c r="B17" s="2" t="s">
        <v>1121</v>
      </c>
      <c r="C17" s="2" t="s">
        <v>1122</v>
      </c>
      <c r="D17" s="4" t="s">
        <v>206</v>
      </c>
      <c r="E17" s="8" t="s">
        <v>206</v>
      </c>
      <c r="F17" s="4" t="s">
        <v>206</v>
      </c>
      <c r="G17" s="8" t="s">
        <v>206</v>
      </c>
      <c r="H17" s="7" t="s">
        <v>206</v>
      </c>
      <c r="I17" s="7" t="s">
        <v>206</v>
      </c>
      <c r="J17" s="4"/>
      <c r="K17" s="8"/>
      <c r="L17" s="4"/>
      <c r="M17" s="8"/>
      <c r="N17" s="7"/>
      <c r="O17" s="7"/>
    </row>
    <row r="18">
      <c r="A18" s="2" t="s">
        <v>528</v>
      </c>
      <c r="B18" s="2" t="s">
        <v>1121</v>
      </c>
      <c r="C18" s="2" t="s">
        <v>2266</v>
      </c>
      <c r="D18" s="4" t="s">
        <v>206</v>
      </c>
      <c r="E18" s="8" t="s">
        <v>206</v>
      </c>
      <c r="F18" s="4" t="s">
        <v>206</v>
      </c>
      <c r="G18" s="8" t="s">
        <v>206</v>
      </c>
      <c r="H18" s="7" t="s">
        <v>206</v>
      </c>
      <c r="I18" s="7" t="s">
        <v>206</v>
      </c>
      <c r="J18" s="4"/>
      <c r="K18" s="8"/>
      <c r="L18" s="4"/>
      <c r="M18" s="8"/>
      <c r="N18" s="7"/>
      <c r="O18" s="7"/>
    </row>
    <row r="19">
      <c r="A19" s="2" t="s">
        <v>2987</v>
      </c>
      <c r="B19" s="2" t="s">
        <v>2988</v>
      </c>
      <c r="C19" s="2" t="s">
        <v>2989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429</v>
      </c>
      <c r="B20" s="2" t="s">
        <v>895</v>
      </c>
      <c r="C20" s="2" t="s">
        <v>5083</v>
      </c>
      <c r="D20" s="4" t="s">
        <v>206</v>
      </c>
      <c r="E20" s="8" t="s">
        <v>206</v>
      </c>
      <c r="F20" s="4" t="s">
        <v>206</v>
      </c>
      <c r="G20" s="8" t="s">
        <v>206</v>
      </c>
      <c r="H20" s="7" t="s">
        <v>206</v>
      </c>
      <c r="I20" s="7" t="s">
        <v>206</v>
      </c>
      <c r="J20" s="4"/>
      <c r="K20" s="8"/>
      <c r="L20" s="4"/>
      <c r="M20" s="8"/>
      <c r="N20" s="7"/>
      <c r="O20" s="7"/>
    </row>
    <row r="21">
      <c r="A21" s="2" t="s">
        <v>429</v>
      </c>
      <c r="B21" s="2" t="s">
        <v>895</v>
      </c>
      <c r="C21" s="2" t="s">
        <v>4660</v>
      </c>
      <c r="D21" s="4" t="s">
        <v>206</v>
      </c>
      <c r="E21" s="8" t="s">
        <v>206</v>
      </c>
      <c r="F21" s="4" t="s">
        <v>206</v>
      </c>
      <c r="G21" s="8" t="s">
        <v>206</v>
      </c>
      <c r="H21" s="7" t="s">
        <v>206</v>
      </c>
      <c r="I21" s="7" t="s">
        <v>206</v>
      </c>
      <c r="J21" s="4"/>
      <c r="K21" s="8"/>
      <c r="L21" s="4"/>
      <c r="M21" s="8"/>
      <c r="N21" s="7"/>
      <c r="O21" s="7"/>
    </row>
    <row r="22">
      <c r="A22" s="2" t="s">
        <v>429</v>
      </c>
      <c r="B22" s="2" t="s">
        <v>895</v>
      </c>
      <c r="C22" s="2" t="s">
        <v>431</v>
      </c>
      <c r="D22" s="4" t="s">
        <v>206</v>
      </c>
      <c r="E22" s="8" t="s">
        <v>206</v>
      </c>
      <c r="F22" s="4" t="s">
        <v>206</v>
      </c>
      <c r="G22" s="8" t="s">
        <v>206</v>
      </c>
      <c r="H22" s="7" t="s">
        <v>206</v>
      </c>
      <c r="I22" s="7" t="s">
        <v>206</v>
      </c>
      <c r="J22" s="4"/>
      <c r="K22" s="8"/>
      <c r="L22" s="4"/>
      <c r="M22" s="8"/>
      <c r="N22" s="7"/>
      <c r="O22" s="7"/>
    </row>
    <row r="23">
      <c r="A23" s="2" t="s">
        <v>429</v>
      </c>
      <c r="B23" s="2" t="s">
        <v>895</v>
      </c>
      <c r="C23" s="2" t="s">
        <v>2171</v>
      </c>
      <c r="D23" s="4" t="s">
        <v>206</v>
      </c>
      <c r="E23" s="8" t="s">
        <v>206</v>
      </c>
      <c r="F23" s="4" t="s">
        <v>206</v>
      </c>
      <c r="G23" s="8" t="s">
        <v>206</v>
      </c>
      <c r="H23" s="7" t="s">
        <v>206</v>
      </c>
      <c r="I23" s="7" t="s">
        <v>206</v>
      </c>
      <c r="J23" s="4"/>
      <c r="K23" s="8"/>
      <c r="L23" s="4"/>
      <c r="M23" s="8"/>
      <c r="N23" s="7"/>
      <c r="O23" s="7"/>
    </row>
    <row r="24">
      <c r="A24" s="2" t="s">
        <v>429</v>
      </c>
      <c r="B24" s="2" t="s">
        <v>909</v>
      </c>
      <c r="C24" s="2" t="s">
        <v>910</v>
      </c>
      <c r="D24" s="4" t="s">
        <v>206</v>
      </c>
      <c r="E24" s="8" t="s">
        <v>206</v>
      </c>
      <c r="F24" s="4" t="s">
        <v>206</v>
      </c>
      <c r="G24" s="8" t="s">
        <v>206</v>
      </c>
      <c r="H24" s="7" t="s">
        <v>206</v>
      </c>
      <c r="I24" s="7" t="s">
        <v>206</v>
      </c>
      <c r="J24" s="4"/>
      <c r="K24" s="8"/>
      <c r="L24" s="4"/>
      <c r="M24" s="8"/>
      <c r="N24" s="7"/>
      <c r="O24" s="7"/>
    </row>
    <row r="25">
      <c r="A25" s="2" t="s">
        <v>429</v>
      </c>
      <c r="B25" s="2" t="s">
        <v>909</v>
      </c>
      <c r="C25" s="2" t="s">
        <v>431</v>
      </c>
      <c r="D25" s="4" t="s">
        <v>206</v>
      </c>
      <c r="E25" s="8" t="s">
        <v>206</v>
      </c>
      <c r="F25" s="4" t="s">
        <v>206</v>
      </c>
      <c r="G25" s="8" t="s">
        <v>206</v>
      </c>
      <c r="H25" s="7" t="s">
        <v>206</v>
      </c>
      <c r="I25" s="7" t="s">
        <v>206</v>
      </c>
      <c r="J25" s="4"/>
      <c r="K25" s="8"/>
      <c r="L25" s="4"/>
      <c r="M25" s="8"/>
      <c r="N25" s="7"/>
      <c r="O25" s="7"/>
    </row>
    <row r="26">
      <c r="A26" s="2" t="s">
        <v>429</v>
      </c>
      <c r="B26" s="2" t="s">
        <v>2562</v>
      </c>
      <c r="C26" s="2" t="s">
        <v>3791</v>
      </c>
      <c r="D26" s="4" t="s">
        <v>206</v>
      </c>
      <c r="E26" s="8" t="s">
        <v>206</v>
      </c>
      <c r="F26" s="4" t="s">
        <v>206</v>
      </c>
      <c r="G26" s="8" t="s">
        <v>206</v>
      </c>
      <c r="H26" s="7" t="s">
        <v>206</v>
      </c>
      <c r="I26" s="7" t="s">
        <v>206</v>
      </c>
      <c r="J26" s="4"/>
      <c r="K26" s="8"/>
      <c r="L26" s="4"/>
      <c r="M26" s="8"/>
      <c r="N26" s="7"/>
      <c r="O26" s="7"/>
    </row>
    <row r="27">
      <c r="A27" s="2" t="s">
        <v>429</v>
      </c>
      <c r="B27" s="2" t="s">
        <v>2562</v>
      </c>
      <c r="C27" s="2" t="s">
        <v>2563</v>
      </c>
      <c r="D27" s="4" t="s">
        <v>206</v>
      </c>
      <c r="E27" s="8" t="s">
        <v>206</v>
      </c>
      <c r="F27" s="4" t="s">
        <v>206</v>
      </c>
      <c r="G27" s="8" t="s">
        <v>206</v>
      </c>
      <c r="H27" s="7" t="s">
        <v>206</v>
      </c>
      <c r="I27" s="7" t="s">
        <v>206</v>
      </c>
      <c r="J27" s="4"/>
      <c r="K27" s="8"/>
      <c r="L27" s="4"/>
      <c r="M27" s="8"/>
      <c r="N27" s="7"/>
      <c r="O27" s="7"/>
    </row>
    <row r="28">
      <c r="A28" s="2" t="s">
        <v>429</v>
      </c>
      <c r="B28" s="2" t="s">
        <v>4606</v>
      </c>
      <c r="C28" s="2" t="s">
        <v>4607</v>
      </c>
      <c r="D28" s="4"/>
      <c r="E28" s="8"/>
      <c r="F28" s="4"/>
      <c r="G28" s="8"/>
      <c r="H28" s="7"/>
      <c r="I28" s="7"/>
      <c r="J28" s="4"/>
      <c r="K28" s="8"/>
      <c r="L28" s="4"/>
      <c r="M28" s="8"/>
      <c r="N28" s="7"/>
      <c r="O28" s="7"/>
    </row>
    <row r="29">
      <c r="A29" s="2" t="s">
        <v>429</v>
      </c>
      <c r="B29" s="2" t="s">
        <v>430</v>
      </c>
      <c r="C29" s="2" t="s">
        <v>431</v>
      </c>
      <c r="D29" s="4" t="s">
        <v>206</v>
      </c>
      <c r="E29" s="8" t="s">
        <v>206</v>
      </c>
      <c r="F29" s="4" t="s">
        <v>206</v>
      </c>
      <c r="G29" s="8" t="s">
        <v>206</v>
      </c>
      <c r="H29" s="7" t="s">
        <v>206</v>
      </c>
      <c r="I29" s="7" t="s">
        <v>206</v>
      </c>
      <c r="J29" s="4"/>
      <c r="K29" s="8"/>
      <c r="L29" s="4"/>
      <c r="M29" s="8"/>
      <c r="N29" s="7"/>
      <c r="O29" s="7"/>
    </row>
    <row r="30">
      <c r="A30" s="2" t="s">
        <v>429</v>
      </c>
      <c r="B30" s="2" t="s">
        <v>430</v>
      </c>
      <c r="C30" s="2" t="s">
        <v>2171</v>
      </c>
      <c r="D30" s="4" t="s">
        <v>206</v>
      </c>
      <c r="E30" s="8" t="s">
        <v>206</v>
      </c>
      <c r="F30" s="4" t="s">
        <v>206</v>
      </c>
      <c r="G30" s="8" t="s">
        <v>206</v>
      </c>
      <c r="H30" s="7" t="s">
        <v>206</v>
      </c>
      <c r="I30" s="7" t="s">
        <v>206</v>
      </c>
      <c r="J30" s="4"/>
      <c r="K30" s="8"/>
      <c r="L30" s="4"/>
      <c r="M30" s="8"/>
      <c r="N30" s="7"/>
      <c r="O30" s="7"/>
    </row>
    <row r="31">
      <c r="A31" s="2" t="s">
        <v>195</v>
      </c>
      <c r="B31" s="2" t="s">
        <v>529</v>
      </c>
      <c r="C31" s="2" t="s">
        <v>1764</v>
      </c>
      <c r="D31" s="4" t="s">
        <v>206</v>
      </c>
      <c r="E31" s="8" t="s">
        <v>206</v>
      </c>
      <c r="F31" s="4" t="s">
        <v>206</v>
      </c>
      <c r="G31" s="8" t="s">
        <v>206</v>
      </c>
      <c r="H31" s="7" t="s">
        <v>206</v>
      </c>
      <c r="I31" s="7" t="s">
        <v>206</v>
      </c>
      <c r="J31" s="4"/>
      <c r="K31" s="8"/>
      <c r="L31" s="4"/>
      <c r="M31" s="8"/>
      <c r="N31" s="7"/>
      <c r="O31" s="7"/>
    </row>
    <row r="32">
      <c r="A32" s="2" t="s">
        <v>195</v>
      </c>
      <c r="B32" s="2" t="s">
        <v>529</v>
      </c>
      <c r="C32" s="2" t="s">
        <v>2907</v>
      </c>
      <c r="D32" s="4" t="s">
        <v>206</v>
      </c>
      <c r="E32" s="8" t="s">
        <v>206</v>
      </c>
      <c r="F32" s="4" t="s">
        <v>206</v>
      </c>
      <c r="G32" s="8" t="s">
        <v>206</v>
      </c>
      <c r="H32" s="7" t="s">
        <v>206</v>
      </c>
      <c r="I32" s="7" t="s">
        <v>206</v>
      </c>
      <c r="J32" s="4"/>
      <c r="K32" s="8"/>
      <c r="L32" s="4"/>
      <c r="M32" s="8"/>
      <c r="N32" s="7"/>
      <c r="O32" s="7"/>
    </row>
    <row r="33">
      <c r="A33" s="2" t="s">
        <v>195</v>
      </c>
      <c r="B33" s="2" t="s">
        <v>197</v>
      </c>
      <c r="C33" s="2" t="s">
        <v>2947</v>
      </c>
      <c r="D33" s="4" t="s">
        <v>206</v>
      </c>
      <c r="E33" s="8" t="s">
        <v>206</v>
      </c>
      <c r="F33" s="4" t="s">
        <v>206</v>
      </c>
      <c r="G33" s="8" t="s">
        <v>206</v>
      </c>
      <c r="H33" s="7" t="s">
        <v>206</v>
      </c>
      <c r="I33" s="7" t="s">
        <v>206</v>
      </c>
      <c r="J33" s="4"/>
      <c r="K33" s="8"/>
      <c r="L33" s="4"/>
      <c r="M33" s="8"/>
      <c r="N33" s="7"/>
      <c r="O33" s="7"/>
    </row>
    <row r="34">
      <c r="A34" s="2" t="s">
        <v>195</v>
      </c>
      <c r="B34" s="2" t="s">
        <v>197</v>
      </c>
      <c r="C34" s="2" t="s">
        <v>198</v>
      </c>
      <c r="D34" s="4" t="s">
        <v>206</v>
      </c>
      <c r="E34" s="8" t="s">
        <v>206</v>
      </c>
      <c r="F34" s="4" t="s">
        <v>206</v>
      </c>
      <c r="G34" s="8" t="s">
        <v>206</v>
      </c>
      <c r="H34" s="7" t="s">
        <v>206</v>
      </c>
      <c r="I34" s="7" t="s">
        <v>206</v>
      </c>
      <c r="J34" s="4"/>
      <c r="K34" s="8"/>
      <c r="L34" s="4"/>
      <c r="M34" s="8"/>
      <c r="N34" s="7"/>
      <c r="O34" s="7"/>
    </row>
    <row r="35">
      <c r="A35" s="2" t="s">
        <v>195</v>
      </c>
      <c r="B35" s="2" t="s">
        <v>1121</v>
      </c>
      <c r="C35" s="2" t="s">
        <v>4724</v>
      </c>
      <c r="D35" s="4"/>
      <c r="E35" s="8"/>
      <c r="F35" s="4"/>
      <c r="G35" s="8"/>
      <c r="H35" s="7"/>
      <c r="I35" s="7"/>
      <c r="J35" s="4"/>
      <c r="K35" s="8"/>
      <c r="L35" s="4"/>
      <c r="M35" s="8"/>
      <c r="N35" s="7"/>
      <c r="O35" s="7"/>
    </row>
    <row r="36">
      <c r="A36" s="2" t="s">
        <v>195</v>
      </c>
      <c r="B36" s="2" t="s">
        <v>801</v>
      </c>
      <c r="C36" s="2" t="s">
        <v>2793</v>
      </c>
      <c r="D36" s="4"/>
      <c r="E36" s="8"/>
      <c r="F36" s="4"/>
      <c r="G36" s="8"/>
      <c r="H36" s="7"/>
      <c r="I36" s="7"/>
      <c r="J36" s="4"/>
      <c r="K36" s="8"/>
      <c r="L36" s="4"/>
      <c r="M36" s="8"/>
      <c r="N36" s="7"/>
      <c r="O36" s="7"/>
    </row>
    <row r="37">
      <c r="A37" s="2" t="s">
        <v>662</v>
      </c>
      <c r="B37" s="2" t="s">
        <v>663</v>
      </c>
      <c r="C37" s="2" t="s">
        <v>664</v>
      </c>
      <c r="D37" s="4"/>
      <c r="E37" s="8"/>
      <c r="F37" s="4"/>
      <c r="G37" s="8"/>
      <c r="H37" s="7"/>
      <c r="I37" s="7"/>
      <c r="J37" s="4"/>
      <c r="K37" s="8"/>
      <c r="L37" s="4"/>
      <c r="M37" s="8"/>
      <c r="N37" s="7"/>
      <c r="O37" s="7"/>
    </row>
    <row r="38">
      <c r="A38" s="2" t="s">
        <v>662</v>
      </c>
      <c r="B38" s="2" t="s">
        <v>4119</v>
      </c>
      <c r="C38" s="2" t="s">
        <v>477</v>
      </c>
      <c r="D38" s="4"/>
      <c r="E38" s="8"/>
      <c r="F38" s="4"/>
      <c r="G38" s="8"/>
      <c r="H38" s="7"/>
      <c r="I38" s="7"/>
      <c r="J38" s="4"/>
      <c r="K38" s="8"/>
      <c r="L38" s="4"/>
      <c r="M38" s="8"/>
      <c r="N38" s="7"/>
      <c r="O38" s="7"/>
    </row>
    <row r="39">
      <c r="A39" s="2" t="s">
        <v>662</v>
      </c>
      <c r="B39" s="2" t="s">
        <v>684</v>
      </c>
      <c r="C39" s="2" t="s">
        <v>685</v>
      </c>
      <c r="D39" s="4"/>
      <c r="E39" s="8"/>
      <c r="F39" s="4"/>
      <c r="G39" s="8"/>
      <c r="H39" s="7"/>
      <c r="I39" s="7"/>
      <c r="J39" s="4"/>
      <c r="K39" s="8"/>
      <c r="L39" s="4"/>
      <c r="M39" s="8"/>
      <c r="N39" s="7"/>
      <c r="O39" s="7"/>
    </row>
    <row r="40">
      <c r="A40" s="2" t="s">
        <v>800</v>
      </c>
      <c r="B40" s="2" t="s">
        <v>1267</v>
      </c>
      <c r="C40" s="2" t="s">
        <v>1268</v>
      </c>
      <c r="D40" s="4"/>
      <c r="E40" s="8"/>
      <c r="F40" s="4"/>
      <c r="G40" s="8"/>
      <c r="H40" s="7"/>
      <c r="I40" s="7"/>
      <c r="J40" s="4"/>
      <c r="K40" s="8"/>
      <c r="L40" s="4"/>
      <c r="M40" s="8"/>
      <c r="N40" s="7"/>
      <c r="O40" s="7"/>
    </row>
    <row r="41">
      <c r="A41" s="2" t="s">
        <v>800</v>
      </c>
      <c r="B41" s="2" t="s">
        <v>529</v>
      </c>
      <c r="C41" s="2" t="s">
        <v>1134</v>
      </c>
      <c r="D41" s="4"/>
      <c r="E41" s="8"/>
      <c r="F41" s="4"/>
      <c r="G41" s="8"/>
      <c r="H41" s="7"/>
      <c r="I41" s="7"/>
      <c r="J41" s="4"/>
      <c r="K41" s="8"/>
      <c r="L41" s="4"/>
      <c r="M41" s="8"/>
      <c r="N41" s="7"/>
      <c r="O41" s="7"/>
    </row>
    <row r="42">
      <c r="A42" s="2" t="s">
        <v>800</v>
      </c>
      <c r="B42" s="2" t="s">
        <v>1859</v>
      </c>
      <c r="C42" s="2" t="s">
        <v>1860</v>
      </c>
      <c r="D42" s="4" t="s">
        <v>206</v>
      </c>
      <c r="E42" s="8" t="s">
        <v>206</v>
      </c>
      <c r="F42" s="4" t="s">
        <v>206</v>
      </c>
      <c r="G42" s="8" t="s">
        <v>206</v>
      </c>
      <c r="H42" s="7" t="s">
        <v>206</v>
      </c>
      <c r="I42" s="7" t="s">
        <v>206</v>
      </c>
      <c r="J42" s="4"/>
      <c r="K42" s="8"/>
      <c r="L42" s="4"/>
      <c r="M42" s="8"/>
      <c r="N42" s="7"/>
      <c r="O42" s="7"/>
    </row>
    <row r="43">
      <c r="A43" s="2" t="s">
        <v>800</v>
      </c>
      <c r="B43" s="2" t="s">
        <v>1859</v>
      </c>
      <c r="C43" s="2" t="s">
        <v>2573</v>
      </c>
      <c r="D43" s="4" t="s">
        <v>206</v>
      </c>
      <c r="E43" s="8" t="s">
        <v>206</v>
      </c>
      <c r="F43" s="4" t="s">
        <v>206</v>
      </c>
      <c r="G43" s="8" t="s">
        <v>206</v>
      </c>
      <c r="H43" s="7" t="s">
        <v>206</v>
      </c>
      <c r="I43" s="7" t="s">
        <v>206</v>
      </c>
      <c r="J43" s="4"/>
      <c r="K43" s="8"/>
      <c r="L43" s="4"/>
      <c r="M43" s="8"/>
      <c r="N43" s="7"/>
      <c r="O43" s="7"/>
    </row>
    <row r="44">
      <c r="A44" s="2" t="s">
        <v>800</v>
      </c>
      <c r="B44" s="2" t="s">
        <v>1121</v>
      </c>
      <c r="C44" s="2" t="s">
        <v>2266</v>
      </c>
      <c r="D44" s="4"/>
      <c r="E44" s="8"/>
      <c r="F44" s="4"/>
      <c r="G44" s="8"/>
      <c r="H44" s="7"/>
      <c r="I44" s="7"/>
      <c r="J44" s="4"/>
      <c r="K44" s="8"/>
      <c r="L44" s="4"/>
      <c r="M44" s="8"/>
      <c r="N44" s="7"/>
      <c r="O44" s="7"/>
    </row>
    <row r="45">
      <c r="A45" s="2" t="s">
        <v>800</v>
      </c>
      <c r="B45" s="2" t="s">
        <v>1245</v>
      </c>
      <c r="C45" s="2" t="s">
        <v>1246</v>
      </c>
      <c r="D45" s="4"/>
      <c r="E45" s="8"/>
      <c r="F45" s="4"/>
      <c r="G45" s="8"/>
      <c r="H45" s="7"/>
      <c r="I45" s="7"/>
      <c r="J45" s="4"/>
      <c r="K45" s="8"/>
      <c r="L45" s="4"/>
      <c r="M45" s="8"/>
      <c r="N45" s="7"/>
      <c r="O45" s="7"/>
    </row>
    <row r="46">
      <c r="A46" s="2" t="s">
        <v>800</v>
      </c>
      <c r="B46" s="2" t="s">
        <v>801</v>
      </c>
      <c r="C46" s="2" t="s">
        <v>802</v>
      </c>
      <c r="D46" s="4" t="s">
        <v>206</v>
      </c>
      <c r="E46" s="8" t="s">
        <v>206</v>
      </c>
      <c r="F46" s="4" t="s">
        <v>206</v>
      </c>
      <c r="G46" s="8" t="s">
        <v>206</v>
      </c>
      <c r="H46" s="7" t="s">
        <v>206</v>
      </c>
      <c r="I46" s="7" t="s">
        <v>206</v>
      </c>
      <c r="J46" s="4"/>
      <c r="K46" s="8"/>
      <c r="L46" s="4"/>
      <c r="M46" s="8"/>
      <c r="N46" s="7"/>
      <c r="O46" s="7"/>
    </row>
    <row r="47">
      <c r="A47" s="2" t="s">
        <v>800</v>
      </c>
      <c r="B47" s="2" t="s">
        <v>801</v>
      </c>
      <c r="C47" s="2" t="s">
        <v>1262</v>
      </c>
      <c r="D47" s="4" t="s">
        <v>206</v>
      </c>
      <c r="E47" s="8" t="s">
        <v>206</v>
      </c>
      <c r="F47" s="4" t="s">
        <v>206</v>
      </c>
      <c r="G47" s="8" t="s">
        <v>206</v>
      </c>
      <c r="H47" s="7" t="s">
        <v>206</v>
      </c>
      <c r="I47" s="7" t="s">
        <v>206</v>
      </c>
      <c r="J47" s="4"/>
      <c r="K47" s="8"/>
      <c r="L47" s="4"/>
      <c r="M47" s="8"/>
      <c r="N47" s="7"/>
      <c r="O47" s="7"/>
    </row>
    <row r="48">
      <c r="A48" s="2" t="s">
        <v>461</v>
      </c>
      <c r="B48" s="2" t="s">
        <v>790</v>
      </c>
      <c r="C48" s="2" t="s">
        <v>791</v>
      </c>
      <c r="D48" s="4" t="s">
        <v>206</v>
      </c>
      <c r="E48" s="8" t="s">
        <v>206</v>
      </c>
      <c r="F48" s="4" t="s">
        <v>206</v>
      </c>
      <c r="G48" s="8" t="s">
        <v>206</v>
      </c>
      <c r="H48" s="7" t="s">
        <v>206</v>
      </c>
      <c r="I48" s="7" t="s">
        <v>206</v>
      </c>
      <c r="J48" s="4"/>
      <c r="K48" s="8"/>
      <c r="L48" s="4"/>
      <c r="M48" s="8"/>
      <c r="N48" s="7"/>
      <c r="O48" s="7"/>
    </row>
    <row r="49">
      <c r="A49" s="2" t="s">
        <v>461</v>
      </c>
      <c r="B49" s="2" t="s">
        <v>790</v>
      </c>
      <c r="C49" s="2" t="s">
        <v>4931</v>
      </c>
      <c r="D49" s="4" t="s">
        <v>206</v>
      </c>
      <c r="E49" s="8" t="s">
        <v>206</v>
      </c>
      <c r="F49" s="4" t="s">
        <v>206</v>
      </c>
      <c r="G49" s="8" t="s">
        <v>206</v>
      </c>
      <c r="H49" s="7" t="s">
        <v>206</v>
      </c>
      <c r="I49" s="7" t="s">
        <v>206</v>
      </c>
      <c r="J49" s="4"/>
      <c r="K49" s="8"/>
      <c r="L49" s="4"/>
      <c r="M49" s="8"/>
      <c r="N49" s="7"/>
      <c r="O49" s="7"/>
    </row>
    <row r="50">
      <c r="A50" s="2" t="s">
        <v>461</v>
      </c>
      <c r="B50" s="2" t="s">
        <v>975</v>
      </c>
      <c r="C50" s="2" t="s">
        <v>976</v>
      </c>
      <c r="D50" s="4" t="s">
        <v>206</v>
      </c>
      <c r="E50" s="8" t="s">
        <v>206</v>
      </c>
      <c r="F50" s="4" t="s">
        <v>206</v>
      </c>
      <c r="G50" s="8" t="s">
        <v>206</v>
      </c>
      <c r="H50" s="7" t="s">
        <v>206</v>
      </c>
      <c r="I50" s="7" t="s">
        <v>206</v>
      </c>
      <c r="J50" s="4"/>
      <c r="K50" s="8"/>
      <c r="L50" s="4"/>
      <c r="M50" s="8"/>
      <c r="N50" s="7"/>
      <c r="O50" s="7"/>
    </row>
    <row r="51">
      <c r="A51" s="2" t="s">
        <v>461</v>
      </c>
      <c r="B51" s="2" t="s">
        <v>975</v>
      </c>
      <c r="C51" s="2" t="s">
        <v>1206</v>
      </c>
      <c r="D51" s="4" t="s">
        <v>206</v>
      </c>
      <c r="E51" s="8" t="s">
        <v>206</v>
      </c>
      <c r="F51" s="4" t="s">
        <v>206</v>
      </c>
      <c r="G51" s="8" t="s">
        <v>206</v>
      </c>
      <c r="H51" s="7" t="s">
        <v>206</v>
      </c>
      <c r="I51" s="7" t="s">
        <v>206</v>
      </c>
      <c r="J51" s="4"/>
      <c r="K51" s="8"/>
      <c r="L51" s="4"/>
      <c r="M51" s="8"/>
      <c r="N51" s="7"/>
      <c r="O51" s="7"/>
    </row>
    <row r="52">
      <c r="A52" s="2" t="s">
        <v>461</v>
      </c>
      <c r="B52" s="2" t="s">
        <v>1032</v>
      </c>
      <c r="C52" s="2" t="s">
        <v>1033</v>
      </c>
      <c r="D52" s="4"/>
      <c r="E52" s="8"/>
      <c r="F52" s="4"/>
      <c r="G52" s="8"/>
      <c r="H52" s="7"/>
      <c r="I52" s="7"/>
      <c r="J52" s="4"/>
      <c r="K52" s="8"/>
      <c r="L52" s="4"/>
      <c r="M52" s="8"/>
      <c r="N52" s="7"/>
      <c r="O52" s="7"/>
    </row>
    <row r="53">
      <c r="A53" s="2" t="s">
        <v>461</v>
      </c>
      <c r="B53" s="2" t="s">
        <v>3750</v>
      </c>
      <c r="C53" s="2" t="s">
        <v>3751</v>
      </c>
      <c r="D53" s="4"/>
      <c r="E53" s="8"/>
      <c r="F53" s="4"/>
      <c r="G53" s="8"/>
      <c r="H53" s="7"/>
      <c r="I53" s="7"/>
      <c r="J53" s="4"/>
      <c r="K53" s="8"/>
      <c r="L53" s="4"/>
      <c r="M53" s="8"/>
      <c r="N53" s="7"/>
      <c r="O53" s="7"/>
    </row>
    <row r="54">
      <c r="A54" s="2" t="s">
        <v>461</v>
      </c>
      <c r="B54" s="2" t="s">
        <v>463</v>
      </c>
      <c r="C54" s="2" t="s">
        <v>952</v>
      </c>
      <c r="D54" s="4" t="s">
        <v>206</v>
      </c>
      <c r="E54" s="8" t="s">
        <v>206</v>
      </c>
      <c r="F54" s="4" t="s">
        <v>206</v>
      </c>
      <c r="G54" s="8" t="s">
        <v>206</v>
      </c>
      <c r="H54" s="7" t="s">
        <v>206</v>
      </c>
      <c r="I54" s="7" t="s">
        <v>206</v>
      </c>
      <c r="J54" s="4"/>
      <c r="K54" s="8"/>
      <c r="L54" s="4"/>
      <c r="M54" s="8"/>
      <c r="N54" s="7"/>
      <c r="O54" s="7"/>
    </row>
    <row r="55">
      <c r="A55" s="2" t="s">
        <v>461</v>
      </c>
      <c r="B55" s="2" t="s">
        <v>463</v>
      </c>
      <c r="C55" s="2" t="s">
        <v>464</v>
      </c>
      <c r="D55" s="4" t="s">
        <v>206</v>
      </c>
      <c r="E55" s="8" t="s">
        <v>206</v>
      </c>
      <c r="F55" s="4" t="s">
        <v>206</v>
      </c>
      <c r="G55" s="8" t="s">
        <v>206</v>
      </c>
      <c r="H55" s="7" t="s">
        <v>206</v>
      </c>
      <c r="I55" s="7" t="s">
        <v>206</v>
      </c>
      <c r="J55" s="4"/>
      <c r="K55" s="8"/>
      <c r="L55" s="4"/>
      <c r="M55" s="8"/>
      <c r="N55" s="7"/>
      <c r="O55" s="7"/>
    </row>
    <row r="56">
      <c r="A56" s="2" t="s">
        <v>461</v>
      </c>
      <c r="B56" s="2" t="s">
        <v>3190</v>
      </c>
      <c r="C56" s="2" t="s">
        <v>3191</v>
      </c>
      <c r="D56" s="4"/>
      <c r="E56" s="8"/>
      <c r="F56" s="4"/>
      <c r="G56" s="8"/>
      <c r="H56" s="7"/>
      <c r="I56" s="7"/>
      <c r="J56" s="4"/>
      <c r="K56" s="8"/>
      <c r="L56" s="4"/>
      <c r="M56" s="8"/>
      <c r="N56" s="7"/>
      <c r="O56" s="7"/>
    </row>
    <row r="57">
      <c r="A57" s="2" t="s">
        <v>461</v>
      </c>
      <c r="B57" s="2" t="s">
        <v>5053</v>
      </c>
      <c r="C57" s="2" t="s">
        <v>791</v>
      </c>
      <c r="D57" s="4"/>
      <c r="E57" s="8"/>
      <c r="F57" s="4"/>
      <c r="G57" s="8"/>
      <c r="H57" s="7"/>
      <c r="I57" s="7"/>
      <c r="J57" s="4"/>
      <c r="K57" s="8"/>
      <c r="L57" s="4"/>
      <c r="M57" s="8"/>
      <c r="N57" s="7"/>
      <c r="O57" s="7"/>
    </row>
    <row r="58">
      <c r="A58" s="2" t="s">
        <v>461</v>
      </c>
      <c r="B58" s="2" t="s">
        <v>1072</v>
      </c>
      <c r="C58" s="2" t="s">
        <v>1073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461</v>
      </c>
      <c r="B59" s="2" t="s">
        <v>3436</v>
      </c>
      <c r="C59" s="2" t="s">
        <v>3437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461</v>
      </c>
      <c r="B60" s="2" t="s">
        <v>599</v>
      </c>
      <c r="C60" s="2" t="s">
        <v>600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461</v>
      </c>
      <c r="B61" s="2" t="s">
        <v>882</v>
      </c>
      <c r="C61" s="2" t="s">
        <v>3242</v>
      </c>
      <c r="D61" s="4" t="s">
        <v>206</v>
      </c>
      <c r="E61" s="8" t="s">
        <v>206</v>
      </c>
      <c r="F61" s="4" t="s">
        <v>206</v>
      </c>
      <c r="G61" s="8" t="s">
        <v>206</v>
      </c>
      <c r="H61" s="7" t="s">
        <v>206</v>
      </c>
      <c r="I61" s="7" t="s">
        <v>206</v>
      </c>
      <c r="J61" s="4"/>
      <c r="K61" s="8"/>
      <c r="L61" s="4"/>
      <c r="M61" s="8"/>
      <c r="N61" s="7"/>
      <c r="O61" s="7"/>
    </row>
    <row r="62">
      <c r="A62" s="2" t="s">
        <v>461</v>
      </c>
      <c r="B62" s="2" t="s">
        <v>882</v>
      </c>
      <c r="C62" s="2" t="s">
        <v>1196</v>
      </c>
      <c r="D62" s="4" t="s">
        <v>206</v>
      </c>
      <c r="E62" s="8" t="s">
        <v>206</v>
      </c>
      <c r="F62" s="4" t="s">
        <v>206</v>
      </c>
      <c r="G62" s="8" t="s">
        <v>206</v>
      </c>
      <c r="H62" s="7" t="s">
        <v>206</v>
      </c>
      <c r="I62" s="7" t="s">
        <v>206</v>
      </c>
      <c r="J62" s="4"/>
      <c r="K62" s="8"/>
      <c r="L62" s="4"/>
      <c r="M62" s="8"/>
      <c r="N62" s="7"/>
      <c r="O62" s="7"/>
    </row>
    <row r="63">
      <c r="A63" s="2" t="s">
        <v>461</v>
      </c>
      <c r="B63" s="2" t="s">
        <v>882</v>
      </c>
      <c r="C63" s="2" t="s">
        <v>883</v>
      </c>
      <c r="D63" s="4" t="s">
        <v>206</v>
      </c>
      <c r="E63" s="8" t="s">
        <v>206</v>
      </c>
      <c r="F63" s="4" t="s">
        <v>206</v>
      </c>
      <c r="G63" s="8" t="s">
        <v>206</v>
      </c>
      <c r="H63" s="7" t="s">
        <v>206</v>
      </c>
      <c r="I63" s="7" t="s">
        <v>206</v>
      </c>
      <c r="J63" s="4"/>
      <c r="K63" s="8"/>
      <c r="L63" s="4"/>
      <c r="M63" s="8"/>
      <c r="N63" s="7"/>
      <c r="O63" s="7"/>
    </row>
    <row r="64">
      <c r="A64" s="2" t="s">
        <v>461</v>
      </c>
      <c r="B64" s="2" t="s">
        <v>3198</v>
      </c>
      <c r="C64" s="2" t="s">
        <v>3199</v>
      </c>
      <c r="D64" s="4"/>
      <c r="E64" s="8"/>
      <c r="F64" s="4"/>
      <c r="G64" s="8"/>
      <c r="H64" s="7"/>
      <c r="I64" s="7"/>
      <c r="J64" s="4"/>
      <c r="K64" s="8"/>
      <c r="L64" s="4"/>
      <c r="M64" s="8"/>
      <c r="N64" s="7"/>
      <c r="O64" s="7"/>
    </row>
    <row r="65">
      <c r="A65" s="2" t="s">
        <v>461</v>
      </c>
      <c r="B65" s="2" t="s">
        <v>963</v>
      </c>
      <c r="C65" s="2" t="s">
        <v>964</v>
      </c>
      <c r="D65" s="4"/>
      <c r="E65" s="8"/>
      <c r="F65" s="4"/>
      <c r="G65" s="8"/>
      <c r="H65" s="7"/>
      <c r="I65" s="7"/>
      <c r="J65" s="4"/>
      <c r="K65" s="8"/>
      <c r="L65" s="4"/>
      <c r="M65" s="8"/>
      <c r="N65" s="7"/>
      <c r="O65" s="7"/>
    </row>
    <row r="66">
      <c r="A66" s="2" t="s">
        <v>461</v>
      </c>
      <c r="B66" s="2" t="s">
        <v>2315</v>
      </c>
      <c r="C66" s="2" t="s">
        <v>2316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461</v>
      </c>
      <c r="B67" s="2" t="s">
        <v>4061</v>
      </c>
      <c r="C67" s="2" t="s">
        <v>4062</v>
      </c>
      <c r="D67" s="4"/>
      <c r="E67" s="8"/>
      <c r="F67" s="4"/>
      <c r="G67" s="8"/>
      <c r="H67" s="7"/>
      <c r="I67" s="7"/>
      <c r="J67" s="4"/>
      <c r="K67" s="8"/>
      <c r="L67" s="4"/>
      <c r="M67" s="8"/>
      <c r="N67" s="7"/>
      <c r="O67" s="7"/>
    </row>
    <row r="68">
      <c r="A68" s="2" t="s">
        <v>507</v>
      </c>
      <c r="B68" s="2" t="s">
        <v>1475</v>
      </c>
      <c r="C68" s="2" t="s">
        <v>1476</v>
      </c>
      <c r="D68" s="4"/>
      <c r="E68" s="8"/>
      <c r="F68" s="4"/>
      <c r="G68" s="8"/>
      <c r="H68" s="7"/>
      <c r="I68" s="7"/>
      <c r="J68" s="4"/>
      <c r="K68" s="8"/>
      <c r="L68" s="4"/>
      <c r="M68" s="8"/>
      <c r="N68" s="7"/>
      <c r="O68" s="7"/>
    </row>
    <row r="69">
      <c r="A69" s="2" t="s">
        <v>507</v>
      </c>
      <c r="B69" s="2" t="s">
        <v>829</v>
      </c>
      <c r="C69" s="2" t="s">
        <v>830</v>
      </c>
      <c r="D69" s="4"/>
      <c r="E69" s="8"/>
      <c r="F69" s="4"/>
      <c r="G69" s="8"/>
      <c r="H69" s="7"/>
      <c r="I69" s="7"/>
      <c r="J69" s="4"/>
      <c r="K69" s="8"/>
      <c r="L69" s="4"/>
      <c r="M69" s="8"/>
      <c r="N69" s="7"/>
      <c r="O69" s="7"/>
    </row>
    <row r="70">
      <c r="A70" s="2" t="s">
        <v>507</v>
      </c>
      <c r="B70" s="2" t="s">
        <v>871</v>
      </c>
      <c r="C70" s="2" t="s">
        <v>872</v>
      </c>
      <c r="D70" s="4"/>
      <c r="E70" s="8"/>
      <c r="F70" s="4"/>
      <c r="G70" s="8"/>
      <c r="H70" s="7"/>
      <c r="I70" s="7"/>
      <c r="J70" s="4"/>
      <c r="K70" s="8"/>
      <c r="L70" s="4"/>
      <c r="M70" s="8"/>
      <c r="N70" s="7"/>
      <c r="O70" s="7"/>
    </row>
    <row r="71">
      <c r="A71" s="2" t="s">
        <v>507</v>
      </c>
      <c r="B71" s="2" t="s">
        <v>3352</v>
      </c>
      <c r="C71" s="2" t="s">
        <v>3353</v>
      </c>
      <c r="D71" s="4"/>
      <c r="E71" s="8"/>
      <c r="F71" s="4"/>
      <c r="G71" s="8"/>
      <c r="H71" s="7"/>
      <c r="I71" s="7"/>
      <c r="J71" s="4"/>
      <c r="K71" s="8"/>
      <c r="L71" s="4"/>
      <c r="M71" s="8"/>
      <c r="N71" s="7"/>
      <c r="O71" s="7"/>
    </row>
    <row r="72">
      <c r="A72" s="2" t="s">
        <v>507</v>
      </c>
      <c r="B72" s="2" t="s">
        <v>508</v>
      </c>
      <c r="C72" s="2" t="s">
        <v>509</v>
      </c>
      <c r="D72" s="4"/>
      <c r="E72" s="8"/>
      <c r="F72" s="4"/>
      <c r="G72" s="8"/>
      <c r="H72" s="7"/>
      <c r="I72" s="7"/>
      <c r="J72" s="4"/>
      <c r="K72" s="8"/>
      <c r="L72" s="4"/>
      <c r="M72" s="8"/>
      <c r="N72" s="7"/>
      <c r="O72" s="7"/>
    </row>
    <row r="73">
      <c r="A73" s="2" t="s">
        <v>1433</v>
      </c>
      <c r="B73" s="2" t="s">
        <v>1434</v>
      </c>
      <c r="C73" s="2" t="s">
        <v>1435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561</v>
      </c>
      <c r="B74" s="2" t="s">
        <v>563</v>
      </c>
      <c r="C74" s="2" t="s">
        <v>564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225</v>
      </c>
      <c r="B75" s="2" t="s">
        <v>1245</v>
      </c>
      <c r="C75" s="2" t="s">
        <v>1246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  <row r="76">
      <c r="A76" s="2" t="s">
        <v>225</v>
      </c>
      <c r="B76" s="2" t="s">
        <v>227</v>
      </c>
      <c r="C76" s="2" t="s">
        <v>228</v>
      </c>
      <c r="D76" s="4"/>
      <c r="E76" s="8"/>
      <c r="F76" s="4"/>
      <c r="G76" s="8"/>
      <c r="H76" s="7"/>
      <c r="I76" s="7"/>
      <c r="J76" s="4"/>
      <c r="K76" s="8"/>
      <c r="L76" s="4"/>
      <c r="M76" s="8"/>
      <c r="N76" s="7"/>
      <c r="O76" s="7"/>
    </row>
    <row r="77">
      <c r="A77" s="2" t="s">
        <v>475</v>
      </c>
      <c r="B77" s="2" t="s">
        <v>476</v>
      </c>
      <c r="C77" s="2" t="s">
        <v>477</v>
      </c>
      <c r="D77" s="4"/>
      <c r="E77" s="8"/>
      <c r="F77" s="4"/>
      <c r="G77" s="8"/>
      <c r="H77" s="7"/>
      <c r="I77" s="7"/>
      <c r="J77" s="4"/>
      <c r="K77" s="8"/>
      <c r="L77" s="4"/>
      <c r="M77" s="8"/>
      <c r="N77" s="7"/>
      <c r="O77" s="7"/>
    </row>
    <row r="78">
      <c r="A78" s="2" t="s">
        <v>613</v>
      </c>
      <c r="B78" s="2" t="s">
        <v>3513</v>
      </c>
      <c r="C78" s="2" t="s">
        <v>3514</v>
      </c>
      <c r="D78" s="4"/>
      <c r="E78" s="8"/>
      <c r="F78" s="4"/>
      <c r="G78" s="8"/>
      <c r="H78" s="7"/>
      <c r="I78" s="7"/>
      <c r="J78" s="4"/>
      <c r="K78" s="8"/>
      <c r="L78" s="4"/>
      <c r="M78" s="8"/>
      <c r="N78" s="7"/>
      <c r="O78" s="7"/>
    </row>
    <row r="79">
      <c r="A79" s="2" t="s">
        <v>613</v>
      </c>
      <c r="B79" s="2" t="s">
        <v>614</v>
      </c>
      <c r="C79" s="2" t="s">
        <v>615</v>
      </c>
      <c r="D79" s="4"/>
      <c r="E79" s="8"/>
      <c r="F79" s="4"/>
      <c r="G79" s="8"/>
      <c r="H79" s="7"/>
      <c r="I79" s="7"/>
      <c r="J79" s="4"/>
      <c r="K79" s="8"/>
      <c r="L79" s="4"/>
      <c r="M79" s="8"/>
      <c r="N79" s="7"/>
      <c r="O79" s="7"/>
    </row>
    <row r="80">
      <c r="A80" s="2" t="s">
        <v>613</v>
      </c>
      <c r="B80" s="2" t="s">
        <v>628</v>
      </c>
      <c r="C80" s="2" t="s">
        <v>840</v>
      </c>
      <c r="D80" s="4" t="s">
        <v>206</v>
      </c>
      <c r="E80" s="8" t="s">
        <v>206</v>
      </c>
      <c r="F80" s="4" t="s">
        <v>206</v>
      </c>
      <c r="G80" s="8" t="s">
        <v>206</v>
      </c>
      <c r="H80" s="7" t="s">
        <v>206</v>
      </c>
      <c r="I80" s="7" t="s">
        <v>206</v>
      </c>
      <c r="J80" s="4"/>
      <c r="K80" s="8"/>
      <c r="L80" s="4"/>
      <c r="M80" s="8"/>
      <c r="N80" s="7"/>
      <c r="O80" s="7"/>
    </row>
    <row r="81">
      <c r="A81" s="2" t="s">
        <v>613</v>
      </c>
      <c r="B81" s="2" t="s">
        <v>628</v>
      </c>
      <c r="C81" s="2" t="s">
        <v>1802</v>
      </c>
      <c r="D81" s="4" t="s">
        <v>206</v>
      </c>
      <c r="E81" s="8" t="s">
        <v>206</v>
      </c>
      <c r="F81" s="4" t="s">
        <v>206</v>
      </c>
      <c r="G81" s="8" t="s">
        <v>206</v>
      </c>
      <c r="H81" s="7" t="s">
        <v>206</v>
      </c>
      <c r="I81" s="7" t="s">
        <v>206</v>
      </c>
      <c r="J81" s="4"/>
      <c r="K81" s="8"/>
      <c r="L81" s="4"/>
      <c r="M81" s="8"/>
      <c r="N81" s="7"/>
      <c r="O81" s="7"/>
    </row>
    <row r="82">
      <c r="A82" s="2" t="s">
        <v>613</v>
      </c>
      <c r="B82" s="2" t="s">
        <v>628</v>
      </c>
      <c r="C82" s="2" t="s">
        <v>929</v>
      </c>
      <c r="D82" s="4" t="s">
        <v>206</v>
      </c>
      <c r="E82" s="8" t="s">
        <v>206</v>
      </c>
      <c r="F82" s="4" t="s">
        <v>206</v>
      </c>
      <c r="G82" s="8" t="s">
        <v>206</v>
      </c>
      <c r="H82" s="7" t="s">
        <v>206</v>
      </c>
      <c r="I82" s="7" t="s">
        <v>206</v>
      </c>
      <c r="J82" s="4"/>
      <c r="K82" s="8"/>
      <c r="L82" s="4"/>
      <c r="M82" s="8"/>
      <c r="N82" s="7"/>
      <c r="O82" s="7"/>
    </row>
    <row r="83">
      <c r="A83" s="2" t="s">
        <v>613</v>
      </c>
      <c r="B83" s="2" t="s">
        <v>628</v>
      </c>
      <c r="C83" s="2" t="s">
        <v>1633</v>
      </c>
      <c r="D83" s="4" t="s">
        <v>206</v>
      </c>
      <c r="E83" s="8" t="s">
        <v>206</v>
      </c>
      <c r="F83" s="4" t="s">
        <v>206</v>
      </c>
      <c r="G83" s="8" t="s">
        <v>206</v>
      </c>
      <c r="H83" s="7" t="s">
        <v>206</v>
      </c>
      <c r="I83" s="7" t="s">
        <v>206</v>
      </c>
      <c r="J83" s="4"/>
      <c r="K83" s="8"/>
      <c r="L83" s="4"/>
      <c r="M83" s="8"/>
      <c r="N83" s="7"/>
      <c r="O83" s="7"/>
    </row>
    <row r="84">
      <c r="A84" s="2" t="s">
        <v>613</v>
      </c>
      <c r="B84" s="2" t="s">
        <v>628</v>
      </c>
      <c r="C84" s="2" t="s">
        <v>629</v>
      </c>
      <c r="D84" s="4" t="s">
        <v>206</v>
      </c>
      <c r="E84" s="8" t="s">
        <v>206</v>
      </c>
      <c r="F84" s="4" t="s">
        <v>206</v>
      </c>
      <c r="G84" s="8" t="s">
        <v>206</v>
      </c>
      <c r="H84" s="7" t="s">
        <v>206</v>
      </c>
      <c r="I84" s="7" t="s">
        <v>206</v>
      </c>
      <c r="J84" s="4"/>
      <c r="K84" s="8"/>
      <c r="L84" s="4"/>
      <c r="M84" s="8"/>
      <c r="N84" s="7"/>
      <c r="O84" s="7"/>
    </row>
    <row r="85">
      <c r="A85" s="2" t="s">
        <v>613</v>
      </c>
      <c r="B85" s="2" t="s">
        <v>628</v>
      </c>
      <c r="C85" s="2" t="s">
        <v>3149</v>
      </c>
      <c r="D85" s="4" t="s">
        <v>206</v>
      </c>
      <c r="E85" s="8" t="s">
        <v>206</v>
      </c>
      <c r="F85" s="4" t="s">
        <v>206</v>
      </c>
      <c r="G85" s="8" t="s">
        <v>206</v>
      </c>
      <c r="H85" s="7" t="s">
        <v>206</v>
      </c>
      <c r="I85" s="7" t="s">
        <v>206</v>
      </c>
      <c r="J85" s="4"/>
      <c r="K85" s="8"/>
      <c r="L85" s="4"/>
      <c r="M85" s="8"/>
      <c r="N85" s="7"/>
      <c r="O85" s="7"/>
    </row>
    <row r="86">
      <c r="A86" s="2" t="s">
        <v>546</v>
      </c>
      <c r="B86" s="2" t="s">
        <v>529</v>
      </c>
      <c r="C86" s="2" t="s">
        <v>530</v>
      </c>
      <c r="D86" s="4" t="s">
        <v>206</v>
      </c>
      <c r="E86" s="8" t="s">
        <v>206</v>
      </c>
      <c r="F86" s="4" t="s">
        <v>206</v>
      </c>
      <c r="G86" s="8" t="s">
        <v>206</v>
      </c>
      <c r="H86" s="7" t="s">
        <v>206</v>
      </c>
      <c r="I86" s="7" t="s">
        <v>206</v>
      </c>
      <c r="J86" s="4"/>
      <c r="K86" s="8"/>
      <c r="L86" s="4"/>
      <c r="M86" s="8"/>
      <c r="N86" s="7"/>
      <c r="O86" s="7"/>
    </row>
    <row r="87">
      <c r="A87" s="2" t="s">
        <v>546</v>
      </c>
      <c r="B87" s="2" t="s">
        <v>529</v>
      </c>
      <c r="C87" s="2" t="s">
        <v>816</v>
      </c>
      <c r="D87" s="4" t="s">
        <v>206</v>
      </c>
      <c r="E87" s="8" t="s">
        <v>206</v>
      </c>
      <c r="F87" s="4" t="s">
        <v>206</v>
      </c>
      <c r="G87" s="8" t="s">
        <v>206</v>
      </c>
      <c r="H87" s="7" t="s">
        <v>206</v>
      </c>
      <c r="I87" s="7" t="s">
        <v>206</v>
      </c>
      <c r="J87" s="4"/>
      <c r="K87" s="8"/>
      <c r="L87" s="4"/>
      <c r="M87" s="8"/>
      <c r="N87" s="7"/>
      <c r="O87" s="7"/>
    </row>
    <row r="88">
      <c r="A88" s="2" t="s">
        <v>546</v>
      </c>
      <c r="B88" s="2" t="s">
        <v>529</v>
      </c>
      <c r="C88" s="2" t="s">
        <v>1134</v>
      </c>
      <c r="D88" s="4" t="s">
        <v>206</v>
      </c>
      <c r="E88" s="8" t="s">
        <v>206</v>
      </c>
      <c r="F88" s="4" t="s">
        <v>206</v>
      </c>
      <c r="G88" s="8" t="s">
        <v>206</v>
      </c>
      <c r="H88" s="7" t="s">
        <v>206</v>
      </c>
      <c r="I88" s="7" t="s">
        <v>206</v>
      </c>
      <c r="J88" s="4"/>
      <c r="K88" s="8"/>
      <c r="L88" s="4"/>
      <c r="M88" s="8"/>
      <c r="N88" s="7"/>
      <c r="O88" s="7"/>
    </row>
    <row r="89">
      <c r="A89" s="2" t="s">
        <v>546</v>
      </c>
      <c r="B89" s="2" t="s">
        <v>1612</v>
      </c>
      <c r="C89" s="2" t="s">
        <v>3231</v>
      </c>
      <c r="D89" s="4" t="s">
        <v>206</v>
      </c>
      <c r="E89" s="8" t="s">
        <v>206</v>
      </c>
      <c r="F89" s="4" t="s">
        <v>206</v>
      </c>
      <c r="G89" s="8" t="s">
        <v>206</v>
      </c>
      <c r="H89" s="7" t="s">
        <v>206</v>
      </c>
      <c r="I89" s="7" t="s">
        <v>206</v>
      </c>
      <c r="J89" s="4"/>
      <c r="K89" s="8"/>
      <c r="L89" s="4"/>
      <c r="M89" s="8"/>
      <c r="N89" s="7"/>
      <c r="O89" s="7"/>
    </row>
    <row r="90">
      <c r="A90" s="2" t="s">
        <v>546</v>
      </c>
      <c r="B90" s="2" t="s">
        <v>1612</v>
      </c>
      <c r="C90" s="2" t="s">
        <v>3280</v>
      </c>
      <c r="D90" s="4" t="s">
        <v>206</v>
      </c>
      <c r="E90" s="8" t="s">
        <v>206</v>
      </c>
      <c r="F90" s="4" t="s">
        <v>206</v>
      </c>
      <c r="G90" s="8" t="s">
        <v>206</v>
      </c>
      <c r="H90" s="7" t="s">
        <v>206</v>
      </c>
      <c r="I90" s="7" t="s">
        <v>206</v>
      </c>
      <c r="J90" s="4"/>
      <c r="K90" s="8"/>
      <c r="L90" s="4"/>
      <c r="M90" s="8"/>
      <c r="N90" s="7"/>
      <c r="O90" s="7"/>
    </row>
    <row r="91">
      <c r="A91" s="2" t="s">
        <v>546</v>
      </c>
      <c r="B91" s="2" t="s">
        <v>548</v>
      </c>
      <c r="C91" s="2" t="s">
        <v>579</v>
      </c>
      <c r="D91" s="4" t="s">
        <v>206</v>
      </c>
      <c r="E91" s="8" t="s">
        <v>206</v>
      </c>
      <c r="F91" s="4" t="s">
        <v>206</v>
      </c>
      <c r="G91" s="8" t="s">
        <v>206</v>
      </c>
      <c r="H91" s="7" t="s">
        <v>206</v>
      </c>
      <c r="I91" s="7" t="s">
        <v>206</v>
      </c>
      <c r="J91" s="4"/>
      <c r="K91" s="8"/>
      <c r="L91" s="4"/>
      <c r="M91" s="8"/>
      <c r="N91" s="7"/>
      <c r="O91" s="7"/>
    </row>
    <row r="92">
      <c r="A92" s="2" t="s">
        <v>546</v>
      </c>
      <c r="B92" s="2" t="s">
        <v>548</v>
      </c>
      <c r="C92" s="2" t="s">
        <v>549</v>
      </c>
      <c r="D92" s="4" t="s">
        <v>206</v>
      </c>
      <c r="E92" s="8" t="s">
        <v>206</v>
      </c>
      <c r="F92" s="4" t="s">
        <v>206</v>
      </c>
      <c r="G92" s="8" t="s">
        <v>206</v>
      </c>
      <c r="H92" s="7" t="s">
        <v>206</v>
      </c>
      <c r="I92" s="7" t="s">
        <v>206</v>
      </c>
      <c r="J92" s="4"/>
      <c r="K92" s="8"/>
      <c r="L92" s="4"/>
      <c r="M92" s="8"/>
      <c r="N92" s="7"/>
      <c r="O9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9"/>
    <mergeCell ref="E7:E9"/>
    <mergeCell ref="F7:F9"/>
    <mergeCell ref="G7:G9"/>
    <mergeCell ref="H7:H9"/>
    <mergeCell ref="I7:I9"/>
    <mergeCell ref="D10:D14"/>
    <mergeCell ref="E10:E14"/>
    <mergeCell ref="F10:F14"/>
    <mergeCell ref="G10:G14"/>
    <mergeCell ref="H10:H14"/>
    <mergeCell ref="I10:I14"/>
    <mergeCell ref="D15:D16"/>
    <mergeCell ref="E15:E16"/>
    <mergeCell ref="F15:F16"/>
    <mergeCell ref="G15:G16"/>
    <mergeCell ref="H15:H16"/>
    <mergeCell ref="I15:I16"/>
    <mergeCell ref="D17:D18"/>
    <mergeCell ref="E17:E18"/>
    <mergeCell ref="F17:F18"/>
    <mergeCell ref="G17:G18"/>
    <mergeCell ref="H17:H18"/>
    <mergeCell ref="I17:I18"/>
    <mergeCell ref="D20:D23"/>
    <mergeCell ref="E20:E23"/>
    <mergeCell ref="F20:F23"/>
    <mergeCell ref="G20:G23"/>
    <mergeCell ref="H20:H23"/>
    <mergeCell ref="I20:I23"/>
    <mergeCell ref="D24:D25"/>
    <mergeCell ref="E24:E25"/>
    <mergeCell ref="F24:F25"/>
    <mergeCell ref="G24:G25"/>
    <mergeCell ref="H24:H25"/>
    <mergeCell ref="I24:I25"/>
    <mergeCell ref="D26:D27"/>
    <mergeCell ref="E26:E27"/>
    <mergeCell ref="F26:F27"/>
    <mergeCell ref="G26:G27"/>
    <mergeCell ref="H26:H27"/>
    <mergeCell ref="I26:I27"/>
    <mergeCell ref="D29:D30"/>
    <mergeCell ref="E29:E30"/>
    <mergeCell ref="F29:F30"/>
    <mergeCell ref="G29:G30"/>
    <mergeCell ref="H29:H30"/>
    <mergeCell ref="I29:I30"/>
    <mergeCell ref="D31:D32"/>
    <mergeCell ref="E31:E32"/>
    <mergeCell ref="F31:F32"/>
    <mergeCell ref="G31:G32"/>
    <mergeCell ref="H31:H32"/>
    <mergeCell ref="I31:I32"/>
    <mergeCell ref="D33:D34"/>
    <mergeCell ref="E33:E34"/>
    <mergeCell ref="F33:F34"/>
    <mergeCell ref="G33:G34"/>
    <mergeCell ref="H33:H34"/>
    <mergeCell ref="I33:I34"/>
    <mergeCell ref="D42:D43"/>
    <mergeCell ref="E42:E43"/>
    <mergeCell ref="F42:F43"/>
    <mergeCell ref="G42:G43"/>
    <mergeCell ref="H42:H43"/>
    <mergeCell ref="I42:I43"/>
    <mergeCell ref="D46:D47"/>
    <mergeCell ref="E46:E47"/>
    <mergeCell ref="F46:F47"/>
    <mergeCell ref="G46:G47"/>
    <mergeCell ref="H46:H47"/>
    <mergeCell ref="I46:I47"/>
    <mergeCell ref="D48:D49"/>
    <mergeCell ref="E48:E49"/>
    <mergeCell ref="F48:F49"/>
    <mergeCell ref="G48:G49"/>
    <mergeCell ref="H48:H49"/>
    <mergeCell ref="I48:I49"/>
    <mergeCell ref="D50:D51"/>
    <mergeCell ref="E50:E51"/>
    <mergeCell ref="F50:F51"/>
    <mergeCell ref="G50:G51"/>
    <mergeCell ref="H50:H51"/>
    <mergeCell ref="I50:I51"/>
    <mergeCell ref="D54:D55"/>
    <mergeCell ref="E54:E55"/>
    <mergeCell ref="F54:F55"/>
    <mergeCell ref="G54:G55"/>
    <mergeCell ref="H54:H55"/>
    <mergeCell ref="I54:I55"/>
    <mergeCell ref="D61:D63"/>
    <mergeCell ref="E61:E63"/>
    <mergeCell ref="F61:F63"/>
    <mergeCell ref="G61:G63"/>
    <mergeCell ref="H61:H63"/>
    <mergeCell ref="I61:I63"/>
    <mergeCell ref="D80:D85"/>
    <mergeCell ref="E80:E85"/>
    <mergeCell ref="F80:F85"/>
    <mergeCell ref="G80:G85"/>
    <mergeCell ref="H80:H85"/>
    <mergeCell ref="I80:I85"/>
    <mergeCell ref="D86:D88"/>
    <mergeCell ref="E86:E88"/>
    <mergeCell ref="F86:F88"/>
    <mergeCell ref="G86:G88"/>
    <mergeCell ref="H86:H88"/>
    <mergeCell ref="I86:I88"/>
    <mergeCell ref="D89:D90"/>
    <mergeCell ref="E89:E90"/>
    <mergeCell ref="F89:F90"/>
    <mergeCell ref="G89:G90"/>
    <mergeCell ref="H89:H90"/>
    <mergeCell ref="I89:I90"/>
    <mergeCell ref="D91:D92"/>
    <mergeCell ref="E91:E92"/>
    <mergeCell ref="F91:F92"/>
    <mergeCell ref="G91:G92"/>
    <mergeCell ref="H91:H92"/>
    <mergeCell ref="I91:I92"/>
  </mergeCells>
  <headerFooter/>
</worksheet>
</file>